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autoCompressPictures="0" defaultThemeVersion="124226"/>
  <mc:AlternateContent xmlns:mc="http://schemas.openxmlformats.org/markup-compatibility/2006">
    <mc:Choice Requires="x15">
      <x15ac:absPath xmlns:x15ac="http://schemas.microsoft.com/office/spreadsheetml/2010/11/ac" url="G:\BAP\Procurement\BUS_SERV\AOC Contracting\RFPs, IFBs, RFIs, RFOs, ads\FY2023 Solicitations\RFP-FS-2023-06-JP-Solar Battery Storage - Reissue\1a Final_RFx_Issued\"/>
    </mc:Choice>
  </mc:AlternateContent>
  <xr:revisionPtr revIDLastSave="0" documentId="8_{F5947105-399F-41B2-8217-52311981C5BC}" xr6:coauthVersionLast="47" xr6:coauthVersionMax="47" xr10:uidLastSave="{00000000-0000-0000-0000-000000000000}"/>
  <workbookProtection workbookAlgorithmName="SHA-512" workbookHashValue="HqOCobauM+ytKzcIji1RfmJVVjqMLZ2zDEXFGFt3jUuMI+bKTiTqgqvJkB1f0f63PIIvUo10Ld64QGNo38lvfQ==" workbookSaltValue="pyVCUvrmHZS2c5QjjyH9Bw==" workbookSpinCount="100000" lockStructure="1"/>
  <bookViews>
    <workbookView xWindow="-110" yWindow="-110" windowWidth="19420" windowHeight="11620" tabRatio="873" xr2:uid="{543155B7-E262-4DD2-8CFC-2F588C82FC6B}"/>
  </bookViews>
  <sheets>
    <sheet name="Instructions" sheetId="23" r:id="rId1"/>
    <sheet name="Site Data" sheetId="17" r:id="rId2"/>
    <sheet name="System Specification" sheetId="1" r:id="rId3"/>
    <sheet name="PeGu" sheetId="48" r:id="rId4"/>
    <sheet name="Microgrid Proposal" sheetId="57" r:id="rId5"/>
    <sheet name="Solar+Storage Proposal" sheetId="61" r:id="rId6"/>
    <sheet name="Solar-Only Proposal" sheetId="62" r:id="rId7"/>
    <sheet name="Contract Early Termination" sheetId="73" r:id="rId8"/>
    <sheet name="Summary &amp; Signature" sheetId="52" r:id="rId9"/>
    <sheet name="Contract Tables" sheetId="72" state="hidden" r:id="rId10"/>
    <sheet name="Lists" sheetId="4" state="hidden" r:id="rId11"/>
  </sheets>
  <definedNames>
    <definedName name="_xlnm._FilterDatabase" localSheetId="4" hidden="1">'Microgrid Proposal'!$A$31:$X$31</definedName>
    <definedName name="_xlnm._FilterDatabase" localSheetId="1" hidden="1">'Site Data'!$A$6:$AA$18</definedName>
    <definedName name="_xlnm._FilterDatabase" localSheetId="5" hidden="1">'Solar+Storage Proposal'!$A$31:$X$38</definedName>
    <definedName name="_xlnm._FilterDatabase" localSheetId="6" hidden="1">'Solar-Only Proposal'!$A$31:$W$38</definedName>
    <definedName name="_xlnm._FilterDatabase" localSheetId="2" hidden="1">'System Specification'!$A$13:$T$13</definedName>
    <definedName name="_True_False">#REF!</definedName>
    <definedName name="Active_Tariffs">Lists!$E$15:$E$34</definedName>
    <definedName name="BESS_Savings_Column_Names">#REF!</definedName>
    <definedName name="BESS_Savings_Table">#REF!</definedName>
    <definedName name="CO2_Table">Lists!$A$38:$B$41</definedName>
    <definedName name="DC_Array_Size">'System Specification'!#REF!</definedName>
    <definedName name="Environ_Table">Lists!$A$38:$B$41</definedName>
    <definedName name="IOUs">Lists!$A$14:$C$14</definedName>
    <definedName name="Lease_Types">Lists!$G$10:$G$12</definedName>
    <definedName name="List_Mount_Type">Lists!$E$38:$E$42</definedName>
    <definedName name="List_Shade_Structures">Lists!$E$45:$E$47</definedName>
    <definedName name="List_Wire_Type">Lists!$E$10:$E$11</definedName>
    <definedName name="Mod_Num">'System Specification'!#REF!</definedName>
    <definedName name="Option_1">TRUE</definedName>
    <definedName name="PGE_Tariffs">Lists!$A$15:$A$25</definedName>
    <definedName name="PPA_Column_Names" localSheetId="5">'Solar+Storage Proposal'!#REF!</definedName>
    <definedName name="PPA_Column_Names" localSheetId="6">'Solar-Only Proposal'!#REF!</definedName>
    <definedName name="PPA_Contract_Term">Lists!$C$10:$C$11</definedName>
    <definedName name="PPA_Datatable" localSheetId="5">'Solar+Storage Proposal'!#REF!</definedName>
    <definedName name="PPA_Datatable" localSheetId="6">'Solar-Only Proposal'!#REF!</definedName>
    <definedName name="PPA_DevCosts_ColOffset" localSheetId="5">'Solar+Storage Proposal'!#REF!+1</definedName>
    <definedName name="PPA_DevCosts_ColOffset" localSheetId="6">'Solar-Only Proposal'!#REF!+1</definedName>
    <definedName name="PPA_Site_Numbers" localSheetId="5">'Solar+Storage Proposal'!#REF!</definedName>
    <definedName name="PPA_Site_Numbers" localSheetId="6">'Solar-Only Proposal'!#REF!</definedName>
    <definedName name="PPA_Site_per_Row" localSheetId="5">'Solar+Storage Proposal'!#REF!</definedName>
    <definedName name="PPA_Site_per_Row" localSheetId="6">'Solar-Only Proposal'!#REF!</definedName>
    <definedName name="_xlnm.Print_Area" localSheetId="0">Instructions!$A$1:$L$50</definedName>
    <definedName name="_xlnm.Print_Area" localSheetId="4">'Microgrid Proposal'!$A$3:$O$40</definedName>
    <definedName name="_xlnm.Print_Area" localSheetId="1">'Site Data'!$A$2:$M$16</definedName>
    <definedName name="_xlnm.Print_Area" localSheetId="5">'Solar+Storage Proposal'!$A$3:$O$40</definedName>
    <definedName name="_xlnm.Print_Area" localSheetId="6">'Solar-Only Proposal'!$A$3:$O$40</definedName>
    <definedName name="_xlnm.Print_Area" localSheetId="2">'System Specification'!$A$3:$T$21</definedName>
    <definedName name="_xlnm.Print_Titles" localSheetId="4">'Microgrid Proposal'!$3:$7</definedName>
    <definedName name="_xlnm.Print_Titles" localSheetId="1">'Site Data'!$A:$B</definedName>
    <definedName name="_xlnm.Print_Titles" localSheetId="5">'Solar+Storage Proposal'!$3:$7</definedName>
    <definedName name="_xlnm.Print_Titles" localSheetId="6">'Solar-Only Proposal'!$3:$7</definedName>
    <definedName name="_xlnm.Print_Titles" localSheetId="2">'System Specification'!$A:$F,'System Specification'!$3:$7</definedName>
    <definedName name="Prod_Yr_1">'System Specification'!$L$14:$L$20</definedName>
    <definedName name="Prod_Yr_1_PV_Only">'System Specification'!$H$14:$H$20</definedName>
    <definedName name="Production_Summary_Column_Names">#REF!</definedName>
    <definedName name="Production_Summary_Table">#REF!</definedName>
    <definedName name="SCE_Tariffs">Lists!$B$15:$B$28</definedName>
    <definedName name="Site_Data_Column_Names">'Site Data'!$A$6:$AA$6</definedName>
    <definedName name="Site_Data_Table">'Site Data'!$A$6:$AA$13</definedName>
    <definedName name="System_Spec_Column_Names">'System Specification'!$A$13:$T$13</definedName>
    <definedName name="System_Spec_Site_Num">'System Specification'!$A$14:$A$20</definedName>
    <definedName name="System_Spec_Table">'System Specification'!$A$13:$T$21</definedName>
    <definedName name="System_Years">INDIRECT(OFFSET(#REF!,0,0,#REF!))</definedName>
    <definedName name="Vendor_Name">'System Specification'!$B$6</definedName>
    <definedName name="Yes_No">Lists!$A$10:$A$11</definedName>
    <definedName name="Yes_No_List">Lists!$B$10:$B$11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0" i="48" l="1"/>
  <c r="B81" i="48" s="1"/>
  <c r="B82" i="48" s="1"/>
  <c r="B83" i="48" s="1"/>
  <c r="B84" i="48" s="1"/>
  <c r="B85" i="48" s="1"/>
  <c r="B86" i="48" s="1"/>
  <c r="B87" i="48" s="1"/>
  <c r="B88" i="48" s="1"/>
  <c r="B89" i="48" s="1"/>
  <c r="B90" i="48" s="1"/>
  <c r="B91" i="48" s="1"/>
  <c r="B92" i="48" s="1"/>
  <c r="B93" i="48" s="1"/>
  <c r="B94" i="48" s="1"/>
  <c r="B95" i="48" s="1"/>
  <c r="B96" i="48" s="1"/>
  <c r="B97" i="48" s="1"/>
  <c r="H79" i="48"/>
  <c r="H80" i="48" s="1"/>
  <c r="H81" i="48" s="1"/>
  <c r="H82" i="48" s="1"/>
  <c r="H83" i="48" s="1"/>
  <c r="H84" i="48" s="1"/>
  <c r="H85" i="48" s="1"/>
  <c r="H86" i="48" s="1"/>
  <c r="H87" i="48" s="1"/>
  <c r="H88" i="48" s="1"/>
  <c r="H89" i="48" s="1"/>
  <c r="H90" i="48" s="1"/>
  <c r="H91" i="48" s="1"/>
  <c r="H92" i="48" s="1"/>
  <c r="H93" i="48" s="1"/>
  <c r="H94" i="48" s="1"/>
  <c r="H95" i="48" s="1"/>
  <c r="H96" i="48" s="1"/>
  <c r="H97" i="48" s="1"/>
  <c r="G79" i="48"/>
  <c r="G80" i="48" s="1"/>
  <c r="G81" i="48" s="1"/>
  <c r="G82" i="48" s="1"/>
  <c r="G83" i="48" s="1"/>
  <c r="G84" i="48" s="1"/>
  <c r="G85" i="48" s="1"/>
  <c r="G86" i="48" s="1"/>
  <c r="G87" i="48" s="1"/>
  <c r="G88" i="48" s="1"/>
  <c r="G89" i="48" s="1"/>
  <c r="G90" i="48" s="1"/>
  <c r="G91" i="48" s="1"/>
  <c r="G92" i="48" s="1"/>
  <c r="G93" i="48" s="1"/>
  <c r="G94" i="48" s="1"/>
  <c r="G95" i="48" s="1"/>
  <c r="G96" i="48" s="1"/>
  <c r="G97" i="48" s="1"/>
  <c r="F79" i="48"/>
  <c r="F80" i="48" s="1"/>
  <c r="F81" i="48" s="1"/>
  <c r="F82" i="48" s="1"/>
  <c r="F83" i="48" s="1"/>
  <c r="F84" i="48" s="1"/>
  <c r="F85" i="48" s="1"/>
  <c r="F86" i="48" s="1"/>
  <c r="F87" i="48" s="1"/>
  <c r="F88" i="48" s="1"/>
  <c r="F89" i="48" s="1"/>
  <c r="F90" i="48" s="1"/>
  <c r="F91" i="48" s="1"/>
  <c r="F92" i="48" s="1"/>
  <c r="F93" i="48" s="1"/>
  <c r="F94" i="48" s="1"/>
  <c r="F95" i="48" s="1"/>
  <c r="F96" i="48" s="1"/>
  <c r="F97" i="48" s="1"/>
  <c r="E79" i="48"/>
  <c r="E80" i="48" s="1"/>
  <c r="E81" i="48" s="1"/>
  <c r="E82" i="48" s="1"/>
  <c r="E83" i="48" s="1"/>
  <c r="E84" i="48" s="1"/>
  <c r="E85" i="48" s="1"/>
  <c r="E86" i="48" s="1"/>
  <c r="E87" i="48" s="1"/>
  <c r="E88" i="48" s="1"/>
  <c r="E89" i="48" s="1"/>
  <c r="E90" i="48" s="1"/>
  <c r="E91" i="48" s="1"/>
  <c r="E92" i="48" s="1"/>
  <c r="E93" i="48" s="1"/>
  <c r="E94" i="48" s="1"/>
  <c r="E95" i="48" s="1"/>
  <c r="E96" i="48" s="1"/>
  <c r="E97" i="48" s="1"/>
  <c r="D79" i="48"/>
  <c r="D80" i="48" s="1"/>
  <c r="D81" i="48" s="1"/>
  <c r="D82" i="48" s="1"/>
  <c r="D83" i="48" s="1"/>
  <c r="D84" i="48" s="1"/>
  <c r="D85" i="48" s="1"/>
  <c r="D86" i="48" s="1"/>
  <c r="D87" i="48" s="1"/>
  <c r="D88" i="48" s="1"/>
  <c r="D89" i="48" s="1"/>
  <c r="D90" i="48" s="1"/>
  <c r="D91" i="48" s="1"/>
  <c r="D92" i="48" s="1"/>
  <c r="D93" i="48" s="1"/>
  <c r="D94" i="48" s="1"/>
  <c r="D95" i="48" s="1"/>
  <c r="D96" i="48" s="1"/>
  <c r="D97" i="48" s="1"/>
  <c r="C79" i="48"/>
  <c r="C80" i="48" s="1"/>
  <c r="C81" i="48" s="1"/>
  <c r="C82" i="48" s="1"/>
  <c r="C83" i="48" s="1"/>
  <c r="C84" i="48" s="1"/>
  <c r="C85" i="48" s="1"/>
  <c r="C86" i="48" s="1"/>
  <c r="C87" i="48" s="1"/>
  <c r="C88" i="48" s="1"/>
  <c r="C89" i="48" s="1"/>
  <c r="C90" i="48" s="1"/>
  <c r="C91" i="48" s="1"/>
  <c r="C92" i="48" s="1"/>
  <c r="C93" i="48" s="1"/>
  <c r="C94" i="48" s="1"/>
  <c r="C95" i="48" s="1"/>
  <c r="C96" i="48" s="1"/>
  <c r="C97" i="48" s="1"/>
  <c r="B79" i="48"/>
  <c r="B4" i="17"/>
  <c r="B3" i="17"/>
  <c r="A33" i="62"/>
  <c r="A34" i="62" s="1"/>
  <c r="A35" i="62" s="1"/>
  <c r="A36" i="62" s="1"/>
  <c r="A37" i="62" s="1"/>
  <c r="A38" i="62" s="1"/>
  <c r="A33" i="61"/>
  <c r="A34" i="61" s="1"/>
  <c r="A35" i="61" s="1"/>
  <c r="A36" i="61" s="1"/>
  <c r="A37" i="61" s="1"/>
  <c r="A38" i="61" s="1"/>
  <c r="A33" i="57"/>
  <c r="A34" i="57" s="1"/>
  <c r="A35" i="57" s="1"/>
  <c r="A36" i="57" s="1"/>
  <c r="A37" i="57" s="1"/>
  <c r="A38" i="57" s="1"/>
  <c r="A15" i="1"/>
  <c r="A16" i="1" s="1"/>
  <c r="A17" i="1" s="1"/>
  <c r="A18" i="1" s="1"/>
  <c r="A19" i="1" s="1"/>
  <c r="A20" i="1" s="1"/>
  <c r="A8" i="17"/>
  <c r="A9" i="17" s="1"/>
  <c r="A10" i="17" s="1"/>
  <c r="A11" i="17" s="1"/>
  <c r="A12" i="17" s="1"/>
  <c r="A13" i="17" s="1"/>
  <c r="Q39" i="57"/>
  <c r="R38" i="57" l="1"/>
  <c r="R37" i="57"/>
  <c r="R36" i="57"/>
  <c r="R35" i="57"/>
  <c r="R34" i="57"/>
  <c r="R33" i="57"/>
  <c r="R32" i="57"/>
  <c r="G41" i="72"/>
  <c r="G44" i="72" s="1"/>
  <c r="B47" i="72" s="1"/>
  <c r="G43" i="72"/>
  <c r="A47" i="72" s="1"/>
  <c r="A77" i="48"/>
  <c r="A67" i="73"/>
  <c r="A66" i="73"/>
  <c r="A65" i="73"/>
  <c r="A40" i="73"/>
  <c r="A39" i="73"/>
  <c r="A38" i="73"/>
  <c r="A13" i="73"/>
  <c r="A12" i="73"/>
  <c r="A11" i="73"/>
  <c r="A51" i="48"/>
  <c r="A50" i="48"/>
  <c r="A49" i="48"/>
  <c r="A21" i="48"/>
  <c r="A22" i="48"/>
  <c r="A23" i="48"/>
  <c r="G11" i="72"/>
  <c r="G10" i="72"/>
  <c r="G9" i="72"/>
  <c r="G5" i="72"/>
  <c r="F5" i="72"/>
  <c r="F4" i="72"/>
  <c r="G34" i="52"/>
  <c r="E34" i="52"/>
  <c r="G33" i="52"/>
  <c r="E33" i="52"/>
  <c r="G32" i="52"/>
  <c r="E32" i="52"/>
  <c r="G31" i="52"/>
  <c r="E31" i="52"/>
  <c r="G30" i="52"/>
  <c r="E30" i="52"/>
  <c r="G29" i="52"/>
  <c r="E29" i="52"/>
  <c r="G28" i="52"/>
  <c r="E28" i="52"/>
  <c r="O27" i="52"/>
  <c r="N27" i="52"/>
  <c r="M27" i="52"/>
  <c r="L27" i="52"/>
  <c r="K27" i="52"/>
  <c r="J27" i="52"/>
  <c r="H27" i="52"/>
  <c r="G27" i="52"/>
  <c r="F27" i="52"/>
  <c r="D27" i="52"/>
  <c r="B27" i="52"/>
  <c r="A27" i="52"/>
  <c r="M26" i="52"/>
  <c r="J26" i="52"/>
  <c r="I21" i="52"/>
  <c r="G21" i="52"/>
  <c r="E21" i="52"/>
  <c r="U21" i="52" s="1"/>
  <c r="I20" i="52"/>
  <c r="G20" i="52"/>
  <c r="E20" i="52"/>
  <c r="I19" i="52"/>
  <c r="G19" i="52"/>
  <c r="E19" i="52"/>
  <c r="I18" i="52"/>
  <c r="G18" i="52"/>
  <c r="E18" i="52"/>
  <c r="I17" i="52"/>
  <c r="G17" i="52"/>
  <c r="E17" i="52"/>
  <c r="I16" i="52"/>
  <c r="G16" i="52"/>
  <c r="E16" i="52"/>
  <c r="I15" i="52"/>
  <c r="G15" i="52"/>
  <c r="E15" i="52"/>
  <c r="U14" i="52"/>
  <c r="T14" i="52"/>
  <c r="S14" i="52"/>
  <c r="R14" i="52"/>
  <c r="Q14" i="52"/>
  <c r="P14" i="52"/>
  <c r="O14" i="52"/>
  <c r="N14" i="52"/>
  <c r="M14" i="52"/>
  <c r="L14" i="52"/>
  <c r="K14" i="52"/>
  <c r="J14" i="52"/>
  <c r="H14" i="52"/>
  <c r="G14" i="52"/>
  <c r="F14" i="52"/>
  <c r="D14" i="52"/>
  <c r="B14" i="52"/>
  <c r="B33" i="52" s="1"/>
  <c r="A14" i="52"/>
  <c r="S13" i="52"/>
  <c r="P13" i="52"/>
  <c r="M13" i="52"/>
  <c r="J13" i="52"/>
  <c r="B5" i="52"/>
  <c r="A5" i="52"/>
  <c r="A4" i="52"/>
  <c r="B5" i="73"/>
  <c r="A5" i="73"/>
  <c r="U38" i="62"/>
  <c r="R38" i="62"/>
  <c r="P38" i="62"/>
  <c r="H38" i="62"/>
  <c r="F38" i="62"/>
  <c r="U37" i="62"/>
  <c r="R37" i="62"/>
  <c r="S37" i="62" s="1"/>
  <c r="P37" i="62"/>
  <c r="H37" i="62"/>
  <c r="F37" i="62"/>
  <c r="U36" i="62"/>
  <c r="R36" i="62"/>
  <c r="P36" i="62"/>
  <c r="H36" i="62"/>
  <c r="F36" i="62"/>
  <c r="U35" i="62"/>
  <c r="R35" i="62"/>
  <c r="S35" i="62" s="1"/>
  <c r="P35" i="62"/>
  <c r="H35" i="62"/>
  <c r="F35" i="62"/>
  <c r="U34" i="62"/>
  <c r="R34" i="62"/>
  <c r="S34" i="62" s="1"/>
  <c r="P34" i="62"/>
  <c r="H34" i="62"/>
  <c r="F34" i="62"/>
  <c r="U33" i="62"/>
  <c r="R33" i="62"/>
  <c r="S33" i="62" s="1"/>
  <c r="P33" i="62"/>
  <c r="H33" i="62"/>
  <c r="F33" i="62"/>
  <c r="U32" i="62"/>
  <c r="R32" i="62"/>
  <c r="S32" i="62" s="1"/>
  <c r="P32" i="62"/>
  <c r="H32" i="62"/>
  <c r="F32" i="62"/>
  <c r="I31" i="62"/>
  <c r="G31" i="62"/>
  <c r="B5" i="62"/>
  <c r="A5" i="62"/>
  <c r="V38" i="61"/>
  <c r="S38" i="61"/>
  <c r="Q38" i="61"/>
  <c r="I38" i="61"/>
  <c r="G38" i="61"/>
  <c r="F38" i="61"/>
  <c r="V37" i="61"/>
  <c r="S37" i="61"/>
  <c r="T37" i="61" s="1"/>
  <c r="Q37" i="61"/>
  <c r="I37" i="61"/>
  <c r="G37" i="61"/>
  <c r="F37" i="61"/>
  <c r="V36" i="61"/>
  <c r="S36" i="61"/>
  <c r="Q36" i="61"/>
  <c r="I36" i="61"/>
  <c r="G36" i="61"/>
  <c r="F36" i="61"/>
  <c r="V35" i="61"/>
  <c r="S35" i="61"/>
  <c r="T35" i="61" s="1"/>
  <c r="Q35" i="61"/>
  <c r="I35" i="61"/>
  <c r="G35" i="61"/>
  <c r="F35" i="61"/>
  <c r="V34" i="61"/>
  <c r="S34" i="61"/>
  <c r="T34" i="61" s="1"/>
  <c r="Q34" i="61"/>
  <c r="I34" i="61"/>
  <c r="G34" i="61"/>
  <c r="F34" i="61"/>
  <c r="V33" i="61"/>
  <c r="S33" i="61"/>
  <c r="T33" i="61" s="1"/>
  <c r="Q33" i="61"/>
  <c r="I33" i="61"/>
  <c r="G33" i="61"/>
  <c r="F33" i="61"/>
  <c r="V32" i="61"/>
  <c r="S32" i="61"/>
  <c r="T32" i="61" s="1"/>
  <c r="Q32" i="61"/>
  <c r="I32" i="61"/>
  <c r="G32" i="61"/>
  <c r="F32" i="61"/>
  <c r="T31" i="61"/>
  <c r="S31" i="61"/>
  <c r="J31" i="61"/>
  <c r="H31" i="61"/>
  <c r="H35" i="61" s="1"/>
  <c r="B5" i="61"/>
  <c r="A5" i="61"/>
  <c r="S38" i="57"/>
  <c r="I38" i="57"/>
  <c r="G38" i="57"/>
  <c r="F38" i="57"/>
  <c r="S37" i="57"/>
  <c r="T37" i="57" s="1"/>
  <c r="I37" i="57"/>
  <c r="G37" i="57"/>
  <c r="F37" i="57"/>
  <c r="S36" i="57"/>
  <c r="I36" i="57"/>
  <c r="G36" i="57"/>
  <c r="F36" i="57"/>
  <c r="S35" i="57"/>
  <c r="T35" i="57" s="1"/>
  <c r="I35" i="57"/>
  <c r="G35" i="57"/>
  <c r="F35" i="57"/>
  <c r="S34" i="57"/>
  <c r="T34" i="57" s="1"/>
  <c r="I34" i="57"/>
  <c r="G34" i="57"/>
  <c r="F34" i="57"/>
  <c r="S33" i="57"/>
  <c r="T33" i="57" s="1"/>
  <c r="I33" i="57"/>
  <c r="G33" i="57"/>
  <c r="F33" i="57"/>
  <c r="S32" i="57"/>
  <c r="T32" i="57" s="1"/>
  <c r="I32" i="57"/>
  <c r="G32" i="57"/>
  <c r="F32" i="57"/>
  <c r="T31" i="57"/>
  <c r="S31" i="57"/>
  <c r="J31" i="57"/>
  <c r="H31" i="57"/>
  <c r="A6" i="57"/>
  <c r="B5" i="57"/>
  <c r="A5" i="57"/>
  <c r="B78" i="48" a="1"/>
  <c r="B78" i="48" s="1"/>
  <c r="B5" i="48"/>
  <c r="A5" i="48"/>
  <c r="M20" i="1"/>
  <c r="I20" i="1"/>
  <c r="M19" i="1"/>
  <c r="I19" i="1"/>
  <c r="M18" i="1"/>
  <c r="I18" i="1"/>
  <c r="M17" i="1"/>
  <c r="I17" i="1"/>
  <c r="M16" i="1"/>
  <c r="I16" i="1"/>
  <c r="M15" i="1"/>
  <c r="I15" i="1"/>
  <c r="M14" i="1"/>
  <c r="I14" i="1"/>
  <c r="B6" i="1"/>
  <c r="A6" i="1"/>
  <c r="B5" i="1"/>
  <c r="A5" i="1"/>
  <c r="K14" i="17"/>
  <c r="M14" i="17"/>
  <c r="S31" i="62"/>
  <c r="G74" i="72" l="1"/>
  <c r="T36" i="57"/>
  <c r="S36" i="62"/>
  <c r="T38" i="61"/>
  <c r="T36" i="61"/>
  <c r="T38" i="57"/>
  <c r="S38" i="62"/>
  <c r="I35" i="62"/>
  <c r="J34" i="61"/>
  <c r="Q39" i="61"/>
  <c r="P39" i="62"/>
  <c r="I33" i="62"/>
  <c r="I34" i="62"/>
  <c r="G32" i="62"/>
  <c r="G37" i="62"/>
  <c r="J36" i="61"/>
  <c r="J36" i="57"/>
  <c r="H33" i="57"/>
  <c r="J35" i="57"/>
  <c r="J33" i="57"/>
  <c r="K15" i="52"/>
  <c r="U15" i="52"/>
  <c r="Q21" i="52"/>
  <c r="O28" i="52"/>
  <c r="O29" i="52"/>
  <c r="T17" i="52"/>
  <c r="O30" i="52"/>
  <c r="J31" i="52"/>
  <c r="N32" i="52"/>
  <c r="S19" i="52"/>
  <c r="N33" i="52"/>
  <c r="T15" i="52"/>
  <c r="F17" i="52"/>
  <c r="F15" i="52"/>
  <c r="J15" i="52"/>
  <c r="O33" i="52"/>
  <c r="J20" i="52"/>
  <c r="S21" i="52"/>
  <c r="F32" i="52"/>
  <c r="S15" i="52"/>
  <c r="K17" i="52"/>
  <c r="P21" i="52"/>
  <c r="P17" i="52"/>
  <c r="D28" i="52"/>
  <c r="T18" i="52"/>
  <c r="O15" i="52"/>
  <c r="T19" i="52"/>
  <c r="D16" i="52"/>
  <c r="R16" i="52"/>
  <c r="J18" i="52"/>
  <c r="K20" i="52"/>
  <c r="M20" i="52"/>
  <c r="K18" i="52"/>
  <c r="N20" i="52"/>
  <c r="P18" i="52"/>
  <c r="O20" i="52"/>
  <c r="F29" i="52"/>
  <c r="F34" i="52"/>
  <c r="U18" i="52"/>
  <c r="T20" i="52"/>
  <c r="D19" i="52"/>
  <c r="U20" i="52"/>
  <c r="M29" i="52"/>
  <c r="N15" i="52"/>
  <c r="L17" i="52"/>
  <c r="F19" i="52"/>
  <c r="M17" i="52"/>
  <c r="R15" i="52"/>
  <c r="N17" i="52"/>
  <c r="K21" i="52"/>
  <c r="O17" i="52"/>
  <c r="K19" i="52"/>
  <c r="L21" i="52"/>
  <c r="K31" i="52"/>
  <c r="G75" i="72"/>
  <c r="G76" i="72"/>
  <c r="A80" i="72" s="1"/>
  <c r="G42" i="72"/>
  <c r="A48" i="72"/>
  <c r="C47" i="72"/>
  <c r="B48" i="72"/>
  <c r="B49" i="72" s="1"/>
  <c r="AH47" i="72"/>
  <c r="AE47" i="72"/>
  <c r="AB47" i="72"/>
  <c r="L31" i="52"/>
  <c r="P20" i="52"/>
  <c r="T21" i="52"/>
  <c r="M31" i="52"/>
  <c r="N31" i="52"/>
  <c r="Q20" i="52"/>
  <c r="J29" i="52"/>
  <c r="O31" i="52"/>
  <c r="J30" i="52"/>
  <c r="F16" i="52"/>
  <c r="F20" i="52"/>
  <c r="L32" i="52"/>
  <c r="D15" i="52"/>
  <c r="J21" i="52"/>
  <c r="K30" i="52"/>
  <c r="M32" i="52"/>
  <c r="L30" i="52"/>
  <c r="O32" i="52"/>
  <c r="L20" i="52"/>
  <c r="M21" i="52"/>
  <c r="J33" i="52"/>
  <c r="A14" i="72"/>
  <c r="B14" i="72"/>
  <c r="B15" i="72" s="1"/>
  <c r="B16" i="72" s="1"/>
  <c r="B17" i="72" s="1"/>
  <c r="B18" i="72" s="1"/>
  <c r="H36" i="57"/>
  <c r="H34" i="57"/>
  <c r="H37" i="57"/>
  <c r="H35" i="57"/>
  <c r="H38" i="57"/>
  <c r="H32" i="57"/>
  <c r="B28" i="52"/>
  <c r="B31" i="52"/>
  <c r="H36" i="61"/>
  <c r="H37" i="61"/>
  <c r="H32" i="61"/>
  <c r="H38" i="61"/>
  <c r="H33" i="61"/>
  <c r="H34" i="61"/>
  <c r="B16" i="52"/>
  <c r="B34" i="52"/>
  <c r="B19" i="52"/>
  <c r="B29" i="52"/>
  <c r="B30" i="52"/>
  <c r="B15" i="52"/>
  <c r="B18" i="52"/>
  <c r="B21" i="52"/>
  <c r="B32" i="52"/>
  <c r="B17" i="52"/>
  <c r="B20" i="52"/>
  <c r="J37" i="61"/>
  <c r="J32" i="61"/>
  <c r="J38" i="61"/>
  <c r="J33" i="61"/>
  <c r="J35" i="61"/>
  <c r="I37" i="62"/>
  <c r="Q16" i="52"/>
  <c r="P16" i="52"/>
  <c r="O16" i="52"/>
  <c r="N16" i="52"/>
  <c r="M16" i="52"/>
  <c r="L16" i="52"/>
  <c r="K16" i="52"/>
  <c r="J16" i="52"/>
  <c r="U16" i="52"/>
  <c r="I32" i="62"/>
  <c r="J38" i="57"/>
  <c r="G34" i="62"/>
  <c r="O34" i="52"/>
  <c r="N34" i="52"/>
  <c r="M34" i="52"/>
  <c r="K34" i="52"/>
  <c r="J34" i="52"/>
  <c r="J32" i="57"/>
  <c r="S16" i="52"/>
  <c r="L34" i="52"/>
  <c r="I36" i="62"/>
  <c r="T16" i="52"/>
  <c r="J37" i="57"/>
  <c r="G35" i="62"/>
  <c r="G38" i="62"/>
  <c r="G36" i="62"/>
  <c r="G33" i="62"/>
  <c r="J34" i="57"/>
  <c r="I38" i="62"/>
  <c r="R19" i="52"/>
  <c r="Q19" i="52"/>
  <c r="P19" i="52"/>
  <c r="O19" i="52"/>
  <c r="N19" i="52"/>
  <c r="M19" i="52"/>
  <c r="L19" i="52"/>
  <c r="J19" i="52"/>
  <c r="U19" i="52"/>
  <c r="D33" i="52"/>
  <c r="L18" i="52"/>
  <c r="F28" i="52"/>
  <c r="L15" i="52"/>
  <c r="Q17" i="52"/>
  <c r="M18" i="52"/>
  <c r="D20" i="52"/>
  <c r="R20" i="52"/>
  <c r="N21" i="52"/>
  <c r="M30" i="52"/>
  <c r="F33" i="52"/>
  <c r="M15" i="52"/>
  <c r="D17" i="52"/>
  <c r="R17" i="52"/>
  <c r="N18" i="52"/>
  <c r="S20" i="52"/>
  <c r="O21" i="52"/>
  <c r="K29" i="52"/>
  <c r="N30" i="52"/>
  <c r="D32" i="52"/>
  <c r="S17" i="52"/>
  <c r="O18" i="52"/>
  <c r="J28" i="52"/>
  <c r="L29" i="52"/>
  <c r="P15" i="52"/>
  <c r="U17" i="52"/>
  <c r="K28" i="52"/>
  <c r="N29" i="52"/>
  <c r="D31" i="52"/>
  <c r="Q18" i="52"/>
  <c r="D21" i="52"/>
  <c r="R21" i="52"/>
  <c r="L28" i="52"/>
  <c r="K33" i="52"/>
  <c r="Q15" i="52"/>
  <c r="D18" i="52"/>
  <c r="R18" i="52"/>
  <c r="M28" i="52"/>
  <c r="F31" i="52"/>
  <c r="J32" i="52"/>
  <c r="L33" i="52"/>
  <c r="J17" i="52"/>
  <c r="S18" i="52"/>
  <c r="F21" i="52"/>
  <c r="N28" i="52"/>
  <c r="D30" i="52"/>
  <c r="M33" i="52"/>
  <c r="F18" i="52"/>
  <c r="K32" i="52"/>
  <c r="F30" i="52"/>
  <c r="D29" i="52"/>
  <c r="D34" i="52"/>
  <c r="G77" i="72" l="1"/>
  <c r="B80" i="72" s="1"/>
  <c r="G107" i="72"/>
  <c r="R32" i="61"/>
  <c r="Q32" i="62"/>
  <c r="Q33" i="62"/>
  <c r="R33" i="61"/>
  <c r="R34" i="61"/>
  <c r="Q34" i="62"/>
  <c r="Q35" i="62"/>
  <c r="R35" i="61"/>
  <c r="Q36" i="62"/>
  <c r="R36" i="61"/>
  <c r="Q37" i="62"/>
  <c r="R37" i="61"/>
  <c r="R38" i="61"/>
  <c r="Q38" i="62"/>
  <c r="A81" i="72"/>
  <c r="C80" i="72"/>
  <c r="B50" i="72"/>
  <c r="B51" i="72" s="1"/>
  <c r="K49" i="72"/>
  <c r="K70" i="72" s="1"/>
  <c r="C48" i="72"/>
  <c r="A49" i="72"/>
  <c r="G49" i="72" s="1"/>
  <c r="B19" i="72"/>
  <c r="V19" i="72" s="1"/>
  <c r="C14" i="72"/>
  <c r="A15" i="72"/>
  <c r="G22" i="52"/>
  <c r="Z18" i="72"/>
  <c r="V18" i="72"/>
  <c r="Q18" i="72"/>
  <c r="AH14" i="72"/>
  <c r="AE14" i="72"/>
  <c r="AB14" i="72"/>
  <c r="G35" i="52"/>
  <c r="G110" i="72" l="1"/>
  <c r="B113" i="72" s="1"/>
  <c r="G140" i="72"/>
  <c r="G109" i="72"/>
  <c r="A113" i="72" s="1"/>
  <c r="G108" i="72"/>
  <c r="AE80" i="72"/>
  <c r="B81" i="72"/>
  <c r="B82" i="72" s="1"/>
  <c r="B83" i="72" s="1"/>
  <c r="B84" i="72" s="1"/>
  <c r="Z84" i="72" s="1"/>
  <c r="AB80" i="72"/>
  <c r="AH80" i="72"/>
  <c r="C81" i="72"/>
  <c r="A82" i="72"/>
  <c r="K82" i="72" s="1"/>
  <c r="K103" i="72" s="1"/>
  <c r="B85" i="72"/>
  <c r="V84" i="72"/>
  <c r="Q84" i="72"/>
  <c r="AM51" i="72"/>
  <c r="AL51" i="72"/>
  <c r="K51" i="72"/>
  <c r="B52" i="72"/>
  <c r="AY51" i="72"/>
  <c r="V51" i="72"/>
  <c r="AZ51" i="72"/>
  <c r="Z51" i="72"/>
  <c r="AV51" i="72"/>
  <c r="AR51" i="72"/>
  <c r="Q51" i="72"/>
  <c r="AQ51" i="72"/>
  <c r="AN51" i="72" a="1"/>
  <c r="AN51" i="72" s="1"/>
  <c r="AU51" i="72"/>
  <c r="A50" i="72"/>
  <c r="C49" i="72"/>
  <c r="G70" i="72"/>
  <c r="G51" i="72"/>
  <c r="Z19" i="72"/>
  <c r="Q19" i="72"/>
  <c r="B20" i="72"/>
  <c r="A16" i="72"/>
  <c r="C15" i="72"/>
  <c r="A114" i="72" l="1"/>
  <c r="C113" i="72"/>
  <c r="G173" i="72"/>
  <c r="G143" i="72"/>
  <c r="B146" i="72" s="1"/>
  <c r="G142" i="72"/>
  <c r="A146" i="72" s="1"/>
  <c r="G141" i="72"/>
  <c r="AH113" i="72"/>
  <c r="AE113" i="72"/>
  <c r="AB113" i="72"/>
  <c r="B114" i="72"/>
  <c r="B115" i="72" s="1"/>
  <c r="A83" i="72"/>
  <c r="C82" i="72"/>
  <c r="G82" i="72"/>
  <c r="Q85" i="72"/>
  <c r="B86" i="72"/>
  <c r="Z85" i="72"/>
  <c r="V85" i="72"/>
  <c r="A51" i="72"/>
  <c r="C50" i="72"/>
  <c r="AN52" i="72" a="1"/>
  <c r="AN52" i="72" s="1"/>
  <c r="Q52" i="72"/>
  <c r="AM52" i="72"/>
  <c r="AL52" i="72"/>
  <c r="K52" i="72"/>
  <c r="AZ52" i="72"/>
  <c r="B53" i="72"/>
  <c r="Z52" i="72"/>
  <c r="AY52" i="72"/>
  <c r="AU52" i="72"/>
  <c r="V52" i="72"/>
  <c r="AV52" i="72"/>
  <c r="AR52" i="72"/>
  <c r="AQ52" i="72"/>
  <c r="B21" i="72"/>
  <c r="Q20" i="72"/>
  <c r="Z20" i="72"/>
  <c r="V20" i="72"/>
  <c r="G16" i="72"/>
  <c r="A17" i="72"/>
  <c r="C16" i="72"/>
  <c r="AN18" i="72" a="1"/>
  <c r="AN18" i="72" s="1"/>
  <c r="AM18" i="72"/>
  <c r="AL18" i="72"/>
  <c r="K16" i="72"/>
  <c r="K37" i="72" s="1"/>
  <c r="A4" i="73"/>
  <c r="A4" i="48"/>
  <c r="B116" i="72" l="1"/>
  <c r="B117" i="72" s="1"/>
  <c r="K115" i="72"/>
  <c r="K136" i="72" s="1"/>
  <c r="C146" i="72"/>
  <c r="A147" i="72"/>
  <c r="AE146" i="72"/>
  <c r="AB146" i="72"/>
  <c r="B147" i="72"/>
  <c r="B148" i="72" s="1"/>
  <c r="AH146" i="72"/>
  <c r="G174" i="72"/>
  <c r="G206" i="72"/>
  <c r="G176" i="72"/>
  <c r="B179" i="72" s="1"/>
  <c r="G175" i="72"/>
  <c r="A179" i="72" s="1"/>
  <c r="A115" i="72"/>
  <c r="C114" i="72"/>
  <c r="Q86" i="72"/>
  <c r="B87" i="72"/>
  <c r="V86" i="72"/>
  <c r="Z86" i="72"/>
  <c r="G103" i="72"/>
  <c r="G84" i="72"/>
  <c r="A84" i="72"/>
  <c r="C83" i="72"/>
  <c r="AN53" i="72" a="1"/>
  <c r="AN53" i="72" s="1"/>
  <c r="Q53" i="72"/>
  <c r="AM53" i="72"/>
  <c r="AL53" i="72"/>
  <c r="AZ53" i="72"/>
  <c r="K53" i="72"/>
  <c r="Z53" i="72"/>
  <c r="AV53" i="72"/>
  <c r="B54" i="72"/>
  <c r="AY53" i="72"/>
  <c r="AU53" i="72"/>
  <c r="V53" i="72"/>
  <c r="AR53" i="72"/>
  <c r="AQ53" i="72"/>
  <c r="C51" i="72"/>
  <c r="A52" i="72"/>
  <c r="B22" i="72"/>
  <c r="V21" i="72"/>
  <c r="Z21" i="72"/>
  <c r="Q21" i="72"/>
  <c r="G37" i="72"/>
  <c r="G18" i="72"/>
  <c r="A18" i="72"/>
  <c r="C17" i="72"/>
  <c r="AN19" i="72" a="1"/>
  <c r="AN19" i="72" s="1"/>
  <c r="G6" i="72"/>
  <c r="F6" i="72"/>
  <c r="G115" i="72" l="1"/>
  <c r="A116" i="72"/>
  <c r="C115" i="72"/>
  <c r="K148" i="72"/>
  <c r="K169" i="72" s="1"/>
  <c r="B149" i="72"/>
  <c r="B150" i="72" s="1"/>
  <c r="A180" i="72"/>
  <c r="C179" i="72"/>
  <c r="AH179" i="72"/>
  <c r="AB179" i="72"/>
  <c r="AE179" i="72"/>
  <c r="B180" i="72"/>
  <c r="B181" i="72" s="1"/>
  <c r="G207" i="72"/>
  <c r="G209" i="72"/>
  <c r="B212" i="72" s="1"/>
  <c r="G208" i="72"/>
  <c r="A212" i="72" s="1"/>
  <c r="A148" i="72"/>
  <c r="G148" i="72" s="1"/>
  <c r="C147" i="72"/>
  <c r="Q117" i="72"/>
  <c r="K117" i="72"/>
  <c r="B118" i="72"/>
  <c r="AZ117" i="72"/>
  <c r="AY117" i="72"/>
  <c r="Z117" i="72"/>
  <c r="AV117" i="72"/>
  <c r="AQ117" i="72"/>
  <c r="AN117" i="72" a="1"/>
  <c r="AN117" i="72" s="1"/>
  <c r="AM117" i="72"/>
  <c r="AL117" i="72"/>
  <c r="AU117" i="72"/>
  <c r="AR117" i="72"/>
  <c r="V117" i="72"/>
  <c r="Q87" i="72"/>
  <c r="B88" i="72"/>
  <c r="Z87" i="72"/>
  <c r="V87" i="72"/>
  <c r="C84" i="72"/>
  <c r="A85" i="72"/>
  <c r="AN54" i="72" a="1"/>
  <c r="AN54" i="72" s="1"/>
  <c r="Q54" i="72"/>
  <c r="AM54" i="72"/>
  <c r="AL54" i="72"/>
  <c r="B55" i="72"/>
  <c r="AZ54" i="72"/>
  <c r="Z54" i="72"/>
  <c r="AY54" i="72"/>
  <c r="AV54" i="72"/>
  <c r="AQ54" i="72"/>
  <c r="AU54" i="72"/>
  <c r="V54" i="72"/>
  <c r="AR54" i="72"/>
  <c r="C52" i="72"/>
  <c r="A53" i="72"/>
  <c r="AY18" i="72"/>
  <c r="AZ18" i="72" s="1"/>
  <c r="B23" i="72"/>
  <c r="V22" i="72"/>
  <c r="Q22" i="72"/>
  <c r="Z22" i="72"/>
  <c r="A19" i="72"/>
  <c r="C18" i="72"/>
  <c r="AQ18" i="72" s="1"/>
  <c r="AR18" i="72" s="1"/>
  <c r="K18" i="72"/>
  <c r="AN20" i="72" a="1"/>
  <c r="AN20" i="72" s="1"/>
  <c r="B6" i="52"/>
  <c r="G169" i="72" l="1"/>
  <c r="G150" i="72"/>
  <c r="B213" i="72"/>
  <c r="B214" i="72" s="1"/>
  <c r="AH212" i="72"/>
  <c r="AE212" i="72"/>
  <c r="AB212" i="72"/>
  <c r="A181" i="72"/>
  <c r="C180" i="72"/>
  <c r="AM150" i="72"/>
  <c r="AL150" i="72"/>
  <c r="AZ150" i="72"/>
  <c r="K150" i="72"/>
  <c r="Z150" i="72"/>
  <c r="V150" i="72"/>
  <c r="B151" i="72"/>
  <c r="AY150" i="72"/>
  <c r="AN150" i="72" a="1"/>
  <c r="AN150" i="72" s="1"/>
  <c r="AV150" i="72"/>
  <c r="AU150" i="72"/>
  <c r="AR150" i="72"/>
  <c r="AQ150" i="72"/>
  <c r="Q150" i="72"/>
  <c r="AZ118" i="72"/>
  <c r="AY118" i="72"/>
  <c r="AR118" i="72"/>
  <c r="AQ118" i="72"/>
  <c r="Z118" i="72"/>
  <c r="V118" i="72"/>
  <c r="AV118" i="72"/>
  <c r="AU118" i="72"/>
  <c r="B119" i="72"/>
  <c r="AN118" i="72" a="1"/>
  <c r="AN118" i="72" s="1"/>
  <c r="Q118" i="72"/>
  <c r="AM118" i="72"/>
  <c r="AL118" i="72"/>
  <c r="K118" i="72"/>
  <c r="C212" i="72"/>
  <c r="A213" i="72"/>
  <c r="B182" i="72"/>
  <c r="B183" i="72" s="1"/>
  <c r="K181" i="72"/>
  <c r="K202" i="72" s="1"/>
  <c r="G181" i="72"/>
  <c r="A117" i="72"/>
  <c r="C116" i="72"/>
  <c r="C148" i="72"/>
  <c r="A149" i="72"/>
  <c r="G136" i="72"/>
  <c r="G117" i="72"/>
  <c r="Q88" i="72"/>
  <c r="B89" i="72"/>
  <c r="Z88" i="72"/>
  <c r="V88" i="72"/>
  <c r="C85" i="72"/>
  <c r="A86" i="72"/>
  <c r="C53" i="72"/>
  <c r="A54" i="72"/>
  <c r="AN55" i="72" a="1"/>
  <c r="AN55" i="72" s="1"/>
  <c r="Q55" i="72"/>
  <c r="AM55" i="72"/>
  <c r="AL55" i="72"/>
  <c r="K55" i="72"/>
  <c r="AY55" i="72"/>
  <c r="B56" i="72"/>
  <c r="AZ55" i="72"/>
  <c r="Z55" i="72"/>
  <c r="AV55" i="72"/>
  <c r="AU55" i="72"/>
  <c r="V55" i="72"/>
  <c r="AR55" i="72"/>
  <c r="AQ55" i="72"/>
  <c r="B24" i="72"/>
  <c r="V23" i="72"/>
  <c r="Z23" i="72"/>
  <c r="Q23" i="72"/>
  <c r="AU18" i="72"/>
  <c r="AV18" i="72" s="1"/>
  <c r="A20" i="72"/>
  <c r="C19" i="72"/>
  <c r="AQ19" i="72" s="1"/>
  <c r="AR19" i="72" s="1"/>
  <c r="K19" i="72"/>
  <c r="AN21" i="72" a="1"/>
  <c r="AN21" i="72" s="1"/>
  <c r="C56" i="52"/>
  <c r="B6" i="73"/>
  <c r="C117" i="72" l="1"/>
  <c r="A118" i="72"/>
  <c r="G202" i="72"/>
  <c r="G183" i="72"/>
  <c r="AL119" i="72"/>
  <c r="Q119" i="72"/>
  <c r="K119" i="72"/>
  <c r="Z119" i="72"/>
  <c r="AY119" i="72"/>
  <c r="AU119" i="72"/>
  <c r="AN119" i="72" a="1"/>
  <c r="AN119" i="72" s="1"/>
  <c r="AV119" i="72"/>
  <c r="AM119" i="72"/>
  <c r="V119" i="72"/>
  <c r="AQ119" i="72"/>
  <c r="B120" i="72"/>
  <c r="AR119" i="72"/>
  <c r="AZ119" i="72"/>
  <c r="Q183" i="72"/>
  <c r="AM183" i="72"/>
  <c r="K183" i="72"/>
  <c r="AL183" i="72"/>
  <c r="AV183" i="72"/>
  <c r="Z183" i="72"/>
  <c r="AZ183" i="72"/>
  <c r="B184" i="72"/>
  <c r="AY183" i="72"/>
  <c r="V183" i="72"/>
  <c r="AQ183" i="72"/>
  <c r="AU183" i="72"/>
  <c r="AR183" i="72"/>
  <c r="AN183" i="72" a="1"/>
  <c r="AN183" i="72" s="1"/>
  <c r="C181" i="72"/>
  <c r="A182" i="72"/>
  <c r="A214" i="72"/>
  <c r="C213" i="72"/>
  <c r="AR151" i="72"/>
  <c r="AQ151" i="72"/>
  <c r="AN151" i="72" a="1"/>
  <c r="AN151" i="72" s="1"/>
  <c r="K151" i="72"/>
  <c r="AZ151" i="72"/>
  <c r="AV151" i="72"/>
  <c r="B152" i="72"/>
  <c r="Z151" i="72"/>
  <c r="V151" i="72"/>
  <c r="Q151" i="72"/>
  <c r="AM151" i="72"/>
  <c r="AY151" i="72"/>
  <c r="AL151" i="72"/>
  <c r="AU151" i="72"/>
  <c r="B215" i="72"/>
  <c r="B216" i="72" s="1"/>
  <c r="K214" i="72"/>
  <c r="K235" i="72" s="1"/>
  <c r="A150" i="72"/>
  <c r="C149" i="72"/>
  <c r="Q89" i="72"/>
  <c r="B90" i="72"/>
  <c r="Z89" i="72"/>
  <c r="V89" i="72"/>
  <c r="C86" i="72"/>
  <c r="A87" i="72"/>
  <c r="AN56" i="72" a="1"/>
  <c r="AN56" i="72" s="1"/>
  <c r="Q56" i="72"/>
  <c r="AM56" i="72"/>
  <c r="AL56" i="72"/>
  <c r="K56" i="72"/>
  <c r="B57" i="72"/>
  <c r="AY56" i="72"/>
  <c r="AZ56" i="72"/>
  <c r="Z56" i="72"/>
  <c r="AV56" i="72"/>
  <c r="AU56" i="72"/>
  <c r="V56" i="72"/>
  <c r="AQ56" i="72"/>
  <c r="AR56" i="72"/>
  <c r="C54" i="72"/>
  <c r="A55" i="72"/>
  <c r="AQ20" i="72"/>
  <c r="AR20" i="72" s="1"/>
  <c r="AY20" i="72"/>
  <c r="AZ20" i="72" s="1"/>
  <c r="B25" i="72"/>
  <c r="Z24" i="72"/>
  <c r="V24" i="72"/>
  <c r="Q24" i="72"/>
  <c r="AU19" i="72"/>
  <c r="AV19" i="72" s="1"/>
  <c r="AY19" i="72"/>
  <c r="AZ19" i="72" s="1"/>
  <c r="AL19" i="72"/>
  <c r="AM19" i="72"/>
  <c r="A21" i="72"/>
  <c r="C20" i="72"/>
  <c r="K20" i="72"/>
  <c r="AN22" i="72" a="1"/>
  <c r="AN22" i="72" s="1"/>
  <c r="A6" i="52"/>
  <c r="L13" i="17"/>
  <c r="AZ120" i="72" l="1"/>
  <c r="AM120" i="72"/>
  <c r="Z120" i="72"/>
  <c r="B121" i="72"/>
  <c r="AY120" i="72"/>
  <c r="AV120" i="72"/>
  <c r="AU120" i="72"/>
  <c r="AQ120" i="72"/>
  <c r="Q120" i="72"/>
  <c r="AL120" i="72"/>
  <c r="V120" i="72"/>
  <c r="AR120" i="72"/>
  <c r="AN120" i="72" a="1"/>
  <c r="AN120" i="72" s="1"/>
  <c r="V184" i="72"/>
  <c r="AR184" i="72"/>
  <c r="AQ184" i="72"/>
  <c r="AN184" i="72" a="1"/>
  <c r="AN184" i="72" s="1"/>
  <c r="Z184" i="72"/>
  <c r="AL184" i="72"/>
  <c r="Q184" i="72"/>
  <c r="AM184" i="72"/>
  <c r="K184" i="72"/>
  <c r="AV184" i="72"/>
  <c r="AZ184" i="72"/>
  <c r="AY184" i="72"/>
  <c r="B185" i="72"/>
  <c r="AU184" i="72"/>
  <c r="AN152" i="72" a="1"/>
  <c r="AN152" i="72" s="1"/>
  <c r="AU152" i="72"/>
  <c r="Q152" i="72"/>
  <c r="AM152" i="72"/>
  <c r="AL152" i="72"/>
  <c r="K152" i="72"/>
  <c r="AV152" i="72"/>
  <c r="B153" i="72"/>
  <c r="AZ152" i="72"/>
  <c r="Z152" i="72"/>
  <c r="AR152" i="72"/>
  <c r="V152" i="72"/>
  <c r="AY152" i="72"/>
  <c r="AQ152" i="72"/>
  <c r="C150" i="72"/>
  <c r="A151" i="72"/>
  <c r="B217" i="72"/>
  <c r="AZ216" i="72"/>
  <c r="Z216" i="72"/>
  <c r="AM216" i="72"/>
  <c r="AY216" i="72"/>
  <c r="AV216" i="72"/>
  <c r="K216" i="72"/>
  <c r="V216" i="72"/>
  <c r="AN216" i="72" a="1"/>
  <c r="AN216" i="72" s="1"/>
  <c r="Q216" i="72"/>
  <c r="AU216" i="72"/>
  <c r="AR216" i="72"/>
  <c r="AQ216" i="72"/>
  <c r="AL216" i="72"/>
  <c r="G214" i="72"/>
  <c r="A215" i="72"/>
  <c r="C214" i="72"/>
  <c r="C182" i="72"/>
  <c r="A183" i="72"/>
  <c r="C118" i="72"/>
  <c r="A119" i="72"/>
  <c r="Q90" i="72"/>
  <c r="B91" i="72"/>
  <c r="Z90" i="72"/>
  <c r="V90" i="72"/>
  <c r="C87" i="72"/>
  <c r="A88" i="72"/>
  <c r="AQ57" i="72"/>
  <c r="AN57" i="72" a="1"/>
  <c r="AN57" i="72" s="1"/>
  <c r="Q57" i="72"/>
  <c r="AM57" i="72"/>
  <c r="AL57" i="72"/>
  <c r="AZ57" i="72"/>
  <c r="K57" i="72"/>
  <c r="B58" i="72"/>
  <c r="Z57" i="72"/>
  <c r="AY57" i="72"/>
  <c r="AV57" i="72"/>
  <c r="AR57" i="72"/>
  <c r="AU57" i="72"/>
  <c r="V57" i="72"/>
  <c r="A56" i="72"/>
  <c r="C55" i="72"/>
  <c r="AL20" i="72"/>
  <c r="AY21" i="72"/>
  <c r="AZ21" i="72" s="1"/>
  <c r="AU21" i="72"/>
  <c r="AV21" i="72" s="1"/>
  <c r="B26" i="72"/>
  <c r="Q25" i="72"/>
  <c r="Z25" i="72"/>
  <c r="V25" i="72"/>
  <c r="AU20" i="72"/>
  <c r="AV20" i="72" s="1"/>
  <c r="AM20" i="72"/>
  <c r="AM21" i="72" s="1"/>
  <c r="A22" i="72"/>
  <c r="C21" i="72"/>
  <c r="AN23" i="72" a="1"/>
  <c r="AN23" i="72" s="1"/>
  <c r="C215" i="72" l="1"/>
  <c r="A216" i="72"/>
  <c r="AV185" i="72"/>
  <c r="AU185" i="72"/>
  <c r="V185" i="72"/>
  <c r="AR185" i="72"/>
  <c r="AQ185" i="72"/>
  <c r="Q185" i="72"/>
  <c r="AM185" i="72"/>
  <c r="AL185" i="72"/>
  <c r="Z185" i="72"/>
  <c r="AN185" i="72" a="1"/>
  <c r="AN185" i="72" s="1"/>
  <c r="AY185" i="72"/>
  <c r="K185" i="72"/>
  <c r="AZ185" i="72"/>
  <c r="B186" i="72"/>
  <c r="C183" i="72"/>
  <c r="A184" i="72"/>
  <c r="A152" i="72"/>
  <c r="C151" i="72"/>
  <c r="AL121" i="72"/>
  <c r="Z121" i="72"/>
  <c r="AY121" i="72"/>
  <c r="K121" i="72"/>
  <c r="AU121" i="72"/>
  <c r="Q121" i="72"/>
  <c r="B122" i="72"/>
  <c r="AZ121" i="72"/>
  <c r="AV121" i="72"/>
  <c r="V121" i="72"/>
  <c r="AM121" i="72"/>
  <c r="AR121" i="72"/>
  <c r="AQ121" i="72"/>
  <c r="AN121" i="72" a="1"/>
  <c r="AN121" i="72" s="1"/>
  <c r="K217" i="72"/>
  <c r="B218" i="72"/>
  <c r="AZ217" i="72"/>
  <c r="Z217" i="72"/>
  <c r="AY217" i="72"/>
  <c r="AV217" i="72"/>
  <c r="AU217" i="72"/>
  <c r="AM217" i="72"/>
  <c r="V217" i="72"/>
  <c r="Q217" i="72"/>
  <c r="AL217" i="72"/>
  <c r="AN217" i="72" a="1"/>
  <c r="AN217" i="72" s="1"/>
  <c r="AR217" i="72"/>
  <c r="AQ217" i="72"/>
  <c r="AN153" i="72" a="1"/>
  <c r="AN153" i="72" s="1"/>
  <c r="AY153" i="72"/>
  <c r="Q153" i="72"/>
  <c r="B154" i="72"/>
  <c r="Z153" i="72"/>
  <c r="AV153" i="72"/>
  <c r="AM153" i="72"/>
  <c r="V153" i="72"/>
  <c r="AU153" i="72"/>
  <c r="AL153" i="72"/>
  <c r="AR153" i="72"/>
  <c r="AZ153" i="72"/>
  <c r="AQ153" i="72"/>
  <c r="C119" i="72"/>
  <c r="A120" i="72"/>
  <c r="G235" i="72"/>
  <c r="G216" i="72"/>
  <c r="Q91" i="72"/>
  <c r="Z91" i="72"/>
  <c r="B92" i="72"/>
  <c r="V91" i="72"/>
  <c r="C88" i="72"/>
  <c r="A89" i="72"/>
  <c r="AR58" i="72"/>
  <c r="AQ58" i="72"/>
  <c r="AN58" i="72" a="1"/>
  <c r="AN58" i="72" s="1"/>
  <c r="Q58" i="72"/>
  <c r="AM58" i="72"/>
  <c r="AL58" i="72"/>
  <c r="B59" i="72"/>
  <c r="AZ58" i="72"/>
  <c r="Z58" i="72"/>
  <c r="AU58" i="72"/>
  <c r="AY58" i="72"/>
  <c r="AV58" i="72"/>
  <c r="V58" i="72"/>
  <c r="A57" i="72"/>
  <c r="C56" i="72"/>
  <c r="B27" i="72"/>
  <c r="V26" i="72"/>
  <c r="Z26" i="72"/>
  <c r="Q26" i="72"/>
  <c r="AL21" i="72"/>
  <c r="AY22" i="72"/>
  <c r="AZ22" i="72" s="1"/>
  <c r="AU22" i="72"/>
  <c r="AV22" i="72" s="1"/>
  <c r="AQ22" i="72"/>
  <c r="AR22" i="72" s="1"/>
  <c r="AQ21" i="72"/>
  <c r="AR21" i="72" s="1"/>
  <c r="A23" i="72"/>
  <c r="C22" i="72"/>
  <c r="AN24" i="72" a="1"/>
  <c r="AN24" i="72" s="1"/>
  <c r="K22" i="72"/>
  <c r="AQ122" i="72" l="1"/>
  <c r="AN122" i="72" a="1"/>
  <c r="AN122" i="72" s="1"/>
  <c r="AM122" i="72"/>
  <c r="AL122" i="72"/>
  <c r="AU122" i="72"/>
  <c r="AR122" i="72"/>
  <c r="Q122" i="72"/>
  <c r="Z122" i="72"/>
  <c r="K122" i="72"/>
  <c r="B123" i="72"/>
  <c r="AY122" i="72"/>
  <c r="V122" i="72"/>
  <c r="AZ122" i="72"/>
  <c r="AV122" i="72"/>
  <c r="A121" i="72"/>
  <c r="C120" i="72"/>
  <c r="AQ154" i="72"/>
  <c r="V154" i="72"/>
  <c r="Z154" i="72"/>
  <c r="AY154" i="72"/>
  <c r="AV154" i="72"/>
  <c r="AN154" i="72" a="1"/>
  <c r="AN154" i="72" s="1"/>
  <c r="Q154" i="72"/>
  <c r="AM154" i="72"/>
  <c r="AL154" i="72"/>
  <c r="AZ154" i="72"/>
  <c r="K154" i="72"/>
  <c r="B155" i="72"/>
  <c r="AR154" i="72"/>
  <c r="AU154" i="72"/>
  <c r="AM218" i="72"/>
  <c r="Q218" i="72"/>
  <c r="AL218" i="72"/>
  <c r="K218" i="72"/>
  <c r="B219" i="72"/>
  <c r="AV218" i="72"/>
  <c r="AN218" i="72" a="1"/>
  <c r="AN218" i="72" s="1"/>
  <c r="V218" i="72"/>
  <c r="AZ218" i="72"/>
  <c r="Z218" i="72"/>
  <c r="AY218" i="72"/>
  <c r="AR218" i="72"/>
  <c r="AU218" i="72"/>
  <c r="AQ218" i="72"/>
  <c r="C152" i="72"/>
  <c r="A153" i="72"/>
  <c r="AV186" i="72"/>
  <c r="B187" i="72"/>
  <c r="AZ186" i="72"/>
  <c r="AY186" i="72"/>
  <c r="AU186" i="72"/>
  <c r="V186" i="72"/>
  <c r="Z186" i="72"/>
  <c r="AR186" i="72"/>
  <c r="Q186" i="72"/>
  <c r="AQ186" i="72"/>
  <c r="AM186" i="72"/>
  <c r="AL186" i="72"/>
  <c r="AN186" i="72" a="1"/>
  <c r="AN186" i="72" s="1"/>
  <c r="C184" i="72"/>
  <c r="A185" i="72"/>
  <c r="A217" i="72"/>
  <c r="C216" i="72"/>
  <c r="C89" i="72"/>
  <c r="A90" i="72"/>
  <c r="Q92" i="72"/>
  <c r="Z92" i="72"/>
  <c r="B93" i="72"/>
  <c r="V92" i="72"/>
  <c r="AR59" i="72"/>
  <c r="AQ59" i="72"/>
  <c r="AN59" i="72" a="1"/>
  <c r="AN59" i="72" s="1"/>
  <c r="Q59" i="72"/>
  <c r="AM59" i="72"/>
  <c r="AL59" i="72"/>
  <c r="K59" i="72"/>
  <c r="B60" i="72"/>
  <c r="AZ59" i="72"/>
  <c r="Z59" i="72"/>
  <c r="AU59" i="72"/>
  <c r="AY59" i="72"/>
  <c r="V59" i="72"/>
  <c r="AV59" i="72"/>
  <c r="C57" i="72"/>
  <c r="A58" i="72"/>
  <c r="AL22" i="72"/>
  <c r="AY23" i="72"/>
  <c r="AZ23" i="72" s="1"/>
  <c r="B28" i="72"/>
  <c r="V27" i="72"/>
  <c r="Z27" i="72"/>
  <c r="Q27" i="72"/>
  <c r="A24" i="72"/>
  <c r="C23" i="72"/>
  <c r="AN25" i="72" a="1"/>
  <c r="AN25" i="72" s="1"/>
  <c r="K23" i="72"/>
  <c r="AM22" i="72"/>
  <c r="AM23" i="72" s="1"/>
  <c r="C153" i="72" l="1"/>
  <c r="A154" i="72"/>
  <c r="AM123" i="72"/>
  <c r="AL123" i="72"/>
  <c r="K123" i="72"/>
  <c r="AZ123" i="72"/>
  <c r="Q123" i="72"/>
  <c r="B124" i="72"/>
  <c r="AQ123" i="72"/>
  <c r="AN123" i="72" a="1"/>
  <c r="AN123" i="72" s="1"/>
  <c r="Z123" i="72"/>
  <c r="AU123" i="72"/>
  <c r="V123" i="72"/>
  <c r="AY123" i="72"/>
  <c r="AR123" i="72"/>
  <c r="AV123" i="72"/>
  <c r="A218" i="72"/>
  <c r="C217" i="72"/>
  <c r="A122" i="72"/>
  <c r="C121" i="72"/>
  <c r="AY155" i="72"/>
  <c r="AN155" i="72" a="1"/>
  <c r="AN155" i="72" s="1"/>
  <c r="Q155" i="72"/>
  <c r="AU155" i="72"/>
  <c r="AM155" i="72"/>
  <c r="AL155" i="72"/>
  <c r="AV155" i="72"/>
  <c r="K155" i="72"/>
  <c r="AZ155" i="72"/>
  <c r="Z155" i="72"/>
  <c r="B156" i="72"/>
  <c r="AQ155" i="72"/>
  <c r="V155" i="72"/>
  <c r="AR155" i="72"/>
  <c r="Q219" i="72"/>
  <c r="AZ219" i="72"/>
  <c r="AV219" i="72"/>
  <c r="AQ219" i="72"/>
  <c r="AM219" i="72"/>
  <c r="AU219" i="72"/>
  <c r="AL219" i="72"/>
  <c r="AY219" i="72"/>
  <c r="B220" i="72"/>
  <c r="AN219" i="72" a="1"/>
  <c r="AN219" i="72" s="1"/>
  <c r="Z219" i="72"/>
  <c r="V219" i="72"/>
  <c r="AR219" i="72"/>
  <c r="K187" i="72"/>
  <c r="AR187" i="72"/>
  <c r="AZ187" i="72"/>
  <c r="AV187" i="72"/>
  <c r="AQ187" i="72"/>
  <c r="Z187" i="72"/>
  <c r="AL187" i="72"/>
  <c r="AY187" i="72"/>
  <c r="AN187" i="72" a="1"/>
  <c r="AN187" i="72" s="1"/>
  <c r="AU187" i="72"/>
  <c r="AM187" i="72"/>
  <c r="V187" i="72"/>
  <c r="B188" i="72"/>
  <c r="Q187" i="72"/>
  <c r="C185" i="72"/>
  <c r="A186" i="72"/>
  <c r="Q93" i="72"/>
  <c r="Z93" i="72"/>
  <c r="B94" i="72"/>
  <c r="V93" i="72"/>
  <c r="C90" i="72"/>
  <c r="A91" i="72"/>
  <c r="C58" i="72"/>
  <c r="A59" i="72"/>
  <c r="AR60" i="72"/>
  <c r="AQ60" i="72"/>
  <c r="AN60" i="72" a="1"/>
  <c r="AN60" i="72" s="1"/>
  <c r="Q60" i="72"/>
  <c r="AM60" i="72"/>
  <c r="AL60" i="72"/>
  <c r="K60" i="72"/>
  <c r="B61" i="72"/>
  <c r="AZ60" i="72"/>
  <c r="Z60" i="72"/>
  <c r="AU60" i="72"/>
  <c r="AY60" i="72"/>
  <c r="V60" i="72"/>
  <c r="AV60" i="72"/>
  <c r="B29" i="72"/>
  <c r="Z28" i="72"/>
  <c r="Q28" i="72"/>
  <c r="V28" i="72"/>
  <c r="AL23" i="72"/>
  <c r="AQ24" i="72"/>
  <c r="AR24" i="72" s="1"/>
  <c r="AY24" i="72"/>
  <c r="AZ24" i="72" s="1"/>
  <c r="AU24" i="72"/>
  <c r="AV24" i="72" s="1"/>
  <c r="AQ23" i="72"/>
  <c r="AR23" i="72" s="1"/>
  <c r="AU23" i="72"/>
  <c r="AV23" i="72" s="1"/>
  <c r="A25" i="72"/>
  <c r="C24" i="72"/>
  <c r="AN26" i="72" a="1"/>
  <c r="AN26" i="72" s="1"/>
  <c r="K24" i="72"/>
  <c r="V220" i="72" l="1"/>
  <c r="AQ220" i="72"/>
  <c r="AY220" i="72"/>
  <c r="AU220" i="72"/>
  <c r="AV220" i="72"/>
  <c r="K220" i="72"/>
  <c r="B221" i="72"/>
  <c r="AR220" i="72"/>
  <c r="AN220" i="72" a="1"/>
  <c r="AN220" i="72" s="1"/>
  <c r="AM220" i="72"/>
  <c r="AL220" i="72"/>
  <c r="AZ220" i="72"/>
  <c r="Z220" i="72"/>
  <c r="Q220" i="72"/>
  <c r="AN124" i="72" a="1"/>
  <c r="AN124" i="72" s="1"/>
  <c r="Q124" i="72"/>
  <c r="Z124" i="72"/>
  <c r="AM124" i="72"/>
  <c r="AL124" i="72"/>
  <c r="B125" i="72"/>
  <c r="AZ124" i="72"/>
  <c r="AR124" i="72"/>
  <c r="AQ124" i="72"/>
  <c r="AY124" i="72"/>
  <c r="AV124" i="72"/>
  <c r="AU124" i="72"/>
  <c r="V124" i="72"/>
  <c r="B189" i="72"/>
  <c r="AR188" i="72"/>
  <c r="AY188" i="72"/>
  <c r="Q188" i="72"/>
  <c r="AQ188" i="72"/>
  <c r="AL188" i="72"/>
  <c r="Z188" i="72"/>
  <c r="AM188" i="72"/>
  <c r="AU188" i="72"/>
  <c r="AV188" i="72"/>
  <c r="K188" i="72"/>
  <c r="AZ188" i="72"/>
  <c r="V188" i="72"/>
  <c r="AN188" i="72" a="1"/>
  <c r="AN188" i="72" s="1"/>
  <c r="A187" i="72"/>
  <c r="C186" i="72"/>
  <c r="C122" i="72"/>
  <c r="A123" i="72"/>
  <c r="AQ156" i="72"/>
  <c r="AN156" i="72" a="1"/>
  <c r="AN156" i="72" s="1"/>
  <c r="AV156" i="72"/>
  <c r="Q156" i="72"/>
  <c r="B157" i="72"/>
  <c r="AM156" i="72"/>
  <c r="AL156" i="72"/>
  <c r="K156" i="72"/>
  <c r="AZ156" i="72"/>
  <c r="Z156" i="72"/>
  <c r="AY156" i="72"/>
  <c r="AR156" i="72"/>
  <c r="AU156" i="72"/>
  <c r="V156" i="72"/>
  <c r="C154" i="72"/>
  <c r="A155" i="72"/>
  <c r="C218" i="72"/>
  <c r="A219" i="72"/>
  <c r="Q94" i="72"/>
  <c r="Z94" i="72"/>
  <c r="B95" i="72"/>
  <c r="V94" i="72"/>
  <c r="C91" i="72"/>
  <c r="A92" i="72"/>
  <c r="C59" i="72"/>
  <c r="A60" i="72"/>
  <c r="AR61" i="72"/>
  <c r="AQ61" i="72"/>
  <c r="AN61" i="72" a="1"/>
  <c r="AN61" i="72" s="1"/>
  <c r="Q61" i="72"/>
  <c r="AM61" i="72"/>
  <c r="AL61" i="72"/>
  <c r="K61" i="72"/>
  <c r="B62" i="72"/>
  <c r="AZ61" i="72"/>
  <c r="Z61" i="72"/>
  <c r="AY61" i="72"/>
  <c r="AU61" i="72"/>
  <c r="AV61" i="72"/>
  <c r="V61" i="72"/>
  <c r="B30" i="72"/>
  <c r="Q29" i="72"/>
  <c r="V29" i="72"/>
  <c r="Z29" i="72"/>
  <c r="AL24" i="72"/>
  <c r="AU25" i="72"/>
  <c r="AV25" i="72" s="1"/>
  <c r="AQ25" i="72"/>
  <c r="AR25" i="72" s="1"/>
  <c r="AY25" i="72"/>
  <c r="AZ25" i="72" s="1"/>
  <c r="A26" i="72"/>
  <c r="C25" i="72"/>
  <c r="AN27" i="72" a="1"/>
  <c r="AN27" i="72" s="1"/>
  <c r="AM24" i="72"/>
  <c r="AM25" i="72" s="1"/>
  <c r="E31" i="62"/>
  <c r="E31" i="61"/>
  <c r="E31" i="57"/>
  <c r="E13" i="1"/>
  <c r="C187" i="72" l="1"/>
  <c r="A188" i="72"/>
  <c r="C155" i="72"/>
  <c r="A156" i="72"/>
  <c r="AQ189" i="72"/>
  <c r="AN189" i="72" a="1"/>
  <c r="AN189" i="72" s="1"/>
  <c r="AL189" i="72"/>
  <c r="K189" i="72"/>
  <c r="B190" i="72"/>
  <c r="AZ189" i="72"/>
  <c r="Z189" i="72"/>
  <c r="AY189" i="72"/>
  <c r="Q189" i="72"/>
  <c r="V189" i="72"/>
  <c r="AV189" i="72"/>
  <c r="AM189" i="72"/>
  <c r="AU189" i="72"/>
  <c r="AR189" i="72"/>
  <c r="AV221" i="72"/>
  <c r="V221" i="72"/>
  <c r="AN221" i="72" a="1"/>
  <c r="AN221" i="72" s="1"/>
  <c r="B222" i="72"/>
  <c r="AU221" i="72"/>
  <c r="AR221" i="72"/>
  <c r="Q221" i="72"/>
  <c r="AM221" i="72"/>
  <c r="AZ221" i="72"/>
  <c r="Z221" i="72"/>
  <c r="AY221" i="72"/>
  <c r="AL221" i="72"/>
  <c r="AQ221" i="72"/>
  <c r="K221" i="72"/>
  <c r="A124" i="72"/>
  <c r="C123" i="72"/>
  <c r="Q125" i="72"/>
  <c r="AM125" i="72"/>
  <c r="AL125" i="72"/>
  <c r="K125" i="72"/>
  <c r="Z125" i="72"/>
  <c r="AQ125" i="72"/>
  <c r="V125" i="72"/>
  <c r="B126" i="72"/>
  <c r="AR125" i="72"/>
  <c r="AN125" i="72" a="1"/>
  <c r="AN125" i="72" s="1"/>
  <c r="AZ125" i="72"/>
  <c r="AY125" i="72"/>
  <c r="AU125" i="72"/>
  <c r="AV125" i="72"/>
  <c r="C219" i="72"/>
  <c r="A220" i="72"/>
  <c r="AR157" i="72"/>
  <c r="AQ157" i="72"/>
  <c r="AN157" i="72" a="1"/>
  <c r="AN157" i="72" s="1"/>
  <c r="AM157" i="72"/>
  <c r="Q157" i="72"/>
  <c r="B158" i="72"/>
  <c r="AL157" i="72"/>
  <c r="AY157" i="72"/>
  <c r="AU157" i="72"/>
  <c r="AV157" i="72"/>
  <c r="Z157" i="72"/>
  <c r="V157" i="72"/>
  <c r="AZ157" i="72"/>
  <c r="E20" i="1"/>
  <c r="E16" i="1"/>
  <c r="E19" i="1"/>
  <c r="E15" i="1"/>
  <c r="E18" i="1"/>
  <c r="E17" i="1"/>
  <c r="E14" i="1"/>
  <c r="E34" i="62"/>
  <c r="E35" i="62"/>
  <c r="E32" i="62"/>
  <c r="E33" i="62"/>
  <c r="E36" i="62"/>
  <c r="E37" i="62"/>
  <c r="E38" i="62"/>
  <c r="E34" i="61"/>
  <c r="E36" i="61"/>
  <c r="E37" i="61"/>
  <c r="E32" i="61"/>
  <c r="E35" i="61"/>
  <c r="E38" i="61"/>
  <c r="E33" i="61"/>
  <c r="E36" i="57"/>
  <c r="E38" i="57"/>
  <c r="E32" i="57"/>
  <c r="E37" i="57"/>
  <c r="E35" i="57"/>
  <c r="E33" i="57"/>
  <c r="E34" i="57"/>
  <c r="C92" i="72"/>
  <c r="A93" i="72"/>
  <c r="V95" i="72"/>
  <c r="B96" i="72"/>
  <c r="Q95" i="72"/>
  <c r="Z95" i="72"/>
  <c r="C60" i="72"/>
  <c r="A61" i="72"/>
  <c r="AV62" i="72"/>
  <c r="AU62" i="72"/>
  <c r="V62" i="72"/>
  <c r="AR62" i="72"/>
  <c r="AQ62" i="72"/>
  <c r="AN62" i="72" a="1"/>
  <c r="AN62" i="72" s="1"/>
  <c r="Q62" i="72"/>
  <c r="AM62" i="72"/>
  <c r="AL62" i="72"/>
  <c r="B63" i="72"/>
  <c r="AY62" i="72"/>
  <c r="AZ62" i="72"/>
  <c r="Z62" i="72"/>
  <c r="AL25" i="72"/>
  <c r="AY26" i="72"/>
  <c r="AZ26" i="72" s="1"/>
  <c r="B31" i="72"/>
  <c r="Z30" i="72"/>
  <c r="V30" i="72"/>
  <c r="Q30" i="72"/>
  <c r="A27" i="72"/>
  <c r="C26" i="72"/>
  <c r="AL26" i="72" s="1"/>
  <c r="K26" i="72"/>
  <c r="AN28" i="72" a="1"/>
  <c r="AN28" i="72" s="1"/>
  <c r="Q126" i="72" l="1"/>
  <c r="AQ126" i="72"/>
  <c r="AM126" i="72"/>
  <c r="V126" i="72"/>
  <c r="AL126" i="72"/>
  <c r="K126" i="72"/>
  <c r="B127" i="72"/>
  <c r="AR126" i="72"/>
  <c r="AZ126" i="72"/>
  <c r="Z126" i="72"/>
  <c r="AY126" i="72"/>
  <c r="AV126" i="72"/>
  <c r="AU126" i="72"/>
  <c r="AN126" i="72" a="1"/>
  <c r="AN126" i="72" s="1"/>
  <c r="AM190" i="72"/>
  <c r="AL190" i="72"/>
  <c r="B191" i="72"/>
  <c r="AY190" i="72"/>
  <c r="Q190" i="72"/>
  <c r="AZ190" i="72"/>
  <c r="Z190" i="72"/>
  <c r="AR190" i="72"/>
  <c r="AU190" i="72"/>
  <c r="AN190" i="72" a="1"/>
  <c r="AN190" i="72" s="1"/>
  <c r="AV190" i="72"/>
  <c r="V190" i="72"/>
  <c r="AQ190" i="72"/>
  <c r="AQ158" i="72"/>
  <c r="AN158" i="72" a="1"/>
  <c r="AN158" i="72" s="1"/>
  <c r="Q158" i="72"/>
  <c r="AM158" i="72"/>
  <c r="AU158" i="72"/>
  <c r="AL158" i="72"/>
  <c r="AR158" i="72"/>
  <c r="K158" i="72"/>
  <c r="AV158" i="72"/>
  <c r="B159" i="72"/>
  <c r="Z158" i="72"/>
  <c r="V158" i="72"/>
  <c r="AY158" i="72"/>
  <c r="AZ158" i="72"/>
  <c r="AM222" i="72"/>
  <c r="AL222" i="72"/>
  <c r="AY222" i="72"/>
  <c r="K222" i="72"/>
  <c r="B223" i="72"/>
  <c r="AQ222" i="72"/>
  <c r="Z222" i="72"/>
  <c r="AN222" i="72" a="1"/>
  <c r="AN222" i="72" s="1"/>
  <c r="AZ222" i="72"/>
  <c r="V222" i="72"/>
  <c r="AV222" i="72"/>
  <c r="AU222" i="72"/>
  <c r="Q222" i="72"/>
  <c r="AR222" i="72"/>
  <c r="A157" i="72"/>
  <c r="C156" i="72"/>
  <c r="C220" i="72"/>
  <c r="A221" i="72"/>
  <c r="A189" i="72"/>
  <c r="C188" i="72"/>
  <c r="A125" i="72"/>
  <c r="C124" i="72"/>
  <c r="I21" i="1"/>
  <c r="H21" i="1"/>
  <c r="M21" i="1"/>
  <c r="L21" i="1"/>
  <c r="P21" i="1"/>
  <c r="O21" i="1"/>
  <c r="F39" i="62"/>
  <c r="M39" i="62"/>
  <c r="M35" i="52" s="1"/>
  <c r="L39" i="62" a="1"/>
  <c r="L39" i="62" s="1"/>
  <c r="N39" i="62" a="1"/>
  <c r="N39" i="62" s="1"/>
  <c r="K39" i="62" a="1"/>
  <c r="K39" i="62" s="1"/>
  <c r="U39" i="62"/>
  <c r="O39" i="62" a="1"/>
  <c r="O39" i="62" s="1"/>
  <c r="J39" i="62" a="1"/>
  <c r="J39" i="62" s="1"/>
  <c r="S39" i="62"/>
  <c r="Q39" i="62"/>
  <c r="V39" i="62"/>
  <c r="N39" i="61"/>
  <c r="W39" i="61"/>
  <c r="P39" i="61" a="1"/>
  <c r="P39" i="61" s="1"/>
  <c r="O39" i="61" a="1"/>
  <c r="O39" i="61" s="1"/>
  <c r="T39" i="61"/>
  <c r="F39" i="61"/>
  <c r="V39" i="61"/>
  <c r="M39" i="61" a="1"/>
  <c r="M39" i="61" s="1"/>
  <c r="L39" i="61" a="1"/>
  <c r="L39" i="61" s="1"/>
  <c r="K39" i="61" a="1"/>
  <c r="K39" i="61" s="1"/>
  <c r="R39" i="61"/>
  <c r="R39" i="57"/>
  <c r="W39" i="57"/>
  <c r="N39" i="57"/>
  <c r="V39" i="57"/>
  <c r="M39" i="57" a="1"/>
  <c r="M39" i="57" s="1"/>
  <c r="K39" i="57" a="1"/>
  <c r="K39" i="57" s="1"/>
  <c r="T39" i="57"/>
  <c r="P39" i="57" a="1"/>
  <c r="P39" i="57" s="1"/>
  <c r="O39" i="57" a="1"/>
  <c r="O39" i="57" s="1"/>
  <c r="L39" i="57" a="1"/>
  <c r="L39" i="57" s="1"/>
  <c r="F39" i="57"/>
  <c r="C93" i="72"/>
  <c r="A94" i="72"/>
  <c r="V96" i="72"/>
  <c r="Q96" i="72"/>
  <c r="B97" i="72"/>
  <c r="Z96" i="72"/>
  <c r="AY63" i="72"/>
  <c r="AV63" i="72"/>
  <c r="AU63" i="72"/>
  <c r="V63" i="72"/>
  <c r="AR63" i="72"/>
  <c r="AQ63" i="72"/>
  <c r="AN63" i="72" a="1"/>
  <c r="AN63" i="72" s="1"/>
  <c r="Q63" i="72"/>
  <c r="AM63" i="72"/>
  <c r="AL63" i="72"/>
  <c r="B64" i="72"/>
  <c r="AZ63" i="72"/>
  <c r="Z63" i="72"/>
  <c r="C61" i="72"/>
  <c r="A62" i="72"/>
  <c r="B32" i="72"/>
  <c r="V31" i="72"/>
  <c r="Q31" i="72"/>
  <c r="Z31" i="72"/>
  <c r="AU26" i="72"/>
  <c r="AV26" i="72" s="1"/>
  <c r="AQ26" i="72"/>
  <c r="AR26" i="72" s="1"/>
  <c r="AQ27" i="72"/>
  <c r="AR27" i="72" s="1"/>
  <c r="AY27" i="72"/>
  <c r="AZ27" i="72" s="1"/>
  <c r="AU27" i="72"/>
  <c r="AV27" i="72" s="1"/>
  <c r="AM26" i="72"/>
  <c r="AM27" i="72" s="1"/>
  <c r="A28" i="72"/>
  <c r="C27" i="72"/>
  <c r="AL27" i="72" s="1"/>
  <c r="K27" i="72"/>
  <c r="AN29" i="72" a="1"/>
  <c r="AN29" i="72" s="1"/>
  <c r="A222" i="72" l="1"/>
  <c r="C221" i="72"/>
  <c r="A158" i="72"/>
  <c r="C157" i="72"/>
  <c r="C189" i="72"/>
  <c r="A190" i="72"/>
  <c r="Q127" i="72"/>
  <c r="AY127" i="72"/>
  <c r="AM127" i="72"/>
  <c r="AQ127" i="72"/>
  <c r="AL127" i="72"/>
  <c r="K127" i="72"/>
  <c r="B128" i="72"/>
  <c r="AU127" i="72"/>
  <c r="AZ127" i="72"/>
  <c r="AV127" i="72"/>
  <c r="Z127" i="72"/>
  <c r="V127" i="72"/>
  <c r="AN127" i="72" a="1"/>
  <c r="AN127" i="72" s="1"/>
  <c r="AR127" i="72"/>
  <c r="AN223" i="72" a="1"/>
  <c r="AN223" i="72" s="1"/>
  <c r="Q223" i="72"/>
  <c r="AM223" i="72"/>
  <c r="B224" i="72"/>
  <c r="Z223" i="72"/>
  <c r="AL223" i="72"/>
  <c r="AY223" i="72"/>
  <c r="V223" i="72"/>
  <c r="AQ223" i="72"/>
  <c r="AZ223" i="72"/>
  <c r="AU223" i="72"/>
  <c r="AR223" i="72"/>
  <c r="AV223" i="72"/>
  <c r="AQ159" i="72"/>
  <c r="AU159" i="72"/>
  <c r="AZ159" i="72"/>
  <c r="AR159" i="72"/>
  <c r="AN159" i="72" a="1"/>
  <c r="AN159" i="72" s="1"/>
  <c r="Q159" i="72"/>
  <c r="Z159" i="72"/>
  <c r="AM159" i="72"/>
  <c r="AL159" i="72"/>
  <c r="AV159" i="72"/>
  <c r="K159" i="72"/>
  <c r="AY159" i="72"/>
  <c r="V159" i="72"/>
  <c r="B160" i="72"/>
  <c r="A126" i="72"/>
  <c r="C125" i="72"/>
  <c r="AM191" i="72"/>
  <c r="AL191" i="72"/>
  <c r="K191" i="72"/>
  <c r="B192" i="72"/>
  <c r="AZ191" i="72"/>
  <c r="V191" i="72"/>
  <c r="Z191" i="72"/>
  <c r="AY191" i="72"/>
  <c r="AV191" i="72"/>
  <c r="AU191" i="72"/>
  <c r="AQ191" i="72"/>
  <c r="AR191" i="72"/>
  <c r="AN191" i="72" a="1"/>
  <c r="AN191" i="72" s="1"/>
  <c r="Q191" i="72"/>
  <c r="Q21" i="1" a="1"/>
  <c r="Q21" i="1" s="1"/>
  <c r="C94" i="72"/>
  <c r="A95" i="72"/>
  <c r="Z97" i="72"/>
  <c r="V97" i="72"/>
  <c r="Q97" i="72"/>
  <c r="B98" i="72"/>
  <c r="AZ64" i="72"/>
  <c r="Z64" i="72"/>
  <c r="AY64" i="72"/>
  <c r="AV64" i="72"/>
  <c r="AU64" i="72"/>
  <c r="V64" i="72"/>
  <c r="AL64" i="72"/>
  <c r="AR64" i="72"/>
  <c r="AQ64" i="72"/>
  <c r="AN64" i="72" a="1"/>
  <c r="AN64" i="72" s="1"/>
  <c r="Q64" i="72"/>
  <c r="AM64" i="72"/>
  <c r="B65" i="72"/>
  <c r="C62" i="72"/>
  <c r="A63" i="72"/>
  <c r="B33" i="72"/>
  <c r="Z32" i="72"/>
  <c r="V32" i="72"/>
  <c r="Q32" i="72"/>
  <c r="AQ28" i="72"/>
  <c r="AR28" i="72" s="1"/>
  <c r="AY28" i="72"/>
  <c r="AZ28" i="72" s="1"/>
  <c r="AU28" i="72"/>
  <c r="AV28" i="72" s="1"/>
  <c r="A29" i="72"/>
  <c r="C28" i="72"/>
  <c r="AL28" i="72" s="1"/>
  <c r="K28" i="72"/>
  <c r="AN30" i="72" a="1"/>
  <c r="AN30" i="72" s="1"/>
  <c r="AU224" i="72" l="1"/>
  <c r="AQ224" i="72"/>
  <c r="AN224" i="72" a="1"/>
  <c r="AN224" i="72" s="1"/>
  <c r="AZ224" i="72"/>
  <c r="Q224" i="72"/>
  <c r="AY224" i="72"/>
  <c r="AM224" i="72"/>
  <c r="V224" i="72"/>
  <c r="AL224" i="72"/>
  <c r="K224" i="72"/>
  <c r="AR224" i="72"/>
  <c r="B225" i="72"/>
  <c r="Z224" i="72"/>
  <c r="AV224" i="72"/>
  <c r="AN160" i="72" a="1"/>
  <c r="AN160" i="72" s="1"/>
  <c r="K160" i="72"/>
  <c r="AV160" i="72"/>
  <c r="Q160" i="72"/>
  <c r="AQ160" i="72"/>
  <c r="AM160" i="72"/>
  <c r="AL160" i="72"/>
  <c r="AY160" i="72"/>
  <c r="B161" i="72"/>
  <c r="Z160" i="72"/>
  <c r="V160" i="72"/>
  <c r="AZ160" i="72"/>
  <c r="AU160" i="72"/>
  <c r="AR160" i="72"/>
  <c r="A191" i="72"/>
  <c r="C190" i="72"/>
  <c r="AL128" i="72"/>
  <c r="AN128" i="72" a="1"/>
  <c r="AN128" i="72" s="1"/>
  <c r="AM128" i="72"/>
  <c r="B129" i="72"/>
  <c r="AY128" i="72"/>
  <c r="AZ128" i="72"/>
  <c r="AQ128" i="72"/>
  <c r="Z128" i="72"/>
  <c r="AV128" i="72"/>
  <c r="AU128" i="72"/>
  <c r="AR128" i="72"/>
  <c r="V128" i="72"/>
  <c r="Q128" i="72"/>
  <c r="A159" i="72"/>
  <c r="C158" i="72"/>
  <c r="C126" i="72"/>
  <c r="A127" i="72"/>
  <c r="V192" i="72"/>
  <c r="AM192" i="72"/>
  <c r="AU192" i="72"/>
  <c r="AL192" i="72"/>
  <c r="K192" i="72"/>
  <c r="B193" i="72"/>
  <c r="AZ192" i="72"/>
  <c r="AQ192" i="72"/>
  <c r="Z192" i="72"/>
  <c r="AY192" i="72"/>
  <c r="AN192" i="72" a="1"/>
  <c r="AN192" i="72" s="1"/>
  <c r="AV192" i="72"/>
  <c r="AR192" i="72"/>
  <c r="Q192" i="72"/>
  <c r="A223" i="72"/>
  <c r="C222" i="72"/>
  <c r="Z98" i="72"/>
  <c r="V98" i="72"/>
  <c r="Q98" i="72"/>
  <c r="B99" i="72"/>
  <c r="C95" i="72"/>
  <c r="A96" i="72"/>
  <c r="C63" i="72"/>
  <c r="A64" i="72"/>
  <c r="AZ65" i="72"/>
  <c r="Z65" i="72"/>
  <c r="AY65" i="72"/>
  <c r="AV65" i="72"/>
  <c r="AU65" i="72"/>
  <c r="V65" i="72"/>
  <c r="AM65" i="72"/>
  <c r="AR65" i="72"/>
  <c r="AQ65" i="72"/>
  <c r="AN65" i="72" a="1"/>
  <c r="AN65" i="72" s="1"/>
  <c r="Q65" i="72"/>
  <c r="AL65" i="72"/>
  <c r="B66" i="72"/>
  <c r="AU29" i="72"/>
  <c r="AV29" i="72" s="1"/>
  <c r="B34" i="72"/>
  <c r="Q33" i="72"/>
  <c r="Z33" i="72"/>
  <c r="V33" i="72"/>
  <c r="AM28" i="72"/>
  <c r="AM29" i="72" s="1"/>
  <c r="A30" i="72"/>
  <c r="C29" i="72"/>
  <c r="AL29" i="72" s="1"/>
  <c r="AN31" i="72" a="1"/>
  <c r="AN31" i="72" s="1"/>
  <c r="C191" i="72" l="1"/>
  <c r="A192" i="72"/>
  <c r="A224" i="72"/>
  <c r="C223" i="72"/>
  <c r="AM161" i="72"/>
  <c r="AV161" i="72"/>
  <c r="AU161" i="72"/>
  <c r="V161" i="72"/>
  <c r="AZ161" i="72"/>
  <c r="AR161" i="72"/>
  <c r="AL161" i="72"/>
  <c r="AQ161" i="72"/>
  <c r="B162" i="72"/>
  <c r="AY161" i="72"/>
  <c r="AN161" i="72" a="1"/>
  <c r="AN161" i="72" s="1"/>
  <c r="Q161" i="72"/>
  <c r="Z161" i="72"/>
  <c r="AN225" i="72" a="1"/>
  <c r="AN225" i="72" s="1"/>
  <c r="AR225" i="72"/>
  <c r="Q225" i="72"/>
  <c r="Z225" i="72"/>
  <c r="AM225" i="72"/>
  <c r="AL225" i="72"/>
  <c r="AQ225" i="72"/>
  <c r="K225" i="72"/>
  <c r="AU225" i="72"/>
  <c r="B226" i="72"/>
  <c r="AZ225" i="72"/>
  <c r="AY225" i="72"/>
  <c r="AV225" i="72"/>
  <c r="V225" i="72"/>
  <c r="AM193" i="72"/>
  <c r="Q193" i="72"/>
  <c r="V193" i="72"/>
  <c r="AL193" i="72"/>
  <c r="AQ193" i="72"/>
  <c r="K193" i="72"/>
  <c r="AR193" i="72"/>
  <c r="B194" i="72"/>
  <c r="AV193" i="72"/>
  <c r="AZ193" i="72"/>
  <c r="Z193" i="72"/>
  <c r="AU193" i="72"/>
  <c r="AY193" i="72"/>
  <c r="AN193" i="72" a="1"/>
  <c r="AN193" i="72" s="1"/>
  <c r="C127" i="72"/>
  <c r="A128" i="72"/>
  <c r="C159" i="72"/>
  <c r="A160" i="72"/>
  <c r="Z129" i="72"/>
  <c r="AY129" i="72"/>
  <c r="AU129" i="72"/>
  <c r="AV129" i="72"/>
  <c r="B130" i="72"/>
  <c r="AZ129" i="72"/>
  <c r="AR129" i="72"/>
  <c r="V129" i="72"/>
  <c r="AQ129" i="72"/>
  <c r="AN129" i="72" a="1"/>
  <c r="AN129" i="72" s="1"/>
  <c r="Q129" i="72"/>
  <c r="AM129" i="72"/>
  <c r="AL129" i="72"/>
  <c r="B100" i="72"/>
  <c r="Z99" i="72"/>
  <c r="V99" i="72"/>
  <c r="Q99" i="72"/>
  <c r="C96" i="72"/>
  <c r="A97" i="72"/>
  <c r="B67" i="72"/>
  <c r="AN66" i="72" a="1"/>
  <c r="AN66" i="72" s="1"/>
  <c r="AZ66" i="72"/>
  <c r="Z66" i="72"/>
  <c r="Q66" i="72"/>
  <c r="AY66" i="72"/>
  <c r="AL66" i="72"/>
  <c r="AV66" i="72"/>
  <c r="AU66" i="72"/>
  <c r="V66" i="72"/>
  <c r="AR66" i="72"/>
  <c r="AQ66" i="72"/>
  <c r="AM66" i="72"/>
  <c r="C64" i="72"/>
  <c r="A65" i="72"/>
  <c r="B35" i="72"/>
  <c r="Q34" i="72"/>
  <c r="Z34" i="72"/>
  <c r="V34" i="72"/>
  <c r="AY29" i="72"/>
  <c r="AZ29" i="72" s="1"/>
  <c r="AY30" i="72"/>
  <c r="AZ30" i="72" s="1"/>
  <c r="AU30" i="72"/>
  <c r="AV30" i="72" s="1"/>
  <c r="AQ30" i="72"/>
  <c r="AR30" i="72" s="1"/>
  <c r="AQ29" i="72"/>
  <c r="AR29" i="72" s="1"/>
  <c r="A31" i="72"/>
  <c r="C30" i="72"/>
  <c r="AM30" i="72" s="1"/>
  <c r="AN32" i="72" a="1"/>
  <c r="AN32" i="72" s="1"/>
  <c r="AL226" i="72" l="1"/>
  <c r="K226" i="72"/>
  <c r="B227" i="72"/>
  <c r="AZ226" i="72"/>
  <c r="AY226" i="72"/>
  <c r="AV226" i="72"/>
  <c r="AU226" i="72"/>
  <c r="AR226" i="72"/>
  <c r="Q226" i="72"/>
  <c r="AM226" i="72"/>
  <c r="Z226" i="72"/>
  <c r="V226" i="72"/>
  <c r="AQ226" i="72"/>
  <c r="AN226" i="72" a="1"/>
  <c r="AN226" i="72" s="1"/>
  <c r="C128" i="72"/>
  <c r="A129" i="72"/>
  <c r="AL194" i="72"/>
  <c r="B195" i="72"/>
  <c r="AR194" i="72"/>
  <c r="Q194" i="72"/>
  <c r="AQ194" i="72"/>
  <c r="AZ194" i="72"/>
  <c r="Z194" i="72"/>
  <c r="AV194" i="72"/>
  <c r="V194" i="72"/>
  <c r="AN194" i="72" a="1"/>
  <c r="AN194" i="72" s="1"/>
  <c r="AU194" i="72"/>
  <c r="AY194" i="72"/>
  <c r="AM194" i="72"/>
  <c r="AQ130" i="72"/>
  <c r="AY130" i="72"/>
  <c r="AU130" i="72"/>
  <c r="AN130" i="72" a="1"/>
  <c r="AN130" i="72" s="1"/>
  <c r="Q130" i="72"/>
  <c r="AL130" i="72"/>
  <c r="AM130" i="72"/>
  <c r="B131" i="72"/>
  <c r="Z130" i="72"/>
  <c r="AR130" i="72"/>
  <c r="AZ130" i="72"/>
  <c r="AV130" i="72"/>
  <c r="V130" i="72"/>
  <c r="C224" i="72"/>
  <c r="A225" i="72"/>
  <c r="A193" i="72"/>
  <c r="C192" i="72"/>
  <c r="AY162" i="72"/>
  <c r="AU162" i="72"/>
  <c r="AV162" i="72"/>
  <c r="Q162" i="72"/>
  <c r="V162" i="72"/>
  <c r="AR162" i="72"/>
  <c r="AQ162" i="72"/>
  <c r="Z162" i="72"/>
  <c r="AN162" i="72" a="1"/>
  <c r="AN162" i="72" s="1"/>
  <c r="AZ162" i="72"/>
  <c r="AM162" i="72"/>
  <c r="B163" i="72"/>
  <c r="AL162" i="72"/>
  <c r="A161" i="72"/>
  <c r="C160" i="72"/>
  <c r="B101" i="72"/>
  <c r="Z100" i="72"/>
  <c r="V100" i="72"/>
  <c r="Q100" i="72"/>
  <c r="C97" i="72"/>
  <c r="A98" i="72"/>
  <c r="A66" i="72"/>
  <c r="C65" i="72"/>
  <c r="B68" i="72"/>
  <c r="AZ67" i="72"/>
  <c r="Z67" i="72"/>
  <c r="AQ67" i="72"/>
  <c r="AY67" i="72"/>
  <c r="AV67" i="72"/>
  <c r="AU67" i="72"/>
  <c r="V67" i="72"/>
  <c r="AR67" i="72"/>
  <c r="AM67" i="72"/>
  <c r="AN67" i="72" a="1"/>
  <c r="AN67" i="72" s="1"/>
  <c r="AL67" i="72"/>
  <c r="Q67" i="72"/>
  <c r="B36" i="72"/>
  <c r="V35" i="72"/>
  <c r="Q35" i="72"/>
  <c r="Z35" i="72"/>
  <c r="A32" i="72"/>
  <c r="C31" i="72"/>
  <c r="AM31" i="72" s="1"/>
  <c r="AN33" i="72" a="1"/>
  <c r="AN33" i="72" s="1"/>
  <c r="AL30" i="72"/>
  <c r="AL31" i="72" s="1"/>
  <c r="C225" i="72" l="1"/>
  <c r="A226" i="72"/>
  <c r="AU163" i="72"/>
  <c r="AR163" i="72"/>
  <c r="AM163" i="72"/>
  <c r="AL163" i="72"/>
  <c r="V163" i="72"/>
  <c r="AN163" i="72" a="1"/>
  <c r="AN163" i="72" s="1"/>
  <c r="Q163" i="72"/>
  <c r="AZ163" i="72"/>
  <c r="AY163" i="72"/>
  <c r="AQ163" i="72"/>
  <c r="Z163" i="72"/>
  <c r="B164" i="72"/>
  <c r="AV163" i="72"/>
  <c r="AU131" i="72"/>
  <c r="AN131" i="72" a="1"/>
  <c r="AN131" i="72" s="1"/>
  <c r="V131" i="72"/>
  <c r="AY131" i="72"/>
  <c r="AR131" i="72"/>
  <c r="AL131" i="72"/>
  <c r="AQ131" i="72"/>
  <c r="Z131" i="72"/>
  <c r="B132" i="72"/>
  <c r="Q131" i="72"/>
  <c r="AM131" i="72"/>
  <c r="AV131" i="72"/>
  <c r="AZ131" i="72"/>
  <c r="A130" i="72"/>
  <c r="C129" i="72"/>
  <c r="AY227" i="72"/>
  <c r="AQ227" i="72"/>
  <c r="AV227" i="72"/>
  <c r="AM227" i="72"/>
  <c r="AN227" i="72" a="1"/>
  <c r="AN227" i="72" s="1"/>
  <c r="AU227" i="72"/>
  <c r="V227" i="72"/>
  <c r="Q227" i="72"/>
  <c r="AR227" i="72"/>
  <c r="AL227" i="72"/>
  <c r="Z227" i="72"/>
  <c r="B228" i="72"/>
  <c r="AZ227" i="72"/>
  <c r="C193" i="72"/>
  <c r="A194" i="72"/>
  <c r="C161" i="72"/>
  <c r="A162" i="72"/>
  <c r="AR195" i="72"/>
  <c r="B196" i="72"/>
  <c r="Z195" i="72"/>
  <c r="AV195" i="72"/>
  <c r="V195" i="72"/>
  <c r="AZ195" i="72"/>
  <c r="AY195" i="72"/>
  <c r="AQ195" i="72"/>
  <c r="AN195" i="72" a="1"/>
  <c r="AN195" i="72" s="1"/>
  <c r="AM195" i="72"/>
  <c r="AU195" i="72"/>
  <c r="Q195" i="72"/>
  <c r="AL195" i="72"/>
  <c r="A99" i="72"/>
  <c r="C98" i="72"/>
  <c r="B102" i="72"/>
  <c r="Z101" i="72"/>
  <c r="V101" i="72"/>
  <c r="Q101" i="72"/>
  <c r="V68" i="72"/>
  <c r="B69" i="72"/>
  <c r="AU68" i="72"/>
  <c r="AZ68" i="72"/>
  <c r="Z68" i="72"/>
  <c r="AQ68" i="72"/>
  <c r="AY68" i="72"/>
  <c r="AV68" i="72"/>
  <c r="AR68" i="72"/>
  <c r="AL68" i="72"/>
  <c r="AN68" i="72" a="1"/>
  <c r="AN68" i="72" s="1"/>
  <c r="Q68" i="72"/>
  <c r="AM68" i="72"/>
  <c r="A67" i="72"/>
  <c r="C66" i="72"/>
  <c r="B37" i="72"/>
  <c r="Q36" i="72"/>
  <c r="Z36" i="72"/>
  <c r="V36" i="72"/>
  <c r="AQ31" i="72"/>
  <c r="AR31" i="72" s="1"/>
  <c r="AU31" i="72"/>
  <c r="AV31" i="72" s="1"/>
  <c r="AY32" i="72"/>
  <c r="AZ32" i="72" s="1"/>
  <c r="AU32" i="72"/>
  <c r="AV32" i="72" s="1"/>
  <c r="AQ32" i="72"/>
  <c r="AR32" i="72" s="1"/>
  <c r="AY31" i="72"/>
  <c r="AZ31" i="72" s="1"/>
  <c r="A33" i="72"/>
  <c r="C32" i="72"/>
  <c r="AM32" i="72" s="1"/>
  <c r="AN34" i="72" a="1"/>
  <c r="AN34" i="72" s="1"/>
  <c r="AY164" i="72" l="1"/>
  <c r="AV164" i="72"/>
  <c r="AR164" i="72"/>
  <c r="AU164" i="72"/>
  <c r="V164" i="72"/>
  <c r="B165" i="72"/>
  <c r="AQ164" i="72"/>
  <c r="AN164" i="72" a="1"/>
  <c r="AN164" i="72" s="1"/>
  <c r="Z164" i="72"/>
  <c r="Q164" i="72"/>
  <c r="AM164" i="72"/>
  <c r="AL164" i="72"/>
  <c r="AZ164" i="72"/>
  <c r="AV228" i="72"/>
  <c r="V228" i="72"/>
  <c r="Z228" i="72"/>
  <c r="AY228" i="72"/>
  <c r="AU228" i="72"/>
  <c r="AR228" i="72"/>
  <c r="AM228" i="72"/>
  <c r="AQ228" i="72"/>
  <c r="AN228" i="72" a="1"/>
  <c r="AN228" i="72" s="1"/>
  <c r="Q228" i="72"/>
  <c r="B229" i="72"/>
  <c r="AL228" i="72"/>
  <c r="AZ228" i="72"/>
  <c r="V132" i="72"/>
  <c r="AN132" i="72" a="1"/>
  <c r="AN132" i="72" s="1"/>
  <c r="AR132" i="72"/>
  <c r="AV132" i="72"/>
  <c r="AQ132" i="72"/>
  <c r="AY132" i="72"/>
  <c r="Q132" i="72"/>
  <c r="AU132" i="72"/>
  <c r="AM132" i="72"/>
  <c r="Z132" i="72"/>
  <c r="AL132" i="72"/>
  <c r="B133" i="72"/>
  <c r="AZ132" i="72"/>
  <c r="C194" i="72"/>
  <c r="A195" i="72"/>
  <c r="C162" i="72"/>
  <c r="A163" i="72"/>
  <c r="C226" i="72"/>
  <c r="A227" i="72"/>
  <c r="C130" i="72"/>
  <c r="A131" i="72"/>
  <c r="Q196" i="72"/>
  <c r="B197" i="72"/>
  <c r="AM196" i="72"/>
  <c r="AQ196" i="72"/>
  <c r="AL196" i="72"/>
  <c r="V196" i="72"/>
  <c r="AN196" i="72" a="1"/>
  <c r="AN196" i="72" s="1"/>
  <c r="AV196" i="72"/>
  <c r="AZ196" i="72"/>
  <c r="Z196" i="72"/>
  <c r="AR196" i="72"/>
  <c r="AY196" i="72"/>
  <c r="AU196" i="72"/>
  <c r="B103" i="72"/>
  <c r="Z102" i="72"/>
  <c r="V102" i="72"/>
  <c r="Q102" i="72"/>
  <c r="A100" i="72"/>
  <c r="C99" i="72"/>
  <c r="A68" i="72"/>
  <c r="C67" i="72"/>
  <c r="AM69" i="72"/>
  <c r="AL69" i="72"/>
  <c r="AU69" i="72"/>
  <c r="B70" i="72"/>
  <c r="AY69" i="72"/>
  <c r="AZ69" i="72"/>
  <c r="Z69" i="72"/>
  <c r="V69" i="72"/>
  <c r="AV69" i="72"/>
  <c r="AR69" i="72"/>
  <c r="AN69" i="72" a="1"/>
  <c r="AN69" i="72" s="1"/>
  <c r="Q69" i="72"/>
  <c r="AQ69" i="72"/>
  <c r="AQ33" i="72"/>
  <c r="AR33" i="72" s="1"/>
  <c r="B38" i="72"/>
  <c r="B39" i="72" s="1"/>
  <c r="Z37" i="72"/>
  <c r="Q37" i="72"/>
  <c r="V37" i="72"/>
  <c r="A34" i="72"/>
  <c r="C33" i="72"/>
  <c r="AM33" i="72" s="1"/>
  <c r="AN35" i="72" a="1"/>
  <c r="AN35" i="72" s="1"/>
  <c r="AL32" i="72"/>
  <c r="AL33" i="72" s="1"/>
  <c r="C131" i="72" l="1"/>
  <c r="A132" i="72"/>
  <c r="C195" i="72"/>
  <c r="A196" i="72"/>
  <c r="AY229" i="72"/>
  <c r="AR229" i="72"/>
  <c r="AZ229" i="72"/>
  <c r="AV229" i="72"/>
  <c r="B230" i="72"/>
  <c r="AU229" i="72"/>
  <c r="AL229" i="72"/>
  <c r="V229" i="72"/>
  <c r="AQ229" i="72"/>
  <c r="AN229" i="72" a="1"/>
  <c r="AN229" i="72" s="1"/>
  <c r="Q229" i="72"/>
  <c r="AM229" i="72"/>
  <c r="Z229" i="72"/>
  <c r="C163" i="72"/>
  <c r="A164" i="72"/>
  <c r="AR133" i="72"/>
  <c r="AM133" i="72"/>
  <c r="AL133" i="72"/>
  <c r="AY133" i="72"/>
  <c r="AQ133" i="72"/>
  <c r="Q133" i="72"/>
  <c r="AN133" i="72" a="1"/>
  <c r="AN133" i="72" s="1"/>
  <c r="Z133" i="72"/>
  <c r="B134" i="72"/>
  <c r="AU133" i="72"/>
  <c r="AZ133" i="72"/>
  <c r="AV133" i="72"/>
  <c r="V133" i="72"/>
  <c r="AY165" i="72"/>
  <c r="AN165" i="72" a="1"/>
  <c r="AN165" i="72" s="1"/>
  <c r="AV165" i="72"/>
  <c r="AU165" i="72"/>
  <c r="V165" i="72"/>
  <c r="AL165" i="72"/>
  <c r="AR165" i="72"/>
  <c r="AM165" i="72"/>
  <c r="AQ165" i="72"/>
  <c r="B166" i="72"/>
  <c r="Q165" i="72"/>
  <c r="AZ165" i="72"/>
  <c r="Z165" i="72"/>
  <c r="C227" i="72"/>
  <c r="A228" i="72"/>
  <c r="V197" i="72"/>
  <c r="AZ197" i="72"/>
  <c r="AR197" i="72"/>
  <c r="AQ197" i="72"/>
  <c r="Q197" i="72"/>
  <c r="AN197" i="72" a="1"/>
  <c r="AN197" i="72" s="1"/>
  <c r="AV197" i="72"/>
  <c r="AY197" i="72"/>
  <c r="AM197" i="72"/>
  <c r="AL197" i="72"/>
  <c r="Z197" i="72"/>
  <c r="AU197" i="72"/>
  <c r="B198" i="72"/>
  <c r="Q103" i="72"/>
  <c r="B104" i="72"/>
  <c r="Z103" i="72"/>
  <c r="V103" i="72"/>
  <c r="A101" i="72"/>
  <c r="C100" i="72"/>
  <c r="C68" i="72"/>
  <c r="A69" i="72"/>
  <c r="AM70" i="72"/>
  <c r="AL70" i="72"/>
  <c r="B71" i="72"/>
  <c r="AZ70" i="72"/>
  <c r="Z70" i="72"/>
  <c r="AY70" i="72"/>
  <c r="AV70" i="72"/>
  <c r="V70" i="72"/>
  <c r="AU70" i="72"/>
  <c r="AR70" i="72"/>
  <c r="AQ70" i="72"/>
  <c r="AN70" i="72" a="1"/>
  <c r="AN70" i="72" s="1"/>
  <c r="Q70" i="72"/>
  <c r="K38" i="72"/>
  <c r="AY33" i="72"/>
  <c r="AZ33" i="72" s="1"/>
  <c r="AU33" i="72"/>
  <c r="AV33" i="72" s="1"/>
  <c r="A35" i="72"/>
  <c r="C34" i="72"/>
  <c r="AL34" i="72" s="1"/>
  <c r="AN36" i="72" a="1"/>
  <c r="AN36" i="72" s="1"/>
  <c r="AZ230" i="72" l="1"/>
  <c r="Z230" i="72"/>
  <c r="AY230" i="72"/>
  <c r="AV230" i="72"/>
  <c r="AM230" i="72"/>
  <c r="AU230" i="72"/>
  <c r="V230" i="72"/>
  <c r="AL230" i="72"/>
  <c r="B231" i="72"/>
  <c r="AR230" i="72"/>
  <c r="AQ230" i="72"/>
  <c r="Q230" i="72"/>
  <c r="AN230" i="72" a="1"/>
  <c r="AN230" i="72" s="1"/>
  <c r="A229" i="72"/>
  <c r="C228" i="72"/>
  <c r="AU198" i="72"/>
  <c r="V198" i="72"/>
  <c r="AR198" i="72"/>
  <c r="AQ198" i="72"/>
  <c r="AN198" i="72" a="1"/>
  <c r="AN198" i="72" s="1"/>
  <c r="Z198" i="72"/>
  <c r="Q198" i="72"/>
  <c r="AM198" i="72"/>
  <c r="B199" i="72"/>
  <c r="AL198" i="72"/>
  <c r="AV198" i="72"/>
  <c r="AZ198" i="72"/>
  <c r="AY198" i="72"/>
  <c r="C196" i="72"/>
  <c r="A197" i="72"/>
  <c r="AN166" i="72" a="1"/>
  <c r="AN166" i="72" s="1"/>
  <c r="Z166" i="72"/>
  <c r="Q166" i="72"/>
  <c r="AY166" i="72"/>
  <c r="AR166" i="72"/>
  <c r="AM166" i="72"/>
  <c r="AQ166" i="72"/>
  <c r="AL166" i="72"/>
  <c r="AU166" i="72"/>
  <c r="V166" i="72"/>
  <c r="B167" i="72"/>
  <c r="AZ166" i="72"/>
  <c r="AV166" i="72"/>
  <c r="C164" i="72"/>
  <c r="A165" i="72"/>
  <c r="V134" i="72"/>
  <c r="AR134" i="72"/>
  <c r="AQ134" i="72"/>
  <c r="B135" i="72"/>
  <c r="AN134" i="72" a="1"/>
  <c r="AN134" i="72" s="1"/>
  <c r="AY134" i="72"/>
  <c r="Q134" i="72"/>
  <c r="AM134" i="72"/>
  <c r="AL134" i="72"/>
  <c r="AZ134" i="72"/>
  <c r="AV134" i="72"/>
  <c r="Z134" i="72"/>
  <c r="AU134" i="72"/>
  <c r="C132" i="72"/>
  <c r="A133" i="72"/>
  <c r="B105" i="72"/>
  <c r="G105" i="72" s="1"/>
  <c r="K104" i="72"/>
  <c r="C101" i="72"/>
  <c r="A102" i="72"/>
  <c r="B72" i="72"/>
  <c r="G72" i="72" s="1"/>
  <c r="K71" i="72"/>
  <c r="C69" i="72"/>
  <c r="A70" i="72"/>
  <c r="AY34" i="72"/>
  <c r="AZ34" i="72" s="1"/>
  <c r="AU34" i="72"/>
  <c r="AV34" i="72" s="1"/>
  <c r="AU35" i="72"/>
  <c r="AV35" i="72" s="1"/>
  <c r="AQ34" i="72"/>
  <c r="AR34" i="72" s="1"/>
  <c r="AM34" i="72"/>
  <c r="G39" i="72"/>
  <c r="A36" i="72"/>
  <c r="C35" i="72"/>
  <c r="AM35" i="72" s="1"/>
  <c r="AN37" i="72" a="1"/>
  <c r="AN37" i="72" s="1"/>
  <c r="A230" i="72" l="1"/>
  <c r="C229" i="72"/>
  <c r="C165" i="72"/>
  <c r="A166" i="72"/>
  <c r="Z167" i="72"/>
  <c r="AL167" i="72"/>
  <c r="AY167" i="72"/>
  <c r="AR167" i="72"/>
  <c r="AV167" i="72"/>
  <c r="AU167" i="72"/>
  <c r="V167" i="72"/>
  <c r="Q167" i="72"/>
  <c r="AN167" i="72" a="1"/>
  <c r="AN167" i="72" s="1"/>
  <c r="AM167" i="72"/>
  <c r="AQ167" i="72"/>
  <c r="AZ167" i="72"/>
  <c r="B168" i="72"/>
  <c r="AY231" i="72"/>
  <c r="AM231" i="72"/>
  <c r="AV231" i="72"/>
  <c r="AU231" i="72"/>
  <c r="V231" i="72"/>
  <c r="AR231" i="72"/>
  <c r="AN231" i="72" a="1"/>
  <c r="AN231" i="72" s="1"/>
  <c r="B232" i="72"/>
  <c r="AZ231" i="72"/>
  <c r="AQ231" i="72"/>
  <c r="Z231" i="72"/>
  <c r="Q231" i="72"/>
  <c r="AL231" i="72"/>
  <c r="A198" i="72"/>
  <c r="C197" i="72"/>
  <c r="AN199" i="72" a="1"/>
  <c r="AN199" i="72" s="1"/>
  <c r="Q199" i="72"/>
  <c r="AZ199" i="72"/>
  <c r="Z199" i="72"/>
  <c r="AY199" i="72"/>
  <c r="AQ199" i="72"/>
  <c r="AV199" i="72"/>
  <c r="AU199" i="72"/>
  <c r="V199" i="72"/>
  <c r="B200" i="72"/>
  <c r="AR199" i="72"/>
  <c r="AM199" i="72"/>
  <c r="AL199" i="72"/>
  <c r="C133" i="72"/>
  <c r="A134" i="72"/>
  <c r="AU135" i="72"/>
  <c r="Q135" i="72"/>
  <c r="AL135" i="72"/>
  <c r="V135" i="72"/>
  <c r="AR135" i="72"/>
  <c r="AQ135" i="72"/>
  <c r="B136" i="72"/>
  <c r="AN135" i="72" a="1"/>
  <c r="AN135" i="72" s="1"/>
  <c r="AM135" i="72"/>
  <c r="Z135" i="72"/>
  <c r="AV135" i="72"/>
  <c r="AZ135" i="72"/>
  <c r="AY135" i="72"/>
  <c r="C102" i="72"/>
  <c r="A103" i="72"/>
  <c r="C70" i="72"/>
  <c r="A71" i="72"/>
  <c r="AQ35" i="72"/>
  <c r="AR35" i="72" s="1"/>
  <c r="AY35" i="72"/>
  <c r="AZ35" i="72" s="1"/>
  <c r="A37" i="72"/>
  <c r="C36" i="72"/>
  <c r="AM36" i="72" s="1"/>
  <c r="AL35" i="72"/>
  <c r="A135" i="72" l="1"/>
  <c r="C134" i="72"/>
  <c r="AV200" i="72"/>
  <c r="AU200" i="72"/>
  <c r="V200" i="72"/>
  <c r="B201" i="72"/>
  <c r="AR200" i="72"/>
  <c r="AQ200" i="72"/>
  <c r="Z200" i="72"/>
  <c r="AN200" i="72" a="1"/>
  <c r="AN200" i="72" s="1"/>
  <c r="Q200" i="72"/>
  <c r="AM200" i="72"/>
  <c r="AL200" i="72"/>
  <c r="AZ200" i="72"/>
  <c r="AY200" i="72"/>
  <c r="AY232" i="72"/>
  <c r="AV232" i="72"/>
  <c r="Q232" i="72"/>
  <c r="AU232" i="72"/>
  <c r="B233" i="72"/>
  <c r="V232" i="72"/>
  <c r="AR232" i="72"/>
  <c r="AQ232" i="72"/>
  <c r="Z232" i="72"/>
  <c r="AN232" i="72" a="1"/>
  <c r="AN232" i="72" s="1"/>
  <c r="AM232" i="72"/>
  <c r="AL232" i="72"/>
  <c r="AZ232" i="72"/>
  <c r="C166" i="72"/>
  <c r="A167" i="72"/>
  <c r="C198" i="72"/>
  <c r="A199" i="72"/>
  <c r="AR136" i="72"/>
  <c r="Q136" i="72"/>
  <c r="AZ136" i="72"/>
  <c r="AQ136" i="72"/>
  <c r="AN136" i="72" a="1"/>
  <c r="AN136" i="72" s="1"/>
  <c r="AM136" i="72"/>
  <c r="AL136" i="72"/>
  <c r="B137" i="72"/>
  <c r="Z136" i="72"/>
  <c r="AV136" i="72"/>
  <c r="AU136" i="72"/>
  <c r="V136" i="72"/>
  <c r="AY136" i="72"/>
  <c r="Z168" i="72"/>
  <c r="AM168" i="72"/>
  <c r="AY168" i="72"/>
  <c r="AV168" i="72"/>
  <c r="AU168" i="72"/>
  <c r="AL168" i="72"/>
  <c r="B169" i="72"/>
  <c r="V168" i="72"/>
  <c r="AR168" i="72"/>
  <c r="AQ168" i="72"/>
  <c r="AN168" i="72" a="1"/>
  <c r="AN168" i="72" s="1"/>
  <c r="Q168" i="72"/>
  <c r="AZ168" i="72"/>
  <c r="C230" i="72"/>
  <c r="A231" i="72"/>
  <c r="C103" i="72"/>
  <c r="A104" i="72"/>
  <c r="A72" i="72"/>
  <c r="C72" i="72" s="1"/>
  <c r="C71" i="72"/>
  <c r="AY36" i="72"/>
  <c r="AZ36" i="72" s="1"/>
  <c r="AQ36" i="72"/>
  <c r="AR36" i="72" s="1"/>
  <c r="AU36" i="72"/>
  <c r="AV36" i="72" s="1"/>
  <c r="AL36" i="72"/>
  <c r="A38" i="72"/>
  <c r="A39" i="72" s="1"/>
  <c r="C39" i="72" s="1"/>
  <c r="C37" i="72"/>
  <c r="AM37" i="72" s="1"/>
  <c r="A168" i="72" l="1"/>
  <c r="C167" i="72"/>
  <c r="C199" i="72"/>
  <c r="A200" i="72"/>
  <c r="A232" i="72"/>
  <c r="C231" i="72"/>
  <c r="AY201" i="72"/>
  <c r="AV201" i="72"/>
  <c r="AL201" i="72"/>
  <c r="AU201" i="72"/>
  <c r="V201" i="72"/>
  <c r="AR201" i="72"/>
  <c r="AN201" i="72" a="1"/>
  <c r="AN201" i="72" s="1"/>
  <c r="AQ201" i="72"/>
  <c r="AM201" i="72"/>
  <c r="Q201" i="72"/>
  <c r="AZ201" i="72"/>
  <c r="B202" i="72"/>
  <c r="Z201" i="72"/>
  <c r="B234" i="72"/>
  <c r="AL233" i="72"/>
  <c r="AZ233" i="72"/>
  <c r="AU233" i="72"/>
  <c r="Z233" i="72"/>
  <c r="AY233" i="72"/>
  <c r="AR233" i="72"/>
  <c r="AV233" i="72"/>
  <c r="AN233" i="72" a="1"/>
  <c r="AN233" i="72" s="1"/>
  <c r="V233" i="72"/>
  <c r="AQ233" i="72"/>
  <c r="AM233" i="72"/>
  <c r="Q233" i="72"/>
  <c r="K137" i="72"/>
  <c r="B138" i="72"/>
  <c r="G138" i="72" s="1"/>
  <c r="AU169" i="72"/>
  <c r="AM169" i="72"/>
  <c r="V169" i="72"/>
  <c r="AL169" i="72"/>
  <c r="B170" i="72"/>
  <c r="Z169" i="72"/>
  <c r="AR169" i="72"/>
  <c r="AZ169" i="72"/>
  <c r="AY169" i="72"/>
  <c r="AV169" i="72"/>
  <c r="AQ169" i="72"/>
  <c r="AN169" i="72" a="1"/>
  <c r="AN169" i="72" s="1"/>
  <c r="Q169" i="72"/>
  <c r="C135" i="72"/>
  <c r="A136" i="72"/>
  <c r="A105" i="72"/>
  <c r="C105" i="72" s="1"/>
  <c r="C104" i="72"/>
  <c r="AQ37" i="72"/>
  <c r="AR37" i="72" s="1"/>
  <c r="AU37" i="72"/>
  <c r="AV37" i="72" s="1"/>
  <c r="AY37" i="72"/>
  <c r="AZ37" i="72" s="1"/>
  <c r="C38" i="72"/>
  <c r="AL37" i="72"/>
  <c r="A233" i="72" l="1"/>
  <c r="C232" i="72"/>
  <c r="A201" i="72"/>
  <c r="C200" i="72"/>
  <c r="B171" i="72"/>
  <c r="G171" i="72" s="1"/>
  <c r="K170" i="72"/>
  <c r="AL234" i="72"/>
  <c r="Q234" i="72"/>
  <c r="AN234" i="72" a="1"/>
  <c r="AN234" i="72" s="1"/>
  <c r="AZ234" i="72"/>
  <c r="AM234" i="72"/>
  <c r="AR234" i="72"/>
  <c r="Z234" i="72"/>
  <c r="AV234" i="72"/>
  <c r="AQ234" i="72"/>
  <c r="V234" i="72"/>
  <c r="B235" i="72"/>
  <c r="AU234" i="72"/>
  <c r="AY234" i="72"/>
  <c r="AV202" i="72"/>
  <c r="AU202" i="72"/>
  <c r="V202" i="72"/>
  <c r="AR202" i="72"/>
  <c r="AQ202" i="72"/>
  <c r="Q202" i="72"/>
  <c r="AZ202" i="72"/>
  <c r="AN202" i="72" a="1"/>
  <c r="AN202" i="72" s="1"/>
  <c r="AM202" i="72"/>
  <c r="Z202" i="72"/>
  <c r="AL202" i="72"/>
  <c r="B203" i="72"/>
  <c r="AY202" i="72"/>
  <c r="C136" i="72"/>
  <c r="A137" i="72"/>
  <c r="A169" i="72"/>
  <c r="C168" i="72"/>
  <c r="G44" i="52"/>
  <c r="G43" i="52"/>
  <c r="A43" i="52"/>
  <c r="A44" i="52"/>
  <c r="G52" i="52"/>
  <c r="G51" i="52"/>
  <c r="G50" i="52"/>
  <c r="A52" i="52"/>
  <c r="A51" i="52"/>
  <c r="A50" i="52"/>
  <c r="A49" i="52"/>
  <c r="A48" i="52"/>
  <c r="R31" i="62"/>
  <c r="B204" i="72" l="1"/>
  <c r="G204" i="72" s="1"/>
  <c r="K203" i="72"/>
  <c r="C169" i="72"/>
  <c r="A170" i="72"/>
  <c r="C201" i="72"/>
  <c r="A202" i="72"/>
  <c r="A138" i="72"/>
  <c r="C138" i="72" s="1"/>
  <c r="C137" i="72"/>
  <c r="Z235" i="72"/>
  <c r="AL235" i="72"/>
  <c r="AZ235" i="72"/>
  <c r="AY235" i="72"/>
  <c r="AN235" i="72" a="1"/>
  <c r="AN235" i="72" s="1"/>
  <c r="AM235" i="72"/>
  <c r="AV235" i="72"/>
  <c r="V235" i="72"/>
  <c r="Q235" i="72"/>
  <c r="AU235" i="72"/>
  <c r="AR235" i="72"/>
  <c r="AQ235" i="72"/>
  <c r="B236" i="72"/>
  <c r="C233" i="72"/>
  <c r="A234" i="72"/>
  <c r="A45" i="52"/>
  <c r="G45" i="52"/>
  <c r="O13" i="52"/>
  <c r="N13" i="52"/>
  <c r="A40" i="52"/>
  <c r="A41" i="52"/>
  <c r="A42" i="52"/>
  <c r="G42" i="52"/>
  <c r="G41" i="52"/>
  <c r="A39" i="52"/>
  <c r="A38" i="52"/>
  <c r="A235" i="72" l="1"/>
  <c r="C234" i="72"/>
  <c r="B237" i="72"/>
  <c r="G237" i="72" s="1"/>
  <c r="K236" i="72"/>
  <c r="C170" i="72"/>
  <c r="A171" i="72"/>
  <c r="C171" i="72" s="1"/>
  <c r="A203" i="72"/>
  <c r="C202" i="72"/>
  <c r="D31" i="62"/>
  <c r="B31" i="62"/>
  <c r="A31" i="62"/>
  <c r="B6" i="62"/>
  <c r="D31" i="61"/>
  <c r="B31" i="61"/>
  <c r="A31" i="61"/>
  <c r="B6" i="61"/>
  <c r="A204" i="72" l="1"/>
  <c r="C204" i="72" s="1"/>
  <c r="C203" i="72"/>
  <c r="A236" i="72"/>
  <c r="C235" i="72"/>
  <c r="B33" i="62"/>
  <c r="B35" i="62"/>
  <c r="B37" i="62"/>
  <c r="B32" i="62"/>
  <c r="B34" i="62"/>
  <c r="B36" i="62"/>
  <c r="B38" i="62"/>
  <c r="D34" i="62"/>
  <c r="D33" i="62"/>
  <c r="D35" i="62"/>
  <c r="D36" i="62"/>
  <c r="D37" i="62"/>
  <c r="D38" i="62"/>
  <c r="D32" i="62"/>
  <c r="D36" i="61"/>
  <c r="D34" i="61"/>
  <c r="D38" i="61"/>
  <c r="D37" i="61"/>
  <c r="D32" i="61"/>
  <c r="D35" i="61"/>
  <c r="D33" i="61"/>
  <c r="B33" i="61"/>
  <c r="B36" i="61"/>
  <c r="B38" i="61"/>
  <c r="B34" i="61"/>
  <c r="B37" i="61"/>
  <c r="B32" i="61"/>
  <c r="B35" i="61"/>
  <c r="S22" i="52"/>
  <c r="L7" i="17"/>
  <c r="A237" i="72" l="1"/>
  <c r="C237" i="72" s="1"/>
  <c r="C236" i="72"/>
  <c r="AY84" i="72"/>
  <c r="AZ84" i="72" s="1"/>
  <c r="AY85" i="72"/>
  <c r="AZ85" i="72" s="1"/>
  <c r="AY86" i="72"/>
  <c r="AZ86" i="72" s="1"/>
  <c r="AY87" i="72"/>
  <c r="AZ87" i="72" s="1"/>
  <c r="AY88" i="72"/>
  <c r="AZ88" i="72" s="1"/>
  <c r="AY89" i="72"/>
  <c r="AZ89" i="72" s="1"/>
  <c r="AY90" i="72"/>
  <c r="AZ90" i="72" s="1"/>
  <c r="AY91" i="72"/>
  <c r="AZ91" i="72" s="1"/>
  <c r="K92" i="72"/>
  <c r="AY92" i="72"/>
  <c r="AZ92" i="72" s="1"/>
  <c r="K93" i="72"/>
  <c r="AY93" i="72"/>
  <c r="AZ93" i="72" s="1"/>
  <c r="K94" i="72"/>
  <c r="AY94" i="72"/>
  <c r="AZ94" i="72" s="1"/>
  <c r="AY95" i="72"/>
  <c r="AZ95" i="72" s="1"/>
  <c r="AY96" i="72"/>
  <c r="AZ96" i="72" s="1"/>
  <c r="AY97" i="72"/>
  <c r="AZ97" i="72" s="1"/>
  <c r="AY98" i="72"/>
  <c r="AZ98" i="72" s="1"/>
  <c r="AY99" i="72"/>
  <c r="AZ99" i="72" s="1"/>
  <c r="AY100" i="72"/>
  <c r="AZ100" i="72" s="1"/>
  <c r="AY101" i="72"/>
  <c r="AZ101" i="72" s="1"/>
  <c r="AY102" i="72"/>
  <c r="AZ102" i="72" s="1"/>
  <c r="AY103" i="72"/>
  <c r="AZ103" i="72" s="1"/>
  <c r="AU84" i="72"/>
  <c r="AV84" i="72" s="1"/>
  <c r="AU85" i="72"/>
  <c r="AV85" i="72" s="1"/>
  <c r="AU86" i="72"/>
  <c r="AV86" i="72" s="1"/>
  <c r="AU87" i="72"/>
  <c r="AV87" i="72" s="1"/>
  <c r="AU88" i="72"/>
  <c r="AV88" i="72" s="1"/>
  <c r="K88" i="72"/>
  <c r="K89" i="72"/>
  <c r="AU89" i="72"/>
  <c r="AV89" i="72" s="1"/>
  <c r="AU90" i="72"/>
  <c r="AV90" i="72" s="1"/>
  <c r="K90" i="72"/>
  <c r="AU91" i="72"/>
  <c r="AV91" i="72" s="1"/>
  <c r="AU92" i="72"/>
  <c r="AV92" i="72" s="1"/>
  <c r="AU93" i="72"/>
  <c r="AV93" i="72" s="1"/>
  <c r="AU94" i="72"/>
  <c r="AV94" i="72" s="1"/>
  <c r="AU95" i="72"/>
  <c r="AV95" i="72" s="1"/>
  <c r="AU96" i="72"/>
  <c r="AV96" i="72" s="1"/>
  <c r="AU97" i="72"/>
  <c r="AV97" i="72" s="1"/>
  <c r="AU98" i="72"/>
  <c r="AV98" i="72" s="1"/>
  <c r="AU99" i="72"/>
  <c r="AV99" i="72" s="1"/>
  <c r="AU100" i="72"/>
  <c r="AV100" i="72" s="1"/>
  <c r="AU101" i="72"/>
  <c r="AV101" i="72" s="1"/>
  <c r="AU102" i="72"/>
  <c r="AV102" i="72" s="1"/>
  <c r="AU103" i="72"/>
  <c r="AV103" i="72" s="1"/>
  <c r="G63" i="72"/>
  <c r="G195" i="72"/>
  <c r="G30" i="72"/>
  <c r="G196" i="72"/>
  <c r="G162" i="72"/>
  <c r="G64" i="72"/>
  <c r="G96" i="72"/>
  <c r="G228" i="72"/>
  <c r="G129" i="72"/>
  <c r="G97" i="72"/>
  <c r="G65" i="72"/>
  <c r="G229" i="72"/>
  <c r="G163" i="72"/>
  <c r="G130" i="72"/>
  <c r="G197" i="72"/>
  <c r="G31" i="72"/>
  <c r="G198" i="72"/>
  <c r="G66" i="72"/>
  <c r="G32" i="72"/>
  <c r="G164" i="72"/>
  <c r="G230" i="72"/>
  <c r="G131" i="72"/>
  <c r="G98" i="72"/>
  <c r="G165" i="72"/>
  <c r="G132" i="72"/>
  <c r="G231" i="72"/>
  <c r="G33" i="72"/>
  <c r="G99" i="72"/>
  <c r="G58" i="72"/>
  <c r="G190" i="72"/>
  <c r="G223" i="72"/>
  <c r="G124" i="72"/>
  <c r="G59" i="72"/>
  <c r="G91" i="72"/>
  <c r="G191" i="72"/>
  <c r="G157" i="72"/>
  <c r="G25" i="72"/>
  <c r="G60" i="72"/>
  <c r="G125" i="72"/>
  <c r="G224" i="72"/>
  <c r="G192" i="72"/>
  <c r="G26" i="72"/>
  <c r="G92" i="72"/>
  <c r="G158" i="72"/>
  <c r="G225" i="72"/>
  <c r="G126" i="72"/>
  <c r="G93" i="72"/>
  <c r="G193" i="72"/>
  <c r="G27" i="72"/>
  <c r="G61" i="72"/>
  <c r="G159" i="72"/>
  <c r="G160" i="72"/>
  <c r="G226" i="72"/>
  <c r="G28" i="72"/>
  <c r="G94" i="72"/>
  <c r="G127" i="72"/>
  <c r="D31" i="57"/>
  <c r="B31" i="57"/>
  <c r="A31" i="57"/>
  <c r="D13" i="1"/>
  <c r="F13" i="1"/>
  <c r="F14" i="1" s="1"/>
  <c r="L10" i="17"/>
  <c r="F20" i="1" l="1"/>
  <c r="D20" i="1"/>
  <c r="D16" i="1"/>
  <c r="D19" i="1"/>
  <c r="D17" i="1"/>
  <c r="D15" i="1"/>
  <c r="D18" i="1"/>
  <c r="D14" i="1"/>
  <c r="F17" i="1"/>
  <c r="D34" i="57"/>
  <c r="D32" i="57"/>
  <c r="D36" i="57"/>
  <c r="D38" i="57"/>
  <c r="D37" i="57"/>
  <c r="D35" i="57"/>
  <c r="D33" i="57"/>
  <c r="B34" i="57"/>
  <c r="B32" i="57"/>
  <c r="B36" i="57"/>
  <c r="B38" i="57"/>
  <c r="B37" i="57"/>
  <c r="B35" i="57"/>
  <c r="B33" i="57"/>
  <c r="AM84" i="72" l="1"/>
  <c r="AM85" i="72" s="1"/>
  <c r="AM86" i="72" s="1"/>
  <c r="AM87" i="72" s="1"/>
  <c r="AM88" i="72" s="1"/>
  <c r="AM89" i="72" s="1"/>
  <c r="AM90" i="72" s="1"/>
  <c r="AM91" i="72" s="1"/>
  <c r="AM92" i="72" s="1"/>
  <c r="AM93" i="72" s="1"/>
  <c r="AM94" i="72" s="1"/>
  <c r="AM95" i="72" s="1"/>
  <c r="AM96" i="72" s="1"/>
  <c r="AM97" i="72" s="1"/>
  <c r="AM98" i="72" s="1"/>
  <c r="AM99" i="72" s="1"/>
  <c r="AM100" i="72" s="1"/>
  <c r="AM101" i="72" s="1"/>
  <c r="AM102" i="72" s="1"/>
  <c r="AM103" i="72" s="1"/>
  <c r="AL84" i="72"/>
  <c r="AL85" i="72" s="1"/>
  <c r="AL86" i="72" s="1"/>
  <c r="AL87" i="72" s="1"/>
  <c r="AL88" i="72" s="1"/>
  <c r="AL89" i="72" s="1"/>
  <c r="AL90" i="72" s="1"/>
  <c r="AL91" i="72" s="1"/>
  <c r="AL92" i="72" s="1"/>
  <c r="AL93" i="72" s="1"/>
  <c r="AL94" i="72" s="1"/>
  <c r="AL95" i="72" s="1"/>
  <c r="AL96" i="72" s="1"/>
  <c r="AL97" i="72" s="1"/>
  <c r="AL98" i="72" s="1"/>
  <c r="AL99" i="72" s="1"/>
  <c r="AL100" i="72" s="1"/>
  <c r="AL101" i="72" s="1"/>
  <c r="AL102" i="72" s="1"/>
  <c r="AL103" i="72" s="1"/>
  <c r="AQ84" i="72"/>
  <c r="AR84" i="72" s="1"/>
  <c r="K84" i="72"/>
  <c r="K85" i="72"/>
  <c r="AQ85" i="72"/>
  <c r="AR85" i="72" s="1"/>
  <c r="K86" i="72"/>
  <c r="AQ86" i="72"/>
  <c r="AR86" i="72" s="1"/>
  <c r="AQ87" i="72"/>
  <c r="AR87" i="72" s="1"/>
  <c r="AQ88" i="72"/>
  <c r="AR88" i="72" s="1"/>
  <c r="AQ89" i="72"/>
  <c r="AR89" i="72" s="1"/>
  <c r="AQ90" i="72"/>
  <c r="AR90" i="72" s="1"/>
  <c r="AQ91" i="72"/>
  <c r="AR91" i="72" s="1"/>
  <c r="AQ92" i="72"/>
  <c r="AR92" i="72" s="1"/>
  <c r="AQ93" i="72"/>
  <c r="AR93" i="72" s="1"/>
  <c r="AQ94" i="72"/>
  <c r="AR94" i="72" s="1"/>
  <c r="AQ95" i="72"/>
  <c r="AR95" i="72" s="1"/>
  <c r="AQ96" i="72"/>
  <c r="AR96" i="72" s="1"/>
  <c r="AQ97" i="72"/>
  <c r="AR97" i="72" s="1"/>
  <c r="AQ98" i="72"/>
  <c r="AR98" i="72" s="1"/>
  <c r="AQ99" i="72"/>
  <c r="AR99" i="72" s="1"/>
  <c r="AQ100" i="72"/>
  <c r="AR100" i="72" s="1"/>
  <c r="AQ101" i="72"/>
  <c r="AR101" i="72" s="1"/>
  <c r="AQ102" i="72"/>
  <c r="AR102" i="72" s="1"/>
  <c r="AQ103" i="72"/>
  <c r="AR103" i="72" s="1"/>
  <c r="B10" i="73" a="1"/>
  <c r="B48" i="48" a="1"/>
  <c r="B37" i="73" a="1"/>
  <c r="B76" i="48" a="1"/>
  <c r="B64" i="73" a="1"/>
  <c r="B20" i="48" a="1"/>
  <c r="T183" i="72"/>
  <c r="T184" i="72" s="1"/>
  <c r="T185" i="72" s="1"/>
  <c r="T186" i="72" s="1"/>
  <c r="T187" i="72" s="1"/>
  <c r="T188" i="72" s="1"/>
  <c r="T189" i="72" s="1"/>
  <c r="T190" i="72" s="1"/>
  <c r="T191" i="72" s="1"/>
  <c r="T192" i="72" s="1"/>
  <c r="T193" i="72" s="1"/>
  <c r="T194" i="72" s="1"/>
  <c r="T195" i="72" s="1"/>
  <c r="T196" i="72" s="1"/>
  <c r="T197" i="72" s="1"/>
  <c r="T198" i="72" s="1"/>
  <c r="T199" i="72" s="1"/>
  <c r="T200" i="72" s="1"/>
  <c r="T201" i="72" s="1"/>
  <c r="T202" i="72" s="1"/>
  <c r="T51" i="72"/>
  <c r="T52" i="72" s="1"/>
  <c r="T53" i="72" s="1"/>
  <c r="T54" i="72" s="1"/>
  <c r="T55" i="72" s="1"/>
  <c r="T56" i="72" s="1"/>
  <c r="T57" i="72" s="1"/>
  <c r="T58" i="72" s="1"/>
  <c r="T59" i="72" s="1"/>
  <c r="T60" i="72" s="1"/>
  <c r="T61" i="72" s="1"/>
  <c r="T62" i="72" s="1"/>
  <c r="T63" i="72" s="1"/>
  <c r="T64" i="72" s="1"/>
  <c r="T65" i="72" s="1"/>
  <c r="T66" i="72" s="1"/>
  <c r="T67" i="72" s="1"/>
  <c r="T68" i="72" s="1"/>
  <c r="T69" i="72" s="1"/>
  <c r="T70" i="72" s="1"/>
  <c r="T216" i="72"/>
  <c r="T217" i="72" s="1"/>
  <c r="T218" i="72" s="1"/>
  <c r="T219" i="72" s="1"/>
  <c r="T220" i="72" s="1"/>
  <c r="T221" i="72" s="1"/>
  <c r="T222" i="72" s="1"/>
  <c r="T223" i="72" s="1"/>
  <c r="T224" i="72" s="1"/>
  <c r="T225" i="72" s="1"/>
  <c r="T226" i="72" s="1"/>
  <c r="T227" i="72" s="1"/>
  <c r="T228" i="72" s="1"/>
  <c r="T229" i="72" s="1"/>
  <c r="T230" i="72" s="1"/>
  <c r="T231" i="72" s="1"/>
  <c r="T232" i="72" s="1"/>
  <c r="T233" i="72" s="1"/>
  <c r="T234" i="72" s="1"/>
  <c r="T235" i="72" s="1"/>
  <c r="T18" i="72"/>
  <c r="T19" i="72" s="1"/>
  <c r="T20" i="72" s="1"/>
  <c r="T21" i="72" s="1"/>
  <c r="T22" i="72" s="1"/>
  <c r="T23" i="72" s="1"/>
  <c r="T24" i="72" s="1"/>
  <c r="T25" i="72" s="1"/>
  <c r="T26" i="72" s="1"/>
  <c r="T27" i="72" s="1"/>
  <c r="T28" i="72" s="1"/>
  <c r="T29" i="72" s="1"/>
  <c r="T30" i="72" s="1"/>
  <c r="T31" i="72" s="1"/>
  <c r="T32" i="72" s="1"/>
  <c r="T33" i="72" s="1"/>
  <c r="T34" i="72" s="1"/>
  <c r="T35" i="72" s="1"/>
  <c r="T36" i="72" s="1"/>
  <c r="T37" i="72" s="1"/>
  <c r="T150" i="72"/>
  <c r="T151" i="72" s="1"/>
  <c r="T152" i="72" s="1"/>
  <c r="T153" i="72" s="1"/>
  <c r="T154" i="72" s="1"/>
  <c r="T155" i="72" s="1"/>
  <c r="T156" i="72" s="1"/>
  <c r="T157" i="72" s="1"/>
  <c r="T158" i="72" s="1"/>
  <c r="T159" i="72" s="1"/>
  <c r="T160" i="72" s="1"/>
  <c r="T161" i="72" s="1"/>
  <c r="T162" i="72" s="1"/>
  <c r="T163" i="72" s="1"/>
  <c r="T164" i="72" s="1"/>
  <c r="T165" i="72" s="1"/>
  <c r="T166" i="72" s="1"/>
  <c r="T167" i="72" s="1"/>
  <c r="T168" i="72" s="1"/>
  <c r="T169" i="72" s="1"/>
  <c r="T84" i="72"/>
  <c r="T85" i="72" s="1"/>
  <c r="T86" i="72" s="1"/>
  <c r="T87" i="72" s="1"/>
  <c r="T88" i="72" s="1"/>
  <c r="T89" i="72" s="1"/>
  <c r="T90" i="72" s="1"/>
  <c r="T91" i="72" s="1"/>
  <c r="T92" i="72" s="1"/>
  <c r="T93" i="72" s="1"/>
  <c r="T94" i="72" s="1"/>
  <c r="T95" i="72" s="1"/>
  <c r="T96" i="72" s="1"/>
  <c r="T97" i="72" s="1"/>
  <c r="T98" i="72" s="1"/>
  <c r="T99" i="72" s="1"/>
  <c r="T100" i="72" s="1"/>
  <c r="T101" i="72" s="1"/>
  <c r="T102" i="72" s="1"/>
  <c r="T103" i="72" s="1"/>
  <c r="T117" i="72"/>
  <c r="T118" i="72" s="1"/>
  <c r="T119" i="72" s="1"/>
  <c r="T120" i="72" s="1"/>
  <c r="T121" i="72" s="1"/>
  <c r="T122" i="72" s="1"/>
  <c r="T123" i="72" s="1"/>
  <c r="T124" i="72" s="1"/>
  <c r="T125" i="72" s="1"/>
  <c r="T126" i="72" s="1"/>
  <c r="T127" i="72" s="1"/>
  <c r="T128" i="72" s="1"/>
  <c r="T129" i="72" s="1"/>
  <c r="T130" i="72" s="1"/>
  <c r="T131" i="72" s="1"/>
  <c r="T132" i="72" s="1"/>
  <c r="T133" i="72" s="1"/>
  <c r="T134" i="72" s="1"/>
  <c r="T135" i="72" s="1"/>
  <c r="T136" i="72" s="1"/>
  <c r="O51" i="72"/>
  <c r="O52" i="72" s="1"/>
  <c r="O53" i="72" s="1"/>
  <c r="O54" i="72" s="1"/>
  <c r="O55" i="72" s="1"/>
  <c r="O56" i="72" s="1"/>
  <c r="O57" i="72" s="1"/>
  <c r="O58" i="72" s="1"/>
  <c r="O59" i="72" s="1"/>
  <c r="O60" i="72" s="1"/>
  <c r="O61" i="72" s="1"/>
  <c r="O62" i="72" s="1"/>
  <c r="O63" i="72" s="1"/>
  <c r="O64" i="72" s="1"/>
  <c r="O65" i="72" s="1"/>
  <c r="O66" i="72" s="1"/>
  <c r="O67" i="72" s="1"/>
  <c r="O68" i="72" s="1"/>
  <c r="O69" i="72" s="1"/>
  <c r="O70" i="72" s="1"/>
  <c r="O183" i="72"/>
  <c r="O184" i="72" s="1"/>
  <c r="O185" i="72" s="1"/>
  <c r="O186" i="72" s="1"/>
  <c r="O187" i="72" s="1"/>
  <c r="O188" i="72" s="1"/>
  <c r="O189" i="72" s="1"/>
  <c r="O190" i="72" s="1"/>
  <c r="O191" i="72" s="1"/>
  <c r="O192" i="72" s="1"/>
  <c r="O193" i="72" s="1"/>
  <c r="O194" i="72" s="1"/>
  <c r="O195" i="72" s="1"/>
  <c r="O196" i="72" s="1"/>
  <c r="O197" i="72" s="1"/>
  <c r="O198" i="72" s="1"/>
  <c r="O199" i="72" s="1"/>
  <c r="O200" i="72" s="1"/>
  <c r="O201" i="72" s="1"/>
  <c r="O202" i="72" s="1"/>
  <c r="O150" i="72"/>
  <c r="O151" i="72" s="1"/>
  <c r="O152" i="72" s="1"/>
  <c r="O153" i="72" s="1"/>
  <c r="O154" i="72" s="1"/>
  <c r="O155" i="72" s="1"/>
  <c r="O156" i="72" s="1"/>
  <c r="O157" i="72" s="1"/>
  <c r="O158" i="72" s="1"/>
  <c r="O159" i="72" s="1"/>
  <c r="O160" i="72" s="1"/>
  <c r="O161" i="72" s="1"/>
  <c r="O162" i="72" s="1"/>
  <c r="O163" i="72" s="1"/>
  <c r="O164" i="72" s="1"/>
  <c r="O165" i="72" s="1"/>
  <c r="O166" i="72" s="1"/>
  <c r="O167" i="72" s="1"/>
  <c r="O168" i="72" s="1"/>
  <c r="O169" i="72" s="1"/>
  <c r="O117" i="72"/>
  <c r="O118" i="72" s="1"/>
  <c r="O119" i="72" s="1"/>
  <c r="O120" i="72" s="1"/>
  <c r="O121" i="72" s="1"/>
  <c r="O122" i="72" s="1"/>
  <c r="O123" i="72" s="1"/>
  <c r="O124" i="72" s="1"/>
  <c r="O125" i="72" s="1"/>
  <c r="O126" i="72" s="1"/>
  <c r="O127" i="72" s="1"/>
  <c r="O128" i="72" s="1"/>
  <c r="O129" i="72" s="1"/>
  <c r="O130" i="72" s="1"/>
  <c r="O131" i="72" s="1"/>
  <c r="O132" i="72" s="1"/>
  <c r="O133" i="72" s="1"/>
  <c r="O134" i="72" s="1"/>
  <c r="O135" i="72" s="1"/>
  <c r="O136" i="72" s="1"/>
  <c r="O84" i="72"/>
  <c r="O85" i="72" s="1"/>
  <c r="O86" i="72" s="1"/>
  <c r="O87" i="72" s="1"/>
  <c r="O88" i="72" s="1"/>
  <c r="O89" i="72" s="1"/>
  <c r="O90" i="72" s="1"/>
  <c r="O91" i="72" s="1"/>
  <c r="O92" i="72" s="1"/>
  <c r="O93" i="72" s="1"/>
  <c r="O94" i="72" s="1"/>
  <c r="O95" i="72" s="1"/>
  <c r="O96" i="72" s="1"/>
  <c r="O97" i="72" s="1"/>
  <c r="O98" i="72" s="1"/>
  <c r="O99" i="72" s="1"/>
  <c r="O100" i="72" s="1"/>
  <c r="O101" i="72" s="1"/>
  <c r="O102" i="72" s="1"/>
  <c r="O103" i="72" s="1"/>
  <c r="O18" i="72"/>
  <c r="O19" i="72" s="1"/>
  <c r="O20" i="72" s="1"/>
  <c r="O21" i="72" s="1"/>
  <c r="O22" i="72" s="1"/>
  <c r="O23" i="72" s="1"/>
  <c r="O24" i="72" s="1"/>
  <c r="O25" i="72" s="1"/>
  <c r="O26" i="72" s="1"/>
  <c r="O27" i="72" s="1"/>
  <c r="O28" i="72" s="1"/>
  <c r="O29" i="72" s="1"/>
  <c r="O30" i="72" s="1"/>
  <c r="O31" i="72" s="1"/>
  <c r="O32" i="72" s="1"/>
  <c r="O33" i="72" s="1"/>
  <c r="O34" i="72" s="1"/>
  <c r="O35" i="72" s="1"/>
  <c r="O36" i="72" s="1"/>
  <c r="O37" i="72" s="1"/>
  <c r="O216" i="72"/>
  <c r="O217" i="72" s="1"/>
  <c r="O218" i="72" s="1"/>
  <c r="O219" i="72" s="1"/>
  <c r="O220" i="72" s="1"/>
  <c r="O221" i="72" s="1"/>
  <c r="O222" i="72" s="1"/>
  <c r="O223" i="72" s="1"/>
  <c r="O224" i="72" s="1"/>
  <c r="O225" i="72" s="1"/>
  <c r="O226" i="72" s="1"/>
  <c r="O227" i="72" s="1"/>
  <c r="O228" i="72" s="1"/>
  <c r="O229" i="72" s="1"/>
  <c r="O230" i="72" s="1"/>
  <c r="O231" i="72" s="1"/>
  <c r="O232" i="72" s="1"/>
  <c r="O233" i="72" s="1"/>
  <c r="O234" i="72" s="1"/>
  <c r="O235" i="72" s="1"/>
  <c r="G53" i="72"/>
  <c r="G185" i="72"/>
  <c r="G20" i="72"/>
  <c r="G119" i="72"/>
  <c r="G54" i="72"/>
  <c r="G186" i="72"/>
  <c r="G86" i="72"/>
  <c r="G218" i="72"/>
  <c r="G152" i="72"/>
  <c r="G87" i="72"/>
  <c r="G120" i="72"/>
  <c r="G153" i="72"/>
  <c r="G187" i="72"/>
  <c r="G219" i="72"/>
  <c r="G55" i="72"/>
  <c r="G21" i="72"/>
  <c r="G56" i="72"/>
  <c r="G121" i="72"/>
  <c r="G188" i="72"/>
  <c r="G220" i="72"/>
  <c r="G154" i="72"/>
  <c r="G88" i="72"/>
  <c r="G22" i="72"/>
  <c r="G122" i="72"/>
  <c r="G23" i="72"/>
  <c r="G89" i="72"/>
  <c r="G155" i="72"/>
  <c r="G221" i="72"/>
  <c r="M22" i="52"/>
  <c r="E22" i="48" l="1"/>
  <c r="D51" i="48"/>
  <c r="G47" i="48"/>
  <c r="G19" i="48"/>
  <c r="F22" i="48"/>
  <c r="E21" i="48"/>
  <c r="H47" i="48"/>
  <c r="C21" i="48"/>
  <c r="D22" i="48"/>
  <c r="D19" i="48"/>
  <c r="H19" i="48"/>
  <c r="G21" i="48"/>
  <c r="C51" i="48"/>
  <c r="D50" i="48"/>
  <c r="F19" i="48"/>
  <c r="H51" i="48"/>
  <c r="H21" i="48"/>
  <c r="C22" i="48"/>
  <c r="F21" i="48"/>
  <c r="E47" i="48"/>
  <c r="B20" i="48"/>
  <c r="E19" i="48"/>
  <c r="D47" i="48"/>
  <c r="E50" i="48"/>
  <c r="G51" i="48"/>
  <c r="F51" i="48"/>
  <c r="C47" i="48"/>
  <c r="H50" i="48"/>
  <c r="G22" i="48"/>
  <c r="E51" i="48"/>
  <c r="F50" i="48"/>
  <c r="D21" i="48"/>
  <c r="C50" i="48"/>
  <c r="F47" i="48"/>
  <c r="H22" i="48"/>
  <c r="C19" i="48"/>
  <c r="G50" i="48"/>
  <c r="G23" i="48"/>
  <c r="H23" i="48"/>
  <c r="E23" i="48"/>
  <c r="F23" i="48"/>
  <c r="C23" i="48"/>
  <c r="D23" i="48"/>
  <c r="D63" i="73"/>
  <c r="D66" i="73"/>
  <c r="D65" i="73"/>
  <c r="E67" i="73"/>
  <c r="G67" i="73"/>
  <c r="C67" i="73"/>
  <c r="E66" i="73"/>
  <c r="G66" i="73"/>
  <c r="C66" i="73"/>
  <c r="H65" i="73"/>
  <c r="E65" i="73"/>
  <c r="G65" i="73"/>
  <c r="C65" i="73"/>
  <c r="E63" i="73"/>
  <c r="G63" i="73"/>
  <c r="C63" i="73"/>
  <c r="H67" i="73"/>
  <c r="F67" i="73"/>
  <c r="D67" i="73"/>
  <c r="F65" i="73"/>
  <c r="H66" i="73"/>
  <c r="F66" i="73"/>
  <c r="B64" i="73"/>
  <c r="H63" i="73"/>
  <c r="F63" i="73"/>
  <c r="H75" i="48"/>
  <c r="D75" i="48"/>
  <c r="C75" i="48"/>
  <c r="C77" i="48"/>
  <c r="B76" i="48"/>
  <c r="E75" i="48"/>
  <c r="G77" i="48"/>
  <c r="D77" i="48"/>
  <c r="H77" i="48"/>
  <c r="E77" i="48"/>
  <c r="F77" i="48"/>
  <c r="G75" i="48"/>
  <c r="F75" i="48"/>
  <c r="D40" i="73"/>
  <c r="C40" i="73"/>
  <c r="C39" i="73"/>
  <c r="C38" i="73"/>
  <c r="E40" i="73"/>
  <c r="H36" i="73"/>
  <c r="F40" i="73"/>
  <c r="F38" i="73"/>
  <c r="E38" i="73"/>
  <c r="F39" i="73"/>
  <c r="B37" i="73"/>
  <c r="G40" i="73"/>
  <c r="E36" i="73"/>
  <c r="H38" i="73"/>
  <c r="G38" i="73"/>
  <c r="G36" i="73"/>
  <c r="D38" i="73"/>
  <c r="H39" i="73"/>
  <c r="E39" i="73"/>
  <c r="G39" i="73"/>
  <c r="F36" i="73"/>
  <c r="H40" i="73"/>
  <c r="C36" i="73"/>
  <c r="D36" i="73"/>
  <c r="D39" i="73"/>
  <c r="B48" i="48"/>
  <c r="F49" i="48"/>
  <c r="E49" i="48"/>
  <c r="D49" i="48"/>
  <c r="C49" i="48"/>
  <c r="H49" i="48"/>
  <c r="G49" i="48"/>
  <c r="H13" i="73"/>
  <c r="E11" i="73"/>
  <c r="F9" i="73"/>
  <c r="E12" i="73"/>
  <c r="C11" i="73"/>
  <c r="E13" i="73"/>
  <c r="C12" i="73"/>
  <c r="F11" i="73"/>
  <c r="C13" i="73"/>
  <c r="F12" i="73"/>
  <c r="H9" i="73"/>
  <c r="F13" i="73"/>
  <c r="D11" i="73"/>
  <c r="D9" i="73"/>
  <c r="D12" i="73"/>
  <c r="G13" i="73"/>
  <c r="D13" i="73"/>
  <c r="G11" i="73"/>
  <c r="G9" i="73"/>
  <c r="H12" i="73"/>
  <c r="H11" i="73"/>
  <c r="C9" i="73"/>
  <c r="B10" i="73"/>
  <c r="E9" i="73"/>
  <c r="G12" i="73"/>
  <c r="AN84" i="72" l="1" a="1"/>
  <c r="AN84" i="72" s="1"/>
  <c r="Y235" i="72" a="1"/>
  <c r="Y235" i="72" s="1"/>
  <c r="B11" i="73"/>
  <c r="AC183" i="72" a="1"/>
  <c r="AC183" i="72" s="1"/>
  <c r="B9" i="73"/>
  <c r="AC51" i="72" a="1"/>
  <c r="AC51" i="72" s="1"/>
  <c r="B13" i="73"/>
  <c r="B12" i="73"/>
  <c r="AC150" i="72" a="1"/>
  <c r="AC150" i="72" s="1"/>
  <c r="AC52" i="72" a="1"/>
  <c r="AC52" i="72" s="1"/>
  <c r="AC216" i="72" a="1"/>
  <c r="AC216" i="72" s="1"/>
  <c r="AC84" i="72" a="1"/>
  <c r="AC84" i="72" s="1"/>
  <c r="AC184" i="72" a="1"/>
  <c r="AC184" i="72" s="1"/>
  <c r="AC117" i="72" a="1"/>
  <c r="AC117" i="72" s="1"/>
  <c r="AC18" i="72" a="1"/>
  <c r="AC18" i="72" s="1"/>
  <c r="AC151" i="72" a="1"/>
  <c r="AC151" i="72" s="1"/>
  <c r="AC53" i="72" a="1"/>
  <c r="AC53" i="72" s="1"/>
  <c r="AC85" i="72" a="1"/>
  <c r="AC85" i="72" s="1"/>
  <c r="AC118" i="72" a="1"/>
  <c r="AC118" i="72" s="1"/>
  <c r="AC19" i="72" a="1"/>
  <c r="AC19" i="72" s="1"/>
  <c r="AC217" i="72" a="1"/>
  <c r="AC217" i="72" s="1"/>
  <c r="AC185" i="72" a="1"/>
  <c r="AC185" i="72" s="1"/>
  <c r="AC152" i="72" a="1"/>
  <c r="AC152" i="72" s="1"/>
  <c r="AC186" i="72" a="1"/>
  <c r="AC186" i="72" s="1"/>
  <c r="AC86" i="72" a="1"/>
  <c r="AC86" i="72" s="1"/>
  <c r="AC20" i="72" a="1"/>
  <c r="AC20" i="72" s="1"/>
  <c r="AC54" i="72" a="1"/>
  <c r="AC54" i="72" s="1"/>
  <c r="AC218" i="72" a="1"/>
  <c r="AC218" i="72" s="1"/>
  <c r="AC119" i="72" a="1"/>
  <c r="AC119" i="72" s="1"/>
  <c r="AC187" i="72" a="1"/>
  <c r="AC187" i="72" s="1"/>
  <c r="AC153" i="72" a="1"/>
  <c r="AC153" i="72" s="1"/>
  <c r="AC219" i="72" a="1"/>
  <c r="AC219" i="72" s="1"/>
  <c r="AC120" i="72" a="1"/>
  <c r="AC120" i="72" s="1"/>
  <c r="AC21" i="72" a="1"/>
  <c r="AC21" i="72" s="1"/>
  <c r="AC87" i="72" a="1"/>
  <c r="AC87" i="72" s="1"/>
  <c r="AC55" i="72" a="1"/>
  <c r="AC55" i="72" s="1"/>
  <c r="AC88" i="72" a="1"/>
  <c r="AC88" i="72" s="1"/>
  <c r="AC220" i="72" a="1"/>
  <c r="AC220" i="72" s="1"/>
  <c r="AC56" i="72" a="1"/>
  <c r="AC56" i="72" s="1"/>
  <c r="AC22" i="72" a="1"/>
  <c r="AC22" i="72" s="1"/>
  <c r="AC154" i="72" a="1"/>
  <c r="AC154" i="72" s="1"/>
  <c r="AC188" i="72" a="1"/>
  <c r="AC188" i="72" s="1"/>
  <c r="AC121" i="72" a="1"/>
  <c r="AC121" i="72" s="1"/>
  <c r="AC155" i="72" a="1"/>
  <c r="AC155" i="72" s="1"/>
  <c r="AC189" i="72" a="1"/>
  <c r="AC189" i="72" s="1"/>
  <c r="AC57" i="72" a="1"/>
  <c r="AC57" i="72" s="1"/>
  <c r="AC221" i="72" a="1"/>
  <c r="AC221" i="72" s="1"/>
  <c r="AC122" i="72" a="1"/>
  <c r="AC122" i="72" s="1"/>
  <c r="AC89" i="72" a="1"/>
  <c r="AC89" i="72" s="1"/>
  <c r="AC23" i="72" a="1"/>
  <c r="AC23" i="72" s="1"/>
  <c r="AC90" i="72" a="1"/>
  <c r="AC90" i="72" s="1"/>
  <c r="AC24" i="72" a="1"/>
  <c r="AC24" i="72" s="1"/>
  <c r="AC58" i="72" a="1"/>
  <c r="AC58" i="72" s="1"/>
  <c r="AC156" i="72" a="1"/>
  <c r="AC156" i="72" s="1"/>
  <c r="AC222" i="72" a="1"/>
  <c r="AC222" i="72" s="1"/>
  <c r="AC190" i="72" a="1"/>
  <c r="AC190" i="72" s="1"/>
  <c r="AC123" i="72" a="1"/>
  <c r="AC123" i="72" s="1"/>
  <c r="AC59" i="72" a="1"/>
  <c r="AC59" i="72" s="1"/>
  <c r="AC25" i="72" a="1"/>
  <c r="AC25" i="72" s="1"/>
  <c r="AC223" i="72" a="1"/>
  <c r="AC223" i="72" s="1"/>
  <c r="AC91" i="72" a="1"/>
  <c r="AC91" i="72" s="1"/>
  <c r="AC157" i="72" a="1"/>
  <c r="AC157" i="72" s="1"/>
  <c r="AC191" i="72" a="1"/>
  <c r="AC191" i="72" s="1"/>
  <c r="AC124" i="72" a="1"/>
  <c r="AC124" i="72" s="1"/>
  <c r="AC125" i="72" a="1"/>
  <c r="AC125" i="72" s="1"/>
  <c r="AC192" i="72" a="1"/>
  <c r="AC192" i="72" s="1"/>
  <c r="AC92" i="72" a="1"/>
  <c r="AC92" i="72" s="1"/>
  <c r="AC60" i="72" a="1"/>
  <c r="AC60" i="72" s="1"/>
  <c r="AC26" i="72" a="1"/>
  <c r="AC26" i="72" s="1"/>
  <c r="AC224" i="72" a="1"/>
  <c r="AC224" i="72" s="1"/>
  <c r="AC158" i="72" a="1"/>
  <c r="AC158" i="72" s="1"/>
  <c r="AC27" i="72" a="1"/>
  <c r="AC27" i="72" s="1"/>
  <c r="AC225" i="72" a="1"/>
  <c r="AC225" i="72" s="1"/>
  <c r="AC61" i="72" a="1"/>
  <c r="AC61" i="72" s="1"/>
  <c r="AC159" i="72" a="1"/>
  <c r="AC159" i="72" s="1"/>
  <c r="AC93" i="72" a="1"/>
  <c r="AC93" i="72" s="1"/>
  <c r="AC126" i="72" a="1"/>
  <c r="AC126" i="72" s="1"/>
  <c r="AC193" i="72" a="1"/>
  <c r="AC193" i="72" s="1"/>
  <c r="AC28" i="72" a="1"/>
  <c r="AC28" i="72" s="1"/>
  <c r="AC160" i="72" a="1"/>
  <c r="AC160" i="72" s="1"/>
  <c r="AC226" i="72" a="1"/>
  <c r="AC226" i="72" s="1"/>
  <c r="AC127" i="72" a="1"/>
  <c r="AC127" i="72" s="1"/>
  <c r="AC94" i="72" a="1"/>
  <c r="AC94" i="72" s="1"/>
  <c r="AC194" i="72" a="1"/>
  <c r="AC194" i="72" s="1"/>
  <c r="AC62" i="72" a="1"/>
  <c r="AC62" i="72" s="1"/>
  <c r="AC95" i="72" a="1"/>
  <c r="AC95" i="72" s="1"/>
  <c r="AC63" i="72" a="1"/>
  <c r="AC63" i="72" s="1"/>
  <c r="AC29" i="72" a="1"/>
  <c r="AC29" i="72" s="1"/>
  <c r="AC128" i="72" a="1"/>
  <c r="AC128" i="72" s="1"/>
  <c r="AC227" i="72" a="1"/>
  <c r="AC227" i="72" s="1"/>
  <c r="AC195" i="72" a="1"/>
  <c r="AC195" i="72" s="1"/>
  <c r="AC161" i="72" a="1"/>
  <c r="AC161" i="72" s="1"/>
  <c r="AC96" i="72" a="1"/>
  <c r="AC96" i="72" s="1"/>
  <c r="AC162" i="72" a="1"/>
  <c r="AC162" i="72" s="1"/>
  <c r="AC228" i="72" a="1"/>
  <c r="AC228" i="72" s="1"/>
  <c r="AC196" i="72" a="1"/>
  <c r="AC196" i="72" s="1"/>
  <c r="AC129" i="72" a="1"/>
  <c r="AC129" i="72" s="1"/>
  <c r="AC64" i="72" a="1"/>
  <c r="AC64" i="72" s="1"/>
  <c r="AC30" i="72" a="1"/>
  <c r="AC30" i="72" s="1"/>
  <c r="AC197" i="72" a="1"/>
  <c r="AC197" i="72" s="1"/>
  <c r="AC163" i="72" a="1"/>
  <c r="AC163" i="72" s="1"/>
  <c r="AC65" i="72" a="1"/>
  <c r="AC65" i="72" s="1"/>
  <c r="AC130" i="72" a="1"/>
  <c r="AC130" i="72" s="1"/>
  <c r="AC97" i="72" a="1"/>
  <c r="AC97" i="72" s="1"/>
  <c r="AC31" i="72" a="1"/>
  <c r="AC31" i="72" s="1"/>
  <c r="AC229" i="72" a="1"/>
  <c r="AC229" i="72" s="1"/>
  <c r="AC230" i="72" a="1"/>
  <c r="AC230" i="72" s="1"/>
  <c r="AC32" i="72" a="1"/>
  <c r="AC32" i="72" s="1"/>
  <c r="AC131" i="72" a="1"/>
  <c r="AC131" i="72" s="1"/>
  <c r="AC164" i="72" a="1"/>
  <c r="AC164" i="72" s="1"/>
  <c r="AC98" i="72" a="1"/>
  <c r="AC98" i="72" s="1"/>
  <c r="AC66" i="72" a="1"/>
  <c r="AC66" i="72" s="1"/>
  <c r="AC198" i="72" a="1"/>
  <c r="AC198" i="72" s="1"/>
  <c r="AC165" i="72" a="1"/>
  <c r="AC165" i="72" s="1"/>
  <c r="AC231" i="72" a="1"/>
  <c r="AC231" i="72" s="1"/>
  <c r="AC99" i="72" a="1"/>
  <c r="AC99" i="72" s="1"/>
  <c r="AC132" i="72" a="1"/>
  <c r="AC132" i="72" s="1"/>
  <c r="AC33" i="72" a="1"/>
  <c r="AC33" i="72" s="1"/>
  <c r="AC67" i="72" a="1"/>
  <c r="AC67" i="72" s="1"/>
  <c r="AC199" i="72" a="1"/>
  <c r="AC199" i="72" s="1"/>
  <c r="AC200" i="72" a="1"/>
  <c r="AC200" i="72" s="1"/>
  <c r="AC100" i="72" a="1"/>
  <c r="AC100" i="72" s="1"/>
  <c r="AC34" i="72" a="1"/>
  <c r="AC34" i="72" s="1"/>
  <c r="AC166" i="72" a="1"/>
  <c r="AC166" i="72" s="1"/>
  <c r="AC232" i="72" a="1"/>
  <c r="AC232" i="72" s="1"/>
  <c r="AC68" i="72" a="1"/>
  <c r="AC68" i="72" s="1"/>
  <c r="AC133" i="72" a="1"/>
  <c r="AC133" i="72" s="1"/>
  <c r="AC167" i="72" a="1"/>
  <c r="AC167" i="72" s="1"/>
  <c r="AC233" i="72" a="1"/>
  <c r="AC233" i="72" s="1"/>
  <c r="AC35" i="72" a="1"/>
  <c r="AC35" i="72" s="1"/>
  <c r="AC69" i="72" a="1"/>
  <c r="AC69" i="72" s="1"/>
  <c r="AC134" i="72" a="1"/>
  <c r="AC134" i="72" s="1"/>
  <c r="AC101" i="72" a="1"/>
  <c r="AC101" i="72" s="1"/>
  <c r="AC201" i="72" a="1"/>
  <c r="AC201" i="72" s="1"/>
  <c r="AC202" i="72" a="1"/>
  <c r="AC202" i="72" s="1"/>
  <c r="AC70" i="72" a="1"/>
  <c r="AC70" i="72" s="1"/>
  <c r="AC234" i="72" a="1"/>
  <c r="AC234" i="72" s="1"/>
  <c r="AC36" i="72" a="1"/>
  <c r="AC36" i="72" s="1"/>
  <c r="AC135" i="72" a="1"/>
  <c r="AC135" i="72" s="1"/>
  <c r="AC102" i="72" a="1"/>
  <c r="AC102" i="72" s="1"/>
  <c r="AC168" i="72" a="1"/>
  <c r="AC168" i="72" s="1"/>
  <c r="AC136" i="72" a="1"/>
  <c r="AC136" i="72" s="1"/>
  <c r="AC235" i="72" a="1"/>
  <c r="AC235" i="72" s="1"/>
  <c r="AC37" i="72" a="1"/>
  <c r="AC37" i="72" s="1"/>
  <c r="AC103" i="72" a="1"/>
  <c r="AC103" i="72" s="1"/>
  <c r="AC169" i="72" a="1"/>
  <c r="AC169" i="72" s="1"/>
  <c r="AI51" i="72" a="1"/>
  <c r="AI51" i="72" s="1"/>
  <c r="B65" i="73"/>
  <c r="B63" i="73"/>
  <c r="B66" i="73"/>
  <c r="AI183" i="72" a="1"/>
  <c r="AI183" i="72" s="1"/>
  <c r="B67" i="73"/>
  <c r="AI150" i="72" a="1"/>
  <c r="AI150" i="72" s="1"/>
  <c r="AI216" i="72" a="1"/>
  <c r="AI216" i="72" s="1"/>
  <c r="AI84" i="72" a="1"/>
  <c r="AI84" i="72" s="1"/>
  <c r="AI117" i="72" a="1"/>
  <c r="AI117" i="72" s="1"/>
  <c r="AI52" i="72" a="1"/>
  <c r="AI52" i="72" s="1"/>
  <c r="AI18" i="72" a="1"/>
  <c r="AI18" i="72" s="1"/>
  <c r="AI184" i="72" a="1"/>
  <c r="AI184" i="72" s="1"/>
  <c r="AI185" i="72" a="1"/>
  <c r="AI185" i="72" s="1"/>
  <c r="AI151" i="72" a="1"/>
  <c r="AI151" i="72" s="1"/>
  <c r="AI118" i="72" a="1"/>
  <c r="AI118" i="72" s="1"/>
  <c r="AI53" i="72" a="1"/>
  <c r="AI53" i="72" s="1"/>
  <c r="AI217" i="72" a="1"/>
  <c r="AI217" i="72" s="1"/>
  <c r="AI85" i="72" a="1"/>
  <c r="AI85" i="72" s="1"/>
  <c r="AI19" i="72" a="1"/>
  <c r="AI19" i="72" s="1"/>
  <c r="AI186" i="72" a="1"/>
  <c r="AI186" i="72" s="1"/>
  <c r="AI54" i="72" a="1"/>
  <c r="AI54" i="72" s="1"/>
  <c r="AI218" i="72" a="1"/>
  <c r="AI218" i="72" s="1"/>
  <c r="AI20" i="72" a="1"/>
  <c r="AI20" i="72" s="1"/>
  <c r="AI86" i="72" a="1"/>
  <c r="AI86" i="72" s="1"/>
  <c r="AI119" i="72" a="1"/>
  <c r="AI119" i="72" s="1"/>
  <c r="AI152" i="72" a="1"/>
  <c r="AI152" i="72" s="1"/>
  <c r="AI55" i="72" a="1"/>
  <c r="AI55" i="72" s="1"/>
  <c r="AI120" i="72" a="1"/>
  <c r="AI120" i="72" s="1"/>
  <c r="AI21" i="72" a="1"/>
  <c r="AI21" i="72" s="1"/>
  <c r="AI153" i="72" a="1"/>
  <c r="AI153" i="72" s="1"/>
  <c r="AI87" i="72" a="1"/>
  <c r="AI87" i="72" s="1"/>
  <c r="AI187" i="72" a="1"/>
  <c r="AI187" i="72" s="1"/>
  <c r="AI219" i="72" a="1"/>
  <c r="AI219" i="72" s="1"/>
  <c r="AI56" i="72" a="1"/>
  <c r="AI56" i="72" s="1"/>
  <c r="AI154" i="72" a="1"/>
  <c r="AI154" i="72" s="1"/>
  <c r="AI220" i="72" a="1"/>
  <c r="AI220" i="72" s="1"/>
  <c r="AI121" i="72" a="1"/>
  <c r="AI121" i="72" s="1"/>
  <c r="AI22" i="72" a="1"/>
  <c r="AI22" i="72" s="1"/>
  <c r="AI188" i="72" a="1"/>
  <c r="AI188" i="72" s="1"/>
  <c r="AI88" i="72" a="1"/>
  <c r="AI88" i="72" s="1"/>
  <c r="AI221" i="72" a="1"/>
  <c r="AI221" i="72" s="1"/>
  <c r="AI122" i="72" a="1"/>
  <c r="AI122" i="72" s="1"/>
  <c r="AI89" i="72" a="1"/>
  <c r="AI89" i="72" s="1"/>
  <c r="AI155" i="72" a="1"/>
  <c r="AI155" i="72" s="1"/>
  <c r="AI57" i="72" a="1"/>
  <c r="AI57" i="72" s="1"/>
  <c r="AI23" i="72" a="1"/>
  <c r="AI23" i="72" s="1"/>
  <c r="AI189" i="72" a="1"/>
  <c r="AI189" i="72" s="1"/>
  <c r="AI58" i="72" a="1"/>
  <c r="AI58" i="72" s="1"/>
  <c r="AI222" i="72" a="1"/>
  <c r="AI222" i="72" s="1"/>
  <c r="AI24" i="72" a="1"/>
  <c r="AI24" i="72" s="1"/>
  <c r="AI90" i="72" a="1"/>
  <c r="AI90" i="72" s="1"/>
  <c r="AI156" i="72" a="1"/>
  <c r="AI156" i="72" s="1"/>
  <c r="AI190" i="72" a="1"/>
  <c r="AI190" i="72" s="1"/>
  <c r="AI123" i="72" a="1"/>
  <c r="AI123" i="72" s="1"/>
  <c r="AI25" i="72" a="1"/>
  <c r="AI25" i="72" s="1"/>
  <c r="AI223" i="72" a="1"/>
  <c r="AI223" i="72" s="1"/>
  <c r="AI157" i="72" a="1"/>
  <c r="AI157" i="72" s="1"/>
  <c r="AI59" i="72" a="1"/>
  <c r="AI59" i="72" s="1"/>
  <c r="AI191" i="72" a="1"/>
  <c r="AI191" i="72" s="1"/>
  <c r="AI124" i="72" a="1"/>
  <c r="AI124" i="72" s="1"/>
  <c r="AI91" i="72" a="1"/>
  <c r="AI91" i="72" s="1"/>
  <c r="AI26" i="72" a="1"/>
  <c r="AI26" i="72" s="1"/>
  <c r="AI60" i="72" a="1"/>
  <c r="AI60" i="72" s="1"/>
  <c r="AI224" i="72" a="1"/>
  <c r="AI224" i="72" s="1"/>
  <c r="AI158" i="72" a="1"/>
  <c r="AI158" i="72" s="1"/>
  <c r="AI92" i="72" a="1"/>
  <c r="AI92" i="72" s="1"/>
  <c r="AI125" i="72" a="1"/>
  <c r="AI125" i="72" s="1"/>
  <c r="AI192" i="72" a="1"/>
  <c r="AI192" i="72" s="1"/>
  <c r="AI225" i="72" a="1"/>
  <c r="AI225" i="72" s="1"/>
  <c r="AI159" i="72" a="1"/>
  <c r="AI159" i="72" s="1"/>
  <c r="AI61" i="72" a="1"/>
  <c r="AI61" i="72" s="1"/>
  <c r="AI27" i="72" a="1"/>
  <c r="AI27" i="72" s="1"/>
  <c r="AI126" i="72" a="1"/>
  <c r="AI126" i="72" s="1"/>
  <c r="AI93" i="72" a="1"/>
  <c r="AI93" i="72" s="1"/>
  <c r="AI193" i="72" a="1"/>
  <c r="AI193" i="72" s="1"/>
  <c r="AI160" i="72" a="1"/>
  <c r="AI160" i="72" s="1"/>
  <c r="AI226" i="72" a="1"/>
  <c r="AI226" i="72" s="1"/>
  <c r="AI127" i="72" a="1"/>
  <c r="AI127" i="72" s="1"/>
  <c r="AI94" i="72" a="1"/>
  <c r="AI94" i="72" s="1"/>
  <c r="AI194" i="72" a="1"/>
  <c r="AI194" i="72" s="1"/>
  <c r="AI28" i="72" a="1"/>
  <c r="AI28" i="72" s="1"/>
  <c r="AI62" i="72" a="1"/>
  <c r="AI62" i="72" s="1"/>
  <c r="AI227" i="72" a="1"/>
  <c r="AI227" i="72" s="1"/>
  <c r="AI128" i="72" a="1"/>
  <c r="AI128" i="72" s="1"/>
  <c r="AI29" i="72" a="1"/>
  <c r="AI29" i="72" s="1"/>
  <c r="AI195" i="72" a="1"/>
  <c r="AI195" i="72" s="1"/>
  <c r="AI95" i="72" a="1"/>
  <c r="AI95" i="72" s="1"/>
  <c r="AI161" i="72" a="1"/>
  <c r="AI161" i="72" s="1"/>
  <c r="AI63" i="72" a="1"/>
  <c r="AI63" i="72" s="1"/>
  <c r="AI96" i="72" a="1"/>
  <c r="AI96" i="72" s="1"/>
  <c r="AI30" i="72" a="1"/>
  <c r="AI30" i="72" s="1"/>
  <c r="AI162" i="72" a="1"/>
  <c r="AI162" i="72" s="1"/>
  <c r="AI64" i="72" a="1"/>
  <c r="AI64" i="72" s="1"/>
  <c r="AI196" i="72" a="1"/>
  <c r="AI196" i="72" s="1"/>
  <c r="AI129" i="72" a="1"/>
  <c r="AI129" i="72" s="1"/>
  <c r="AI228" i="72" a="1"/>
  <c r="AI228" i="72" s="1"/>
  <c r="AI197" i="72" a="1"/>
  <c r="AI197" i="72" s="1"/>
  <c r="AI130" i="72" a="1"/>
  <c r="AI130" i="72" s="1"/>
  <c r="AI97" i="72" a="1"/>
  <c r="AI97" i="72" s="1"/>
  <c r="AI31" i="72" a="1"/>
  <c r="AI31" i="72" s="1"/>
  <c r="AI229" i="72" a="1"/>
  <c r="AI229" i="72" s="1"/>
  <c r="AI65" i="72" a="1"/>
  <c r="AI65" i="72" s="1"/>
  <c r="AI163" i="72" a="1"/>
  <c r="AI163" i="72" s="1"/>
  <c r="AI66" i="72" a="1"/>
  <c r="AI66" i="72" s="1"/>
  <c r="AI230" i="72" a="1"/>
  <c r="AI230" i="72" s="1"/>
  <c r="AI32" i="72" a="1"/>
  <c r="AI32" i="72" s="1"/>
  <c r="AI164" i="72" a="1"/>
  <c r="AI164" i="72" s="1"/>
  <c r="AI198" i="72" a="1"/>
  <c r="AI198" i="72" s="1"/>
  <c r="AI131" i="72" a="1"/>
  <c r="AI131" i="72" s="1"/>
  <c r="AI98" i="72" a="1"/>
  <c r="AI98" i="72" s="1"/>
  <c r="AI132" i="72" a="1"/>
  <c r="AI132" i="72" s="1"/>
  <c r="AI165" i="72" a="1"/>
  <c r="AI165" i="72" s="1"/>
  <c r="AI231" i="72" a="1"/>
  <c r="AI231" i="72" s="1"/>
  <c r="AI99" i="72" a="1"/>
  <c r="AI99" i="72" s="1"/>
  <c r="AI33" i="72" a="1"/>
  <c r="AI33" i="72" s="1"/>
  <c r="AI67" i="72" a="1"/>
  <c r="AI67" i="72" s="1"/>
  <c r="AI199" i="72" a="1"/>
  <c r="AI199" i="72" s="1"/>
  <c r="AI166" i="72" a="1"/>
  <c r="AI166" i="72" s="1"/>
  <c r="AI200" i="72" a="1"/>
  <c r="AI200" i="72" s="1"/>
  <c r="AI68" i="72" a="1"/>
  <c r="AI68" i="72" s="1"/>
  <c r="AI34" i="72" a="1"/>
  <c r="AI34" i="72" s="1"/>
  <c r="AI232" i="72" a="1"/>
  <c r="AI232" i="72" s="1"/>
  <c r="AI100" i="72" a="1"/>
  <c r="AI100" i="72" s="1"/>
  <c r="AI133" i="72" a="1"/>
  <c r="AI133" i="72" s="1"/>
  <c r="AI167" i="72" a="1"/>
  <c r="AI167" i="72" s="1"/>
  <c r="AI233" i="72" a="1"/>
  <c r="AI233" i="72" s="1"/>
  <c r="AI101" i="72" a="1"/>
  <c r="AI101" i="72" s="1"/>
  <c r="AI69" i="72" a="1"/>
  <c r="AI69" i="72" s="1"/>
  <c r="AI35" i="72" a="1"/>
  <c r="AI35" i="72" s="1"/>
  <c r="AI134" i="72" a="1"/>
  <c r="AI134" i="72" s="1"/>
  <c r="AI201" i="72" a="1"/>
  <c r="AI201" i="72" s="1"/>
  <c r="AI70" i="72" a="1"/>
  <c r="AI70" i="72" s="1"/>
  <c r="AI202" i="72" a="1"/>
  <c r="AI202" i="72" s="1"/>
  <c r="AI135" i="72" a="1"/>
  <c r="AI135" i="72" s="1"/>
  <c r="AI102" i="72" a="1"/>
  <c r="AI102" i="72" s="1"/>
  <c r="AI168" i="72" a="1"/>
  <c r="AI168" i="72" s="1"/>
  <c r="AI234" i="72" a="1"/>
  <c r="AI234" i="72" s="1"/>
  <c r="AI36" i="72" a="1"/>
  <c r="AI36" i="72" s="1"/>
  <c r="AI235" i="72" a="1"/>
  <c r="AI235" i="72" s="1"/>
  <c r="AI103" i="72" a="1"/>
  <c r="AI103" i="72" s="1"/>
  <c r="AI37" i="72" a="1"/>
  <c r="AI37" i="72" s="1"/>
  <c r="AI169" i="72" a="1"/>
  <c r="AI169" i="72" s="1"/>
  <c r="AI136" i="72" a="1"/>
  <c r="AI136" i="72" s="1"/>
  <c r="Y70" i="72" a="1"/>
  <c r="Y70" i="72" s="1"/>
  <c r="Y183" i="72" a="1"/>
  <c r="Y183" i="72" s="1"/>
  <c r="Y51" i="72" a="1"/>
  <c r="Y51" i="72" s="1"/>
  <c r="B75" i="48"/>
  <c r="B77" i="48"/>
  <c r="Y117" i="72" a="1"/>
  <c r="Y117" i="72" s="1"/>
  <c r="Y216" i="72" a="1"/>
  <c r="Y216" i="72" s="1"/>
  <c r="Y18" i="72" a="1"/>
  <c r="Y18" i="72" s="1"/>
  <c r="Y184" i="72" a="1"/>
  <c r="Y184" i="72" s="1"/>
  <c r="Y150" i="72" a="1"/>
  <c r="Y150" i="72" s="1"/>
  <c r="Y84" i="72" a="1"/>
  <c r="Y84" i="72" s="1"/>
  <c r="Y118" i="72" a="1"/>
  <c r="Y118" i="72" s="1"/>
  <c r="Y185" i="72" a="1"/>
  <c r="Y185" i="72" s="1"/>
  <c r="Y119" i="72" a="1"/>
  <c r="Y119" i="72" s="1"/>
  <c r="Y186" i="72" a="1"/>
  <c r="Y186" i="72" s="1"/>
  <c r="Y120" i="72" a="1"/>
  <c r="Y120" i="72" s="1"/>
  <c r="Y187" i="72" a="1"/>
  <c r="Y187" i="72" s="1"/>
  <c r="Y188" i="72" a="1"/>
  <c r="Y188" i="72" s="1"/>
  <c r="Y121" i="72" a="1"/>
  <c r="Y121" i="72" s="1"/>
  <c r="Y122" i="72" a="1"/>
  <c r="Y122" i="72" s="1"/>
  <c r="Y189" i="72" a="1"/>
  <c r="Y189" i="72" s="1"/>
  <c r="Y190" i="72" a="1"/>
  <c r="Y190" i="72" s="1"/>
  <c r="Y123" i="72" a="1"/>
  <c r="Y123" i="72" s="1"/>
  <c r="Y124" i="72" a="1"/>
  <c r="Y124" i="72" s="1"/>
  <c r="Y191" i="72" a="1"/>
  <c r="Y191" i="72" s="1"/>
  <c r="Y125" i="72" a="1"/>
  <c r="Y125" i="72" s="1"/>
  <c r="Y192" i="72" a="1"/>
  <c r="Y192" i="72" s="1"/>
  <c r="Y126" i="72" a="1"/>
  <c r="Y126" i="72" s="1"/>
  <c r="Y193" i="72" a="1"/>
  <c r="Y193" i="72" s="1"/>
  <c r="Y194" i="72" a="1"/>
  <c r="Y194" i="72" s="1"/>
  <c r="Y127" i="72" a="1"/>
  <c r="Y127" i="72" s="1"/>
  <c r="Y195" i="72" a="1"/>
  <c r="Y195" i="72" s="1"/>
  <c r="Y128" i="72" a="1"/>
  <c r="Y128" i="72" s="1"/>
  <c r="Y196" i="72" a="1"/>
  <c r="Y196" i="72" s="1"/>
  <c r="Y129" i="72" a="1"/>
  <c r="Y129" i="72" s="1"/>
  <c r="Y130" i="72" a="1"/>
  <c r="Y130" i="72" s="1"/>
  <c r="Y197" i="72" a="1"/>
  <c r="Y197" i="72" s="1"/>
  <c r="Y131" i="72" a="1"/>
  <c r="Y131" i="72" s="1"/>
  <c r="Y198" i="72" a="1"/>
  <c r="Y198" i="72" s="1"/>
  <c r="Y199" i="72" a="1"/>
  <c r="Y199" i="72" s="1"/>
  <c r="Y132" i="72" a="1"/>
  <c r="Y132" i="72" s="1"/>
  <c r="Y133" i="72" a="1"/>
  <c r="Y133" i="72" s="1"/>
  <c r="Y200" i="72" a="1"/>
  <c r="Y200" i="72" s="1"/>
  <c r="Y134" i="72" a="1"/>
  <c r="Y134" i="72" s="1"/>
  <c r="Y201" i="72" a="1"/>
  <c r="Y201" i="72" s="1"/>
  <c r="Y136" i="72" a="1"/>
  <c r="Y136" i="72" s="1"/>
  <c r="Y135" i="72" a="1"/>
  <c r="Y135" i="72" s="1"/>
  <c r="Y202" i="72" a="1"/>
  <c r="Y202" i="72" s="1"/>
  <c r="B49" i="48"/>
  <c r="Y103" i="72" a="1"/>
  <c r="Y103" i="72" s="1"/>
  <c r="Y169" i="72" a="1"/>
  <c r="Y169" i="72" s="1"/>
  <c r="AF51" i="72" a="1"/>
  <c r="AF51" i="72" s="1"/>
  <c r="B38" i="73"/>
  <c r="B36" i="73"/>
  <c r="B40" i="73"/>
  <c r="B39" i="73"/>
  <c r="AF183" i="72" a="1"/>
  <c r="AF183" i="72" s="1"/>
  <c r="AF184" i="72" a="1"/>
  <c r="AF184" i="72" s="1"/>
  <c r="AF150" i="72" a="1"/>
  <c r="AF150" i="72" s="1"/>
  <c r="AF216" i="72" a="1"/>
  <c r="AF216" i="72" s="1"/>
  <c r="AF84" i="72" a="1"/>
  <c r="AF84" i="72" s="1"/>
  <c r="AF117" i="72" a="1"/>
  <c r="AF117" i="72" s="1"/>
  <c r="AF18" i="72" a="1"/>
  <c r="AF18" i="72" s="1"/>
  <c r="AF52" i="72" a="1"/>
  <c r="AF52" i="72" s="1"/>
  <c r="AF185" i="72" a="1"/>
  <c r="AF185" i="72" s="1"/>
  <c r="AF118" i="72" a="1"/>
  <c r="AF118" i="72" s="1"/>
  <c r="AF217" i="72" a="1"/>
  <c r="AF217" i="72" s="1"/>
  <c r="AF85" i="72" a="1"/>
  <c r="AF85" i="72" s="1"/>
  <c r="AF19" i="72" a="1"/>
  <c r="AF19" i="72" s="1"/>
  <c r="AF151" i="72" a="1"/>
  <c r="AF151" i="72" s="1"/>
  <c r="AF53" i="72" a="1"/>
  <c r="AF53" i="72" s="1"/>
  <c r="AF86" i="72" a="1"/>
  <c r="AF86" i="72" s="1"/>
  <c r="AF20" i="72" a="1"/>
  <c r="AF20" i="72" s="1"/>
  <c r="AF152" i="72" a="1"/>
  <c r="AF152" i="72" s="1"/>
  <c r="AF54" i="72" a="1"/>
  <c r="AF54" i="72" s="1"/>
  <c r="AF186" i="72" a="1"/>
  <c r="AF186" i="72" s="1"/>
  <c r="AF218" i="72" a="1"/>
  <c r="AF218" i="72" s="1"/>
  <c r="AF119" i="72" a="1"/>
  <c r="AF119" i="72" s="1"/>
  <c r="AF187" i="72" a="1"/>
  <c r="AF187" i="72" s="1"/>
  <c r="AF153" i="72" a="1"/>
  <c r="AF153" i="72" s="1"/>
  <c r="AF120" i="72" a="1"/>
  <c r="AF120" i="72" s="1"/>
  <c r="AF87" i="72" a="1"/>
  <c r="AF87" i="72" s="1"/>
  <c r="AF21" i="72" a="1"/>
  <c r="AF21" i="72" s="1"/>
  <c r="AF219" i="72" a="1"/>
  <c r="AF219" i="72" s="1"/>
  <c r="AF55" i="72" a="1"/>
  <c r="AF55" i="72" s="1"/>
  <c r="AF220" i="72" a="1"/>
  <c r="AF220" i="72" s="1"/>
  <c r="AF154" i="72" a="1"/>
  <c r="AF154" i="72" s="1"/>
  <c r="AF56" i="72" a="1"/>
  <c r="AF56" i="72" s="1"/>
  <c r="AF88" i="72" a="1"/>
  <c r="AF88" i="72" s="1"/>
  <c r="AF22" i="72" a="1"/>
  <c r="AF22" i="72" s="1"/>
  <c r="AF121" i="72" a="1"/>
  <c r="AF121" i="72" s="1"/>
  <c r="AF188" i="72" a="1"/>
  <c r="AF188" i="72" s="1"/>
  <c r="AF189" i="72" a="1"/>
  <c r="AF189" i="72" s="1"/>
  <c r="AF221" i="72" a="1"/>
  <c r="AF221" i="72" s="1"/>
  <c r="AF122" i="72" a="1"/>
  <c r="AF122" i="72" s="1"/>
  <c r="AF89" i="72" a="1"/>
  <c r="AF89" i="72" s="1"/>
  <c r="AF23" i="72" a="1"/>
  <c r="AF23" i="72" s="1"/>
  <c r="AF57" i="72" a="1"/>
  <c r="AF57" i="72" s="1"/>
  <c r="AF155" i="72" a="1"/>
  <c r="AF155" i="72" s="1"/>
  <c r="AF58" i="72" a="1"/>
  <c r="AF58" i="72" s="1"/>
  <c r="AF123" i="72" a="1"/>
  <c r="AF123" i="72" s="1"/>
  <c r="AF190" i="72" a="1"/>
  <c r="AF190" i="72" s="1"/>
  <c r="AF222" i="72" a="1"/>
  <c r="AF222" i="72" s="1"/>
  <c r="AF24" i="72" a="1"/>
  <c r="AF24" i="72" s="1"/>
  <c r="AF156" i="72" a="1"/>
  <c r="AF156" i="72" s="1"/>
  <c r="AF90" i="72" a="1"/>
  <c r="AF90" i="72" s="1"/>
  <c r="AF223" i="72" a="1"/>
  <c r="AF223" i="72" s="1"/>
  <c r="AF59" i="72" a="1"/>
  <c r="AF59" i="72" s="1"/>
  <c r="AF157" i="72" a="1"/>
  <c r="AF157" i="72" s="1"/>
  <c r="AF124" i="72" a="1"/>
  <c r="AF124" i="72" s="1"/>
  <c r="AF91" i="72" a="1"/>
  <c r="AF91" i="72" s="1"/>
  <c r="AF191" i="72" a="1"/>
  <c r="AF191" i="72" s="1"/>
  <c r="AF25" i="72" a="1"/>
  <c r="AF25" i="72" s="1"/>
  <c r="AF92" i="72" a="1"/>
  <c r="AF92" i="72" s="1"/>
  <c r="AF60" i="72" a="1"/>
  <c r="AF60" i="72" s="1"/>
  <c r="AF192" i="72" a="1"/>
  <c r="AF192" i="72" s="1"/>
  <c r="AF26" i="72" a="1"/>
  <c r="AF26" i="72" s="1"/>
  <c r="AF224" i="72" a="1"/>
  <c r="AF224" i="72" s="1"/>
  <c r="AF158" i="72" a="1"/>
  <c r="AF158" i="72" s="1"/>
  <c r="AF125" i="72" a="1"/>
  <c r="AF125" i="72" s="1"/>
  <c r="AF225" i="72" a="1"/>
  <c r="AF225" i="72" s="1"/>
  <c r="AF61" i="72" a="1"/>
  <c r="AF61" i="72" s="1"/>
  <c r="AF126" i="72" a="1"/>
  <c r="AF126" i="72" s="1"/>
  <c r="AF27" i="72" a="1"/>
  <c r="AF27" i="72" s="1"/>
  <c r="AF159" i="72" a="1"/>
  <c r="AF159" i="72" s="1"/>
  <c r="AF193" i="72" a="1"/>
  <c r="AF193" i="72" s="1"/>
  <c r="AF93" i="72" a="1"/>
  <c r="AF93" i="72" s="1"/>
  <c r="AF226" i="72" a="1"/>
  <c r="AF226" i="72" s="1"/>
  <c r="AF127" i="72" a="1"/>
  <c r="AF127" i="72" s="1"/>
  <c r="AF160" i="72" a="1"/>
  <c r="AF160" i="72" s="1"/>
  <c r="AF94" i="72" a="1"/>
  <c r="AF94" i="72" s="1"/>
  <c r="AF28" i="72" a="1"/>
  <c r="AF28" i="72" s="1"/>
  <c r="AF194" i="72" a="1"/>
  <c r="AF194" i="72" s="1"/>
  <c r="AF62" i="72" a="1"/>
  <c r="AF62" i="72" s="1"/>
  <c r="AF63" i="72" a="1"/>
  <c r="AF63" i="72" s="1"/>
  <c r="AF128" i="72" a="1"/>
  <c r="AF128" i="72" s="1"/>
  <c r="AF195" i="72" a="1"/>
  <c r="AF195" i="72" s="1"/>
  <c r="AF227" i="72" a="1"/>
  <c r="AF227" i="72" s="1"/>
  <c r="AF29" i="72" a="1"/>
  <c r="AF29" i="72" s="1"/>
  <c r="AF161" i="72" a="1"/>
  <c r="AF161" i="72" s="1"/>
  <c r="AF95" i="72" a="1"/>
  <c r="AF95" i="72" s="1"/>
  <c r="AF64" i="72" a="1"/>
  <c r="AF64" i="72" s="1"/>
  <c r="AF30" i="72" a="1"/>
  <c r="AF30" i="72" s="1"/>
  <c r="AF162" i="72" a="1"/>
  <c r="AF162" i="72" s="1"/>
  <c r="AF129" i="72" a="1"/>
  <c r="AF129" i="72" s="1"/>
  <c r="AF196" i="72" a="1"/>
  <c r="AF196" i="72" s="1"/>
  <c r="AF228" i="72" a="1"/>
  <c r="AF228" i="72" s="1"/>
  <c r="AF96" i="72" a="1"/>
  <c r="AF96" i="72" s="1"/>
  <c r="AF130" i="72" a="1"/>
  <c r="AF130" i="72" s="1"/>
  <c r="AF163" i="72" a="1"/>
  <c r="AF163" i="72" s="1"/>
  <c r="AF229" i="72" a="1"/>
  <c r="AF229" i="72" s="1"/>
  <c r="AF197" i="72" a="1"/>
  <c r="AF197" i="72" s="1"/>
  <c r="AF97" i="72" a="1"/>
  <c r="AF97" i="72" s="1"/>
  <c r="AF31" i="72" a="1"/>
  <c r="AF31" i="72" s="1"/>
  <c r="AF65" i="72" a="1"/>
  <c r="AF65" i="72" s="1"/>
  <c r="AF66" i="72" a="1"/>
  <c r="AF66" i="72" s="1"/>
  <c r="AF98" i="72" a="1"/>
  <c r="AF98" i="72" s="1"/>
  <c r="AF32" i="72" a="1"/>
  <c r="AF32" i="72" s="1"/>
  <c r="AF230" i="72" a="1"/>
  <c r="AF230" i="72" s="1"/>
  <c r="AF164" i="72" a="1"/>
  <c r="AF164" i="72" s="1"/>
  <c r="AF198" i="72" a="1"/>
  <c r="AF198" i="72" s="1"/>
  <c r="AF131" i="72" a="1"/>
  <c r="AF131" i="72" s="1"/>
  <c r="AF231" i="72" a="1"/>
  <c r="AF231" i="72" s="1"/>
  <c r="AF132" i="72" a="1"/>
  <c r="AF132" i="72" s="1"/>
  <c r="AF67" i="72" a="1"/>
  <c r="AF67" i="72" s="1"/>
  <c r="AF165" i="72" a="1"/>
  <c r="AF165" i="72" s="1"/>
  <c r="AF99" i="72" a="1"/>
  <c r="AF99" i="72" s="1"/>
  <c r="AF33" i="72" a="1"/>
  <c r="AF33" i="72" s="1"/>
  <c r="AF199" i="72" a="1"/>
  <c r="AF199" i="72" s="1"/>
  <c r="AF166" i="72" a="1"/>
  <c r="AF166" i="72" s="1"/>
  <c r="AF68" i="72" a="1"/>
  <c r="AF68" i="72" s="1"/>
  <c r="AF200" i="72" a="1"/>
  <c r="AF200" i="72" s="1"/>
  <c r="AF232" i="72" a="1"/>
  <c r="AF232" i="72" s="1"/>
  <c r="AF100" i="72" a="1"/>
  <c r="AF100" i="72" s="1"/>
  <c r="AF34" i="72" a="1"/>
  <c r="AF34" i="72" s="1"/>
  <c r="AF133" i="72" a="1"/>
  <c r="AF133" i="72" s="1"/>
  <c r="AF167" i="72" a="1"/>
  <c r="AF167" i="72" s="1"/>
  <c r="AF233" i="72" a="1"/>
  <c r="AF233" i="72" s="1"/>
  <c r="AF134" i="72" a="1"/>
  <c r="AF134" i="72" s="1"/>
  <c r="AF101" i="72" a="1"/>
  <c r="AF101" i="72" s="1"/>
  <c r="AF35" i="72" a="1"/>
  <c r="AF35" i="72" s="1"/>
  <c r="AF201" i="72" a="1"/>
  <c r="AF201" i="72" s="1"/>
  <c r="AF69" i="72" a="1"/>
  <c r="AF69" i="72" s="1"/>
  <c r="AF202" i="72" a="1"/>
  <c r="AF202" i="72" s="1"/>
  <c r="AF70" i="72" a="1"/>
  <c r="AF70" i="72" s="1"/>
  <c r="AF36" i="72" a="1"/>
  <c r="AF36" i="72" s="1"/>
  <c r="AF168" i="72" a="1"/>
  <c r="AF168" i="72" s="1"/>
  <c r="AF102" i="72" a="1"/>
  <c r="AF102" i="72" s="1"/>
  <c r="AF135" i="72" a="1"/>
  <c r="AF135" i="72" s="1"/>
  <c r="AF234" i="72" a="1"/>
  <c r="AF234" i="72" s="1"/>
  <c r="AF136" i="72" a="1"/>
  <c r="AF136" i="72" s="1"/>
  <c r="AF235" i="72" a="1"/>
  <c r="AF235" i="72" s="1"/>
  <c r="AF103" i="72" a="1"/>
  <c r="AF103" i="72" s="1"/>
  <c r="AF169" i="72" a="1"/>
  <c r="AF169" i="72" s="1"/>
  <c r="AF37" i="72" a="1"/>
  <c r="AF37" i="72" s="1"/>
  <c r="B21" i="48"/>
  <c r="B19" i="48"/>
  <c r="B47" i="48"/>
  <c r="B50" i="48"/>
  <c r="B51" i="48"/>
  <c r="B22" i="48"/>
  <c r="B23" i="48"/>
  <c r="AN99" i="72" l="1" a="1"/>
  <c r="AN99" i="72" s="1"/>
  <c r="AN98" i="72" a="1"/>
  <c r="AN98" i="72" s="1"/>
  <c r="AN97" i="72" a="1"/>
  <c r="AN97" i="72" s="1"/>
  <c r="AN96" i="72" a="1"/>
  <c r="AN96" i="72" s="1"/>
  <c r="AN95" i="72" a="1"/>
  <c r="AN95" i="72" s="1"/>
  <c r="AN94" i="72" a="1"/>
  <c r="AN94" i="72" s="1"/>
  <c r="AN93" i="72" a="1"/>
  <c r="AN93" i="72" s="1"/>
  <c r="AN92" i="72" a="1"/>
  <c r="AN92" i="72" s="1"/>
  <c r="AN91" i="72" a="1"/>
  <c r="AN91" i="72" s="1"/>
  <c r="AN90" i="72" a="1"/>
  <c r="AN90" i="72" s="1"/>
  <c r="AN89" i="72" a="1"/>
  <c r="AN89" i="72" s="1"/>
  <c r="AN88" i="72" a="1"/>
  <c r="AN88" i="72" s="1"/>
  <c r="AN103" i="72" a="1"/>
  <c r="AN103" i="72" s="1"/>
  <c r="AN87" i="72" a="1"/>
  <c r="AN87" i="72" s="1"/>
  <c r="AN102" i="72" a="1"/>
  <c r="AN102" i="72" s="1"/>
  <c r="AN86" i="72" a="1"/>
  <c r="AN86" i="72" s="1"/>
  <c r="AN101" i="72" a="1"/>
  <c r="AN101" i="72" s="1"/>
  <c r="AN85" i="72" a="1"/>
  <c r="AN85" i="72" s="1"/>
  <c r="AN100" i="72" a="1"/>
  <c r="AN100" i="72" s="1"/>
  <c r="Y217" i="72" a="1"/>
  <c r="Y217" i="72" s="1"/>
  <c r="Y220" i="72" a="1"/>
  <c r="Y220" i="72" s="1"/>
  <c r="Y64" i="72" a="1"/>
  <c r="Y64" i="72" s="1"/>
  <c r="Y67" i="72" a="1"/>
  <c r="Y67" i="72" s="1"/>
  <c r="Y68" i="72" a="1"/>
  <c r="Y68" i="72" s="1"/>
  <c r="Y56" i="72" a="1"/>
  <c r="Y56" i="72" s="1"/>
  <c r="Y53" i="72" a="1"/>
  <c r="Y53" i="72" s="1"/>
  <c r="Y58" i="72" a="1"/>
  <c r="Y58" i="72" s="1"/>
  <c r="Y59" i="72" a="1"/>
  <c r="Y59" i="72" s="1"/>
  <c r="Y65" i="72" a="1"/>
  <c r="Y65" i="72" s="1"/>
  <c r="Y54" i="72" a="1"/>
  <c r="Y54" i="72" s="1"/>
  <c r="Y63" i="72" a="1"/>
  <c r="Y63" i="72" s="1"/>
  <c r="Y52" i="72" a="1"/>
  <c r="Y52" i="72" s="1"/>
  <c r="Y57" i="72" a="1"/>
  <c r="Y57" i="72" s="1"/>
  <c r="Y66" i="72" a="1"/>
  <c r="Y66" i="72" s="1"/>
  <c r="Y60" i="72" a="1"/>
  <c r="Y60" i="72" s="1"/>
  <c r="Y55" i="72" a="1"/>
  <c r="Y55" i="72" s="1"/>
  <c r="Y69" i="72" a="1"/>
  <c r="Y69" i="72" s="1"/>
  <c r="Y62" i="72" a="1"/>
  <c r="Y62" i="72" s="1"/>
  <c r="Y61" i="72" a="1"/>
  <c r="Y61" i="72" s="1"/>
  <c r="Y223" i="72" a="1"/>
  <c r="Y223" i="72" s="1"/>
  <c r="Y222" i="72" a="1"/>
  <c r="Y222" i="72" s="1"/>
  <c r="Y221" i="72" a="1"/>
  <c r="Y221" i="72" s="1"/>
  <c r="Y218" i="72" a="1"/>
  <c r="Y218" i="72" s="1"/>
  <c r="Y229" i="72" a="1"/>
  <c r="Y229" i="72" s="1"/>
  <c r="Y225" i="72" a="1"/>
  <c r="Y225" i="72" s="1"/>
  <c r="Y219" i="72" a="1"/>
  <c r="Y219" i="72" s="1"/>
  <c r="Y37" i="72" a="1"/>
  <c r="Y37" i="72" s="1"/>
  <c r="Y166" i="72" a="1"/>
  <c r="Y166" i="72" s="1"/>
  <c r="Y158" i="72" a="1"/>
  <c r="Y158" i="72" s="1"/>
  <c r="Y226" i="72" a="1"/>
  <c r="Y226" i="72" s="1"/>
  <c r="Y224" i="72" a="1"/>
  <c r="Y224" i="72" s="1"/>
  <c r="Y233" i="72" a="1"/>
  <c r="Y233" i="72" s="1"/>
  <c r="Y160" i="72" a="1"/>
  <c r="Y160" i="72" s="1"/>
  <c r="Y228" i="72" a="1"/>
  <c r="Y228" i="72" s="1"/>
  <c r="Y157" i="72" a="1"/>
  <c r="Y157" i="72" s="1"/>
  <c r="Y232" i="72" a="1"/>
  <c r="Y232" i="72" s="1"/>
  <c r="Y91" i="72" a="1"/>
  <c r="Y91" i="72" s="1"/>
  <c r="Y231" i="72" a="1"/>
  <c r="Y231" i="72" s="1"/>
  <c r="Y234" i="72" a="1"/>
  <c r="Y234" i="72" s="1"/>
  <c r="Y230" i="72" a="1"/>
  <c r="Y230" i="72" s="1"/>
  <c r="Y155" i="72" a="1"/>
  <c r="Y155" i="72" s="1"/>
  <c r="Y227" i="72" a="1"/>
  <c r="Y227" i="72" s="1"/>
  <c r="Y153" i="72" a="1"/>
  <c r="Y153" i="72" s="1"/>
  <c r="Y167" i="72" a="1"/>
  <c r="Y167" i="72" s="1"/>
  <c r="Y156" i="72" a="1"/>
  <c r="Y156" i="72" s="1"/>
  <c r="Y151" i="72" a="1"/>
  <c r="Y151" i="72" s="1"/>
  <c r="B24" i="48" a="1"/>
  <c r="B52" i="48" a="1"/>
  <c r="Y95" i="72" a="1"/>
  <c r="Y95" i="72" s="1"/>
  <c r="Y89" i="72" a="1"/>
  <c r="Y89" i="72" s="1"/>
  <c r="Y88" i="72" a="1"/>
  <c r="Y88" i="72" s="1"/>
  <c r="Y159" i="72" a="1"/>
  <c r="Y159" i="72" s="1"/>
  <c r="Y87" i="72" a="1"/>
  <c r="Y87" i="72" s="1"/>
  <c r="Y164" i="72" a="1"/>
  <c r="Y164" i="72" s="1"/>
  <c r="Y165" i="72" a="1"/>
  <c r="Y165" i="72" s="1"/>
  <c r="Y85" i="72" a="1"/>
  <c r="Y85" i="72" s="1"/>
  <c r="Y102" i="72" a="1"/>
  <c r="Y102" i="72" s="1"/>
  <c r="Y92" i="72" a="1"/>
  <c r="Y92" i="72" s="1"/>
  <c r="Y90" i="72" a="1"/>
  <c r="Y90" i="72" s="1"/>
  <c r="Y154" i="72" a="1"/>
  <c r="Y154" i="72" s="1"/>
  <c r="Y162" i="72" a="1"/>
  <c r="Y162" i="72" s="1"/>
  <c r="Y93" i="72" a="1"/>
  <c r="Y93" i="72" s="1"/>
  <c r="Y97" i="72" a="1"/>
  <c r="Y97" i="72" s="1"/>
  <c r="Y96" i="72" a="1"/>
  <c r="Y96" i="72" s="1"/>
  <c r="Y152" i="72" a="1"/>
  <c r="Y152" i="72" s="1"/>
  <c r="Y86" i="72" a="1"/>
  <c r="Y86" i="72" s="1"/>
  <c r="Y101" i="72" a="1"/>
  <c r="Y101" i="72" s="1"/>
  <c r="Y100" i="72" a="1"/>
  <c r="Y100" i="72" s="1"/>
  <c r="Y98" i="72" a="1"/>
  <c r="Y98" i="72" s="1"/>
  <c r="Y161" i="72" a="1"/>
  <c r="Y161" i="72" s="1"/>
  <c r="Y168" i="72" a="1"/>
  <c r="Y168" i="72" s="1"/>
  <c r="Y94" i="72" a="1"/>
  <c r="Y94" i="72" s="1"/>
  <c r="Y99" i="72" a="1"/>
  <c r="Y99" i="72" s="1"/>
  <c r="Y163" i="72" a="1"/>
  <c r="Y163" i="72" s="1"/>
  <c r="Y22" i="72" l="1" a="1"/>
  <c r="Y22" i="72" s="1"/>
  <c r="Y25" i="72" a="1"/>
  <c r="Y25" i="72" s="1"/>
  <c r="Y24" i="72" a="1"/>
  <c r="Y24" i="72" s="1"/>
  <c r="Y19" i="72" a="1"/>
  <c r="Y19" i="72" s="1"/>
  <c r="Y34" i="72" a="1"/>
  <c r="Y34" i="72" s="1"/>
  <c r="Y35" i="72" a="1"/>
  <c r="Y35" i="72" s="1"/>
  <c r="Y20" i="72" a="1"/>
  <c r="Y20" i="72" s="1"/>
  <c r="Y26" i="72" a="1"/>
  <c r="Y26" i="72" s="1"/>
  <c r="Y30" i="72" a="1"/>
  <c r="Y30" i="72" s="1"/>
  <c r="Y32" i="72" a="1"/>
  <c r="Y32" i="72" s="1"/>
  <c r="Y31" i="72" a="1"/>
  <c r="Y31" i="72" s="1"/>
  <c r="Y21" i="72" a="1"/>
  <c r="Y21" i="72" s="1"/>
  <c r="Y27" i="72" a="1"/>
  <c r="Y27" i="72" s="1"/>
  <c r="Y29" i="72" a="1"/>
  <c r="Y29" i="72" s="1"/>
  <c r="Y36" i="72" a="1"/>
  <c r="Y36" i="72" s="1"/>
  <c r="Y33" i="72" a="1"/>
  <c r="Y33" i="72" s="1"/>
  <c r="Y28" i="72" a="1"/>
  <c r="Y28" i="72" s="1"/>
  <c r="Y23" i="72" a="1"/>
  <c r="Y23" i="72" s="1"/>
  <c r="B52" i="48"/>
  <c r="U18" i="72" s="1" a="1"/>
  <c r="U18" i="72" s="1"/>
  <c r="U150" i="72" a="1"/>
  <c r="U150" i="72" s="1"/>
  <c r="U216" i="72" a="1"/>
  <c r="U216" i="72" s="1"/>
  <c r="U84" i="72" a="1"/>
  <c r="U84" i="72" s="1"/>
  <c r="U117" i="72" a="1"/>
  <c r="U117" i="72" s="1"/>
  <c r="U51" i="72" a="1"/>
  <c r="U51" i="72" s="1"/>
  <c r="U183" i="72" a="1"/>
  <c r="U183" i="72" s="1"/>
  <c r="B24" i="48"/>
  <c r="P18" i="72" s="1" a="1"/>
  <c r="P18" i="72" s="1"/>
  <c r="P84" i="72" a="1"/>
  <c r="P84" i="72" s="1"/>
  <c r="P183" i="72" a="1"/>
  <c r="P183" i="72" s="1"/>
  <c r="P216" i="72" a="1"/>
  <c r="P216" i="72" s="1"/>
  <c r="P150" i="72" a="1"/>
  <c r="P150" i="72" s="1"/>
  <c r="P51" i="72" a="1"/>
  <c r="P51" i="72" s="1"/>
  <c r="P117" i="72" a="1"/>
  <c r="P117" i="72" s="1"/>
  <c r="B6" i="57" l="1"/>
  <c r="L12" i="17" l="1"/>
  <c r="L11" i="17"/>
  <c r="L9" i="17"/>
  <c r="L8" i="17"/>
  <c r="L14" i="17" l="1"/>
  <c r="F16" i="1"/>
  <c r="F15" i="1"/>
  <c r="F18" i="1"/>
  <c r="F19" i="1"/>
  <c r="B6" i="48" l="1"/>
  <c r="A4" i="1" l="1"/>
  <c r="A4" i="62" l="1"/>
  <c r="A4" i="61"/>
  <c r="A4" i="57"/>
  <c r="E11" i="48" l="1"/>
  <c r="E10" i="48"/>
  <c r="G39" i="52" s="1"/>
  <c r="G40" i="52" l="1"/>
  <c r="G25" i="48"/>
  <c r="E53" i="48"/>
  <c r="U184" i="72" s="1" a="1"/>
  <c r="U184" i="72" s="1"/>
  <c r="C53" i="48"/>
  <c r="C25" i="48"/>
  <c r="H25" i="48"/>
  <c r="G53" i="48"/>
  <c r="F25" i="48"/>
  <c r="D53" i="48"/>
  <c r="H53" i="48"/>
  <c r="E25" i="48"/>
  <c r="D25" i="48"/>
  <c r="F53" i="48"/>
  <c r="B25" i="48"/>
  <c r="P19" i="72" s="1" a="1"/>
  <c r="P19" i="72" s="1"/>
  <c r="B53" i="48"/>
  <c r="U19" i="72" s="1" a="1"/>
  <c r="U19" i="72" s="1"/>
  <c r="U118" i="72" l="1" a="1"/>
  <c r="U118" i="72" s="1"/>
  <c r="P52" i="72" a="1"/>
  <c r="P52" i="72" s="1"/>
  <c r="P184" i="72" a="1"/>
  <c r="P184" i="72" s="1"/>
  <c r="U151" i="72" a="1"/>
  <c r="U151" i="72" s="1"/>
  <c r="P118" i="72" a="1"/>
  <c r="P118" i="72" s="1"/>
  <c r="P151" i="72" a="1"/>
  <c r="P151" i="72" s="1"/>
  <c r="P85" i="72" a="1"/>
  <c r="P85" i="72" s="1"/>
  <c r="U217" i="72" a="1"/>
  <c r="U217" i="72" s="1"/>
  <c r="U85" i="72" a="1"/>
  <c r="U85" i="72" s="1"/>
  <c r="P217" i="72" a="1"/>
  <c r="P217" i="72" s="1"/>
  <c r="U52" i="72" a="1"/>
  <c r="U52" i="72" s="1"/>
  <c r="C54" i="48"/>
  <c r="E54" i="48"/>
  <c r="D54" i="48"/>
  <c r="G26" i="48"/>
  <c r="F54" i="48"/>
  <c r="D26" i="48"/>
  <c r="H54" i="48"/>
  <c r="F26" i="48"/>
  <c r="G54" i="48"/>
  <c r="B54" i="48"/>
  <c r="U20" i="72" s="1" a="1"/>
  <c r="U20" i="72" s="1"/>
  <c r="E26" i="48"/>
  <c r="H26" i="48"/>
  <c r="B26" i="48"/>
  <c r="P20" i="72" s="1" a="1"/>
  <c r="P20" i="72" s="1"/>
  <c r="C26" i="48"/>
  <c r="U185" i="72" l="1" a="1"/>
  <c r="U185" i="72" s="1"/>
  <c r="P152" i="72" a="1"/>
  <c r="P152" i="72" s="1"/>
  <c r="U119" i="72" a="1"/>
  <c r="U119" i="72" s="1"/>
  <c r="U53" i="72" a="1"/>
  <c r="U53" i="72" s="1"/>
  <c r="P185" i="72" a="1"/>
  <c r="P185" i="72" s="1"/>
  <c r="P119" i="72" a="1"/>
  <c r="P119" i="72" s="1"/>
  <c r="P86" i="72" a="1"/>
  <c r="P86" i="72" s="1"/>
  <c r="U152" i="72" a="1"/>
  <c r="U152" i="72" s="1"/>
  <c r="U218" i="72" a="1"/>
  <c r="U218" i="72" s="1"/>
  <c r="P218" i="72" a="1"/>
  <c r="P218" i="72" s="1"/>
  <c r="U86" i="72" a="1"/>
  <c r="U86" i="72" s="1"/>
  <c r="P53" i="72" a="1"/>
  <c r="P53" i="72" s="1"/>
  <c r="G27" i="48"/>
  <c r="H27" i="48"/>
  <c r="F55" i="48"/>
  <c r="D55" i="48"/>
  <c r="F27" i="48"/>
  <c r="E27" i="48"/>
  <c r="H55" i="48"/>
  <c r="B55" i="48"/>
  <c r="U21" i="72" s="1" a="1"/>
  <c r="U21" i="72" s="1"/>
  <c r="G55" i="48"/>
  <c r="D27" i="48"/>
  <c r="E55" i="48"/>
  <c r="B27" i="48"/>
  <c r="P21" i="72" s="1" a="1"/>
  <c r="P21" i="72" s="1"/>
  <c r="C27" i="48"/>
  <c r="C55" i="48"/>
  <c r="U219" i="72" l="1" a="1"/>
  <c r="U219" i="72" s="1"/>
  <c r="U186" i="72" a="1"/>
  <c r="U186" i="72" s="1"/>
  <c r="P120" i="72" a="1"/>
  <c r="P120" i="72" s="1"/>
  <c r="U120" i="72" a="1"/>
  <c r="U120" i="72" s="1"/>
  <c r="U87" i="72" a="1"/>
  <c r="U87" i="72" s="1"/>
  <c r="P87" i="72" a="1"/>
  <c r="P87" i="72" s="1"/>
  <c r="P186" i="72" a="1"/>
  <c r="P186" i="72" s="1"/>
  <c r="P219" i="72" a="1"/>
  <c r="P219" i="72" s="1"/>
  <c r="P153" i="72" a="1"/>
  <c r="P153" i="72" s="1"/>
  <c r="U153" i="72" a="1"/>
  <c r="U153" i="72" s="1"/>
  <c r="P54" i="72" a="1"/>
  <c r="P54" i="72" s="1"/>
  <c r="U54" i="72" a="1"/>
  <c r="U54" i="72" s="1"/>
  <c r="C28" i="48"/>
  <c r="F28" i="48"/>
  <c r="D56" i="48"/>
  <c r="D28" i="48"/>
  <c r="H28" i="48"/>
  <c r="G56" i="48"/>
  <c r="B56" i="48"/>
  <c r="U22" i="72" s="1" a="1"/>
  <c r="U22" i="72" s="1"/>
  <c r="H56" i="48"/>
  <c r="F56" i="48"/>
  <c r="B28" i="48"/>
  <c r="P22" i="72" s="1" a="1"/>
  <c r="P22" i="72" s="1"/>
  <c r="C56" i="48"/>
  <c r="E56" i="48"/>
  <c r="G28" i="48"/>
  <c r="E28" i="48"/>
  <c r="U121" i="72" l="1" a="1"/>
  <c r="U121" i="72" s="1"/>
  <c r="P121" i="72" a="1"/>
  <c r="P121" i="72" s="1"/>
  <c r="U187" i="72" a="1"/>
  <c r="U187" i="72" s="1"/>
  <c r="P187" i="72" a="1"/>
  <c r="P187" i="72" s="1"/>
  <c r="U220" i="72" a="1"/>
  <c r="U220" i="72" s="1"/>
  <c r="P88" i="72" a="1"/>
  <c r="P88" i="72" s="1"/>
  <c r="P154" i="72" a="1"/>
  <c r="P154" i="72" s="1"/>
  <c r="U88" i="72" a="1"/>
  <c r="U88" i="72" s="1"/>
  <c r="P220" i="72" a="1"/>
  <c r="P220" i="72" s="1"/>
  <c r="U154" i="72" a="1"/>
  <c r="U154" i="72" s="1"/>
  <c r="P55" i="72" a="1"/>
  <c r="P55" i="72" s="1"/>
  <c r="U55" i="72" a="1"/>
  <c r="U55" i="72" s="1"/>
  <c r="B57" i="48"/>
  <c r="U23" i="72" s="1" a="1"/>
  <c r="U23" i="72" s="1"/>
  <c r="C29" i="48"/>
  <c r="H29" i="48"/>
  <c r="D57" i="48"/>
  <c r="E57" i="48"/>
  <c r="C57" i="48"/>
  <c r="B29" i="48"/>
  <c r="P23" i="72" s="1" a="1"/>
  <c r="P23" i="72" s="1"/>
  <c r="G57" i="48"/>
  <c r="F57" i="48"/>
  <c r="D29" i="48"/>
  <c r="F29" i="48"/>
  <c r="G29" i="48"/>
  <c r="E29" i="48"/>
  <c r="H57" i="48"/>
  <c r="A13" i="1"/>
  <c r="B13" i="1"/>
  <c r="A2" i="4"/>
  <c r="E34" i="4"/>
  <c r="E33" i="4"/>
  <c r="E32" i="4"/>
  <c r="E31" i="4"/>
  <c r="E30" i="4"/>
  <c r="E29" i="4"/>
  <c r="E28" i="4"/>
  <c r="E27" i="4"/>
  <c r="E26" i="4"/>
  <c r="E25" i="4"/>
  <c r="E24" i="4"/>
  <c r="E23" i="4"/>
  <c r="E22" i="4"/>
  <c r="E21" i="4"/>
  <c r="E20" i="4"/>
  <c r="E19" i="4"/>
  <c r="E18" i="4"/>
  <c r="E17" i="4"/>
  <c r="E16" i="4"/>
  <c r="E15" i="4"/>
  <c r="E14" i="4"/>
  <c r="A4" i="4"/>
  <c r="A1" i="4"/>
  <c r="U122" i="72" l="1" a="1"/>
  <c r="U122" i="72" s="1"/>
  <c r="P122" i="72" a="1"/>
  <c r="P122" i="72" s="1"/>
  <c r="B17" i="1"/>
  <c r="B20" i="1"/>
  <c r="B16" i="1"/>
  <c r="B19" i="1"/>
  <c r="B15" i="1"/>
  <c r="B18" i="1"/>
  <c r="B14" i="1"/>
  <c r="U221" i="72" a="1"/>
  <c r="U221" i="72" s="1"/>
  <c r="P56" i="72" a="1"/>
  <c r="P56" i="72" s="1"/>
  <c r="P188" i="72" a="1"/>
  <c r="P188" i="72" s="1"/>
  <c r="U188" i="72" a="1"/>
  <c r="U188" i="72" s="1"/>
  <c r="P155" i="72" a="1"/>
  <c r="P155" i="72" s="1"/>
  <c r="P221" i="72" a="1"/>
  <c r="P221" i="72" s="1"/>
  <c r="U89" i="72" a="1"/>
  <c r="U89" i="72" s="1"/>
  <c r="P89" i="72" a="1"/>
  <c r="P89" i="72" s="1"/>
  <c r="U155" i="72" a="1"/>
  <c r="U155" i="72" s="1"/>
  <c r="U56" i="72" a="1"/>
  <c r="U56" i="72" s="1"/>
  <c r="D58" i="48"/>
  <c r="H30" i="48"/>
  <c r="E30" i="48"/>
  <c r="B30" i="48"/>
  <c r="P24" i="72" s="1" a="1"/>
  <c r="P24" i="72" s="1"/>
  <c r="G58" i="48"/>
  <c r="C58" i="48"/>
  <c r="G30" i="48"/>
  <c r="C30" i="48"/>
  <c r="E58" i="48"/>
  <c r="B58" i="48"/>
  <c r="U24" i="72" s="1" a="1"/>
  <c r="U24" i="72" s="1"/>
  <c r="F30" i="48"/>
  <c r="D30" i="48"/>
  <c r="F58" i="48"/>
  <c r="H58" i="48"/>
  <c r="U57" i="72" l="1" a="1"/>
  <c r="U57" i="72" s="1"/>
  <c r="U222" i="72" a="1"/>
  <c r="U222" i="72" s="1"/>
  <c r="U90" i="72" a="1"/>
  <c r="U90" i="72" s="1"/>
  <c r="P123" i="72" a="1"/>
  <c r="P123" i="72" s="1"/>
  <c r="U123" i="72" a="1"/>
  <c r="U123" i="72" s="1"/>
  <c r="P90" i="72" a="1"/>
  <c r="P90" i="72" s="1"/>
  <c r="P189" i="72" a="1"/>
  <c r="P189" i="72" s="1"/>
  <c r="U189" i="72" a="1"/>
  <c r="U189" i="72" s="1"/>
  <c r="P156" i="72" a="1"/>
  <c r="P156" i="72" s="1"/>
  <c r="P222" i="72" a="1"/>
  <c r="P222" i="72" s="1"/>
  <c r="U156" i="72" a="1"/>
  <c r="U156" i="72" s="1"/>
  <c r="P57" i="72" a="1"/>
  <c r="P57" i="72" s="1"/>
  <c r="H31" i="48"/>
  <c r="E59" i="48"/>
  <c r="G31" i="48"/>
  <c r="C59" i="48"/>
  <c r="D59" i="48"/>
  <c r="C31" i="48"/>
  <c r="B59" i="48"/>
  <c r="U25" i="72" s="1" a="1"/>
  <c r="U25" i="72" s="1"/>
  <c r="D31" i="48"/>
  <c r="B31" i="48"/>
  <c r="P25" i="72" s="1" a="1"/>
  <c r="P25" i="72" s="1"/>
  <c r="H59" i="48"/>
  <c r="G59" i="48"/>
  <c r="F59" i="48"/>
  <c r="E31" i="48"/>
  <c r="F31" i="48"/>
  <c r="U58" i="72" l="1" a="1"/>
  <c r="U58" i="72" s="1"/>
  <c r="U223" i="72" a="1"/>
  <c r="U223" i="72" s="1"/>
  <c r="P190" i="72" a="1"/>
  <c r="P190" i="72" s="1"/>
  <c r="U124" i="72" a="1"/>
  <c r="U124" i="72" s="1"/>
  <c r="P124" i="72" a="1"/>
  <c r="P124" i="72" s="1"/>
  <c r="P157" i="72" a="1"/>
  <c r="P157" i="72" s="1"/>
  <c r="U190" i="72" a="1"/>
  <c r="U190" i="72" s="1"/>
  <c r="U91" i="72" a="1"/>
  <c r="U91" i="72" s="1"/>
  <c r="U157" i="72" a="1"/>
  <c r="U157" i="72" s="1"/>
  <c r="P91" i="72" a="1"/>
  <c r="P91" i="72" s="1"/>
  <c r="P223" i="72" a="1"/>
  <c r="P223" i="72" s="1"/>
  <c r="P58" i="72" a="1"/>
  <c r="P58" i="72" s="1"/>
  <c r="H60" i="48"/>
  <c r="G60" i="48"/>
  <c r="C60" i="48"/>
  <c r="E32" i="48"/>
  <c r="D32" i="48"/>
  <c r="G32" i="48"/>
  <c r="B32" i="48"/>
  <c r="P26" i="72" s="1" a="1"/>
  <c r="P26" i="72" s="1"/>
  <c r="E60" i="48"/>
  <c r="B60" i="48"/>
  <c r="U26" i="72" s="1" a="1"/>
  <c r="U26" i="72" s="1"/>
  <c r="C32" i="48"/>
  <c r="H32" i="48"/>
  <c r="F32" i="48"/>
  <c r="F60" i="48"/>
  <c r="D60" i="48"/>
  <c r="U191" i="72" l="1" a="1"/>
  <c r="U191" i="72" s="1"/>
  <c r="U125" i="72" a="1"/>
  <c r="U125" i="72" s="1"/>
  <c r="U158" i="72" a="1"/>
  <c r="U158" i="72" s="1"/>
  <c r="P125" i="72" a="1"/>
  <c r="P125" i="72" s="1"/>
  <c r="P158" i="72" a="1"/>
  <c r="P158" i="72" s="1"/>
  <c r="P191" i="72" a="1"/>
  <c r="P191" i="72" s="1"/>
  <c r="U224" i="72" a="1"/>
  <c r="U224" i="72" s="1"/>
  <c r="U92" i="72" a="1"/>
  <c r="U92" i="72" s="1"/>
  <c r="P92" i="72" a="1"/>
  <c r="P92" i="72" s="1"/>
  <c r="P59" i="72" a="1"/>
  <c r="P59" i="72" s="1"/>
  <c r="P224" i="72" a="1"/>
  <c r="P224" i="72" s="1"/>
  <c r="U59" i="72" a="1"/>
  <c r="U59" i="72" s="1"/>
  <c r="G61" i="48"/>
  <c r="E61" i="48"/>
  <c r="B33" i="48"/>
  <c r="P27" i="72" s="1" a="1"/>
  <c r="P27" i="72" s="1"/>
  <c r="D61" i="48"/>
  <c r="C33" i="48"/>
  <c r="E33" i="48"/>
  <c r="F33" i="48"/>
  <c r="H33" i="48"/>
  <c r="D33" i="48"/>
  <c r="B61" i="48"/>
  <c r="U27" i="72" s="1" a="1"/>
  <c r="U27" i="72" s="1"/>
  <c r="G33" i="48"/>
  <c r="C61" i="48"/>
  <c r="F61" i="48"/>
  <c r="H61" i="48"/>
  <c r="P192" i="72" l="1" a="1"/>
  <c r="P192" i="72" s="1"/>
  <c r="U93" i="72" a="1"/>
  <c r="U93" i="72" s="1"/>
  <c r="U192" i="72" a="1"/>
  <c r="U192" i="72" s="1"/>
  <c r="U126" i="72" a="1"/>
  <c r="U126" i="72" s="1"/>
  <c r="P126" i="72" a="1"/>
  <c r="P126" i="72" s="1"/>
  <c r="U225" i="72" a="1"/>
  <c r="U225" i="72" s="1"/>
  <c r="P225" i="72" a="1"/>
  <c r="P225" i="72" s="1"/>
  <c r="P93" i="72" a="1"/>
  <c r="P93" i="72" s="1"/>
  <c r="U159" i="72" a="1"/>
  <c r="U159" i="72" s="1"/>
  <c r="P159" i="72" a="1"/>
  <c r="P159" i="72" s="1"/>
  <c r="U60" i="72" a="1"/>
  <c r="U60" i="72" s="1"/>
  <c r="P60" i="72" a="1"/>
  <c r="P60" i="72" s="1"/>
  <c r="F34" i="48"/>
  <c r="H34" i="48"/>
  <c r="B34" i="48"/>
  <c r="P28" i="72" s="1" a="1"/>
  <c r="P28" i="72" s="1"/>
  <c r="E62" i="48"/>
  <c r="H62" i="48"/>
  <c r="B62" i="48"/>
  <c r="U28" i="72" s="1" a="1"/>
  <c r="U28" i="72" s="1"/>
  <c r="C62" i="48"/>
  <c r="D62" i="48"/>
  <c r="F62" i="48"/>
  <c r="G62" i="48"/>
  <c r="D34" i="48"/>
  <c r="E34" i="48"/>
  <c r="C34" i="48"/>
  <c r="G34" i="48"/>
  <c r="U226" i="72" l="1" a="1"/>
  <c r="U226" i="72" s="1"/>
  <c r="P61" i="72" a="1"/>
  <c r="P61" i="72" s="1"/>
  <c r="U127" i="72" a="1"/>
  <c r="U127" i="72" s="1"/>
  <c r="P226" i="72" a="1"/>
  <c r="P226" i="72" s="1"/>
  <c r="U193" i="72" a="1"/>
  <c r="U193" i="72" s="1"/>
  <c r="P127" i="72" a="1"/>
  <c r="P127" i="72" s="1"/>
  <c r="P193" i="72" a="1"/>
  <c r="P193" i="72" s="1"/>
  <c r="P160" i="72" a="1"/>
  <c r="P160" i="72" s="1"/>
  <c r="U61" i="72" a="1"/>
  <c r="U61" i="72" s="1"/>
  <c r="U94" i="72" a="1"/>
  <c r="U94" i="72" s="1"/>
  <c r="P94" i="72" a="1"/>
  <c r="P94" i="72" s="1"/>
  <c r="U160" i="72" a="1"/>
  <c r="U160" i="72" s="1"/>
  <c r="F35" i="48"/>
  <c r="H63" i="48"/>
  <c r="B35" i="48"/>
  <c r="P29" i="72" s="1" a="1"/>
  <c r="P29" i="72" s="1"/>
  <c r="E35" i="48"/>
  <c r="C63" i="48"/>
  <c r="D63" i="48"/>
  <c r="E63" i="48"/>
  <c r="B63" i="48"/>
  <c r="U29" i="72" s="1" a="1"/>
  <c r="U29" i="72" s="1"/>
  <c r="F63" i="48"/>
  <c r="C35" i="48"/>
  <c r="H35" i="48"/>
  <c r="G35" i="48"/>
  <c r="G63" i="48"/>
  <c r="D35" i="48"/>
  <c r="P161" i="72" l="1" a="1"/>
  <c r="P161" i="72" s="1"/>
  <c r="U128" i="72" a="1"/>
  <c r="U128" i="72" s="1"/>
  <c r="U227" i="72" a="1"/>
  <c r="U227" i="72" s="1"/>
  <c r="U194" i="72" a="1"/>
  <c r="U194" i="72" s="1"/>
  <c r="P227" i="72" a="1"/>
  <c r="P227" i="72" s="1"/>
  <c r="P128" i="72" a="1"/>
  <c r="P128" i="72" s="1"/>
  <c r="P194" i="72" a="1"/>
  <c r="P194" i="72" s="1"/>
  <c r="P62" i="72" a="1"/>
  <c r="P62" i="72" s="1"/>
  <c r="U62" i="72" a="1"/>
  <c r="U62" i="72" s="1"/>
  <c r="U95" i="72" a="1"/>
  <c r="U95" i="72" s="1"/>
  <c r="P95" i="72" a="1"/>
  <c r="P95" i="72" s="1"/>
  <c r="U161" i="72" a="1"/>
  <c r="U161" i="72" s="1"/>
  <c r="B64" i="48"/>
  <c r="U30" i="72" s="1" a="1"/>
  <c r="U30" i="72" s="1"/>
  <c r="B36" i="48"/>
  <c r="P30" i="72" s="1" a="1"/>
  <c r="P30" i="72" s="1"/>
  <c r="C36" i="48"/>
  <c r="H36" i="48"/>
  <c r="F36" i="48"/>
  <c r="E64" i="48"/>
  <c r="D36" i="48"/>
  <c r="F64" i="48"/>
  <c r="C64" i="48"/>
  <c r="E36" i="48"/>
  <c r="G64" i="48"/>
  <c r="G36" i="48"/>
  <c r="D64" i="48"/>
  <c r="H64" i="48"/>
  <c r="U129" i="72" l="1" a="1"/>
  <c r="U129" i="72" s="1"/>
  <c r="P228" i="72" a="1"/>
  <c r="P228" i="72" s="1"/>
  <c r="P129" i="72" a="1"/>
  <c r="P129" i="72" s="1"/>
  <c r="U195" i="72" a="1"/>
  <c r="U195" i="72" s="1"/>
  <c r="U228" i="72" a="1"/>
  <c r="U228" i="72" s="1"/>
  <c r="P63" i="72" a="1"/>
  <c r="P63" i="72" s="1"/>
  <c r="U96" i="72" a="1"/>
  <c r="U96" i="72" s="1"/>
  <c r="P195" i="72" a="1"/>
  <c r="P195" i="72" s="1"/>
  <c r="P96" i="72" a="1"/>
  <c r="P96" i="72" s="1"/>
  <c r="U162" i="72" a="1"/>
  <c r="U162" i="72" s="1"/>
  <c r="P162" i="72" a="1"/>
  <c r="P162" i="72" s="1"/>
  <c r="U63" i="72" a="1"/>
  <c r="U63" i="72" s="1"/>
  <c r="G65" i="48"/>
  <c r="B65" i="48"/>
  <c r="U31" i="72" s="1" a="1"/>
  <c r="U31" i="72" s="1"/>
  <c r="E37" i="48"/>
  <c r="B37" i="48"/>
  <c r="P31" i="72" s="1" a="1"/>
  <c r="P31" i="72" s="1"/>
  <c r="F65" i="48"/>
  <c r="D37" i="48"/>
  <c r="C65" i="48"/>
  <c r="E65" i="48"/>
  <c r="H65" i="48"/>
  <c r="G37" i="48"/>
  <c r="F37" i="48"/>
  <c r="D65" i="48"/>
  <c r="C37" i="48"/>
  <c r="H37" i="48"/>
  <c r="U196" i="72" l="1" a="1"/>
  <c r="U196" i="72" s="1"/>
  <c r="U130" i="72" a="1"/>
  <c r="U130" i="72" s="1"/>
  <c r="P130" i="72" a="1"/>
  <c r="P130" i="72" s="1"/>
  <c r="P229" i="72" a="1"/>
  <c r="P229" i="72" s="1"/>
  <c r="P196" i="72" a="1"/>
  <c r="P196" i="72" s="1"/>
  <c r="P163" i="72" a="1"/>
  <c r="P163" i="72" s="1"/>
  <c r="U97" i="72" a="1"/>
  <c r="U97" i="72" s="1"/>
  <c r="P97" i="72" a="1"/>
  <c r="P97" i="72" s="1"/>
  <c r="U229" i="72" a="1"/>
  <c r="U229" i="72" s="1"/>
  <c r="U163" i="72" a="1"/>
  <c r="U163" i="72" s="1"/>
  <c r="P64" i="72" a="1"/>
  <c r="P64" i="72" s="1"/>
  <c r="U64" i="72" a="1"/>
  <c r="U64" i="72" s="1"/>
  <c r="F66" i="48"/>
  <c r="B66" i="48"/>
  <c r="U32" i="72" s="1" a="1"/>
  <c r="U32" i="72" s="1"/>
  <c r="H38" i="48"/>
  <c r="P230" i="72" s="1" a="1"/>
  <c r="P230" i="72" s="1"/>
  <c r="D66" i="48"/>
  <c r="E66" i="48"/>
  <c r="D38" i="48"/>
  <c r="G38" i="48"/>
  <c r="C66" i="48"/>
  <c r="G66" i="48"/>
  <c r="F38" i="48"/>
  <c r="H66" i="48"/>
  <c r="E38" i="48"/>
  <c r="C38" i="48"/>
  <c r="B38" i="48"/>
  <c r="P32" i="72" s="1" a="1"/>
  <c r="P32" i="72" s="1"/>
  <c r="P197" i="72" l="1" a="1"/>
  <c r="P197" i="72" s="1"/>
  <c r="P131" i="72" a="1"/>
  <c r="P131" i="72" s="1"/>
  <c r="U131" i="72" a="1"/>
  <c r="U131" i="72" s="1"/>
  <c r="P164" i="72" a="1"/>
  <c r="P164" i="72" s="1"/>
  <c r="U98" i="72" a="1"/>
  <c r="U98" i="72" s="1"/>
  <c r="U197" i="72" a="1"/>
  <c r="U197" i="72" s="1"/>
  <c r="U230" i="72" a="1"/>
  <c r="U230" i="72" s="1"/>
  <c r="U164" i="72" a="1"/>
  <c r="U164" i="72" s="1"/>
  <c r="P98" i="72" a="1"/>
  <c r="P98" i="72" s="1"/>
  <c r="U65" i="72" a="1"/>
  <c r="U65" i="72" s="1"/>
  <c r="P65" i="72" a="1"/>
  <c r="P65" i="72" s="1"/>
  <c r="C39" i="48"/>
  <c r="C67" i="48"/>
  <c r="G39" i="48"/>
  <c r="H67" i="48"/>
  <c r="E39" i="48"/>
  <c r="E67" i="48"/>
  <c r="F39" i="48"/>
  <c r="B39" i="48"/>
  <c r="P33" i="72" s="1" a="1"/>
  <c r="P33" i="72" s="1"/>
  <c r="G67" i="48"/>
  <c r="D67" i="48"/>
  <c r="B67" i="48"/>
  <c r="U33" i="72" s="1" a="1"/>
  <c r="U33" i="72" s="1"/>
  <c r="H39" i="48"/>
  <c r="D39" i="48"/>
  <c r="F67" i="48"/>
  <c r="P66" i="72" l="1" a="1"/>
  <c r="P66" i="72" s="1"/>
  <c r="P99" i="72" a="1"/>
  <c r="P99" i="72" s="1"/>
  <c r="U132" i="72" a="1"/>
  <c r="U132" i="72" s="1"/>
  <c r="P198" i="72" a="1"/>
  <c r="P198" i="72" s="1"/>
  <c r="P132" i="72" a="1"/>
  <c r="P132" i="72" s="1"/>
  <c r="P231" i="72" a="1"/>
  <c r="P231" i="72" s="1"/>
  <c r="U66" i="72" a="1"/>
  <c r="U66" i="72" s="1"/>
  <c r="U198" i="72" a="1"/>
  <c r="U198" i="72" s="1"/>
  <c r="P165" i="72" a="1"/>
  <c r="P165" i="72" s="1"/>
  <c r="U231" i="72" a="1"/>
  <c r="U231" i="72" s="1"/>
  <c r="U99" i="72" a="1"/>
  <c r="U99" i="72" s="1"/>
  <c r="U165" i="72" a="1"/>
  <c r="U165" i="72" s="1"/>
  <c r="G40" i="48"/>
  <c r="B68" i="48"/>
  <c r="U34" i="72" s="1" a="1"/>
  <c r="U34" i="72" s="1"/>
  <c r="C40" i="48"/>
  <c r="H40" i="48"/>
  <c r="F40" i="48"/>
  <c r="E68" i="48"/>
  <c r="F68" i="48"/>
  <c r="G68" i="48"/>
  <c r="B40" i="48"/>
  <c r="P34" i="72" s="1" a="1"/>
  <c r="P34" i="72" s="1"/>
  <c r="E40" i="48"/>
  <c r="C68" i="48"/>
  <c r="H68" i="48"/>
  <c r="D68" i="48"/>
  <c r="D40" i="48"/>
  <c r="P133" i="72" l="1" a="1"/>
  <c r="P133" i="72" s="1"/>
  <c r="U67" i="72" a="1"/>
  <c r="U67" i="72" s="1"/>
  <c r="P166" i="72" a="1"/>
  <c r="P166" i="72" s="1"/>
  <c r="U133" i="72" a="1"/>
  <c r="U133" i="72" s="1"/>
  <c r="P199" i="72" a="1"/>
  <c r="P199" i="72" s="1"/>
  <c r="P67" i="72" a="1"/>
  <c r="P67" i="72" s="1"/>
  <c r="U232" i="72" a="1"/>
  <c r="U232" i="72" s="1"/>
  <c r="P232" i="72" a="1"/>
  <c r="P232" i="72" s="1"/>
  <c r="U199" i="72" a="1"/>
  <c r="U199" i="72" s="1"/>
  <c r="U166" i="72" a="1"/>
  <c r="U166" i="72" s="1"/>
  <c r="U100" i="72" a="1"/>
  <c r="U100" i="72" s="1"/>
  <c r="P100" i="72" a="1"/>
  <c r="P100" i="72" s="1"/>
  <c r="H41" i="48"/>
  <c r="C69" i="48"/>
  <c r="G41" i="48"/>
  <c r="H69" i="48"/>
  <c r="E41" i="48"/>
  <c r="C41" i="48"/>
  <c r="B41" i="48"/>
  <c r="P35" i="72" s="1" a="1"/>
  <c r="P35" i="72" s="1"/>
  <c r="F69" i="48"/>
  <c r="F41" i="48"/>
  <c r="D69" i="48"/>
  <c r="G69" i="48"/>
  <c r="B69" i="48"/>
  <c r="U35" i="72" s="1" a="1"/>
  <c r="U35" i="72" s="1"/>
  <c r="E69" i="48"/>
  <c r="D41" i="48"/>
  <c r="U233" i="72" l="1" a="1"/>
  <c r="U233" i="72" s="1"/>
  <c r="U200" i="72" a="1"/>
  <c r="U200" i="72" s="1"/>
  <c r="U134" i="72" a="1"/>
  <c r="U134" i="72" s="1"/>
  <c r="P134" i="72" a="1"/>
  <c r="P134" i="72" s="1"/>
  <c r="U68" i="72" a="1"/>
  <c r="U68" i="72" s="1"/>
  <c r="P200" i="72" a="1"/>
  <c r="P200" i="72" s="1"/>
  <c r="U167" i="72" a="1"/>
  <c r="U167" i="72" s="1"/>
  <c r="P167" i="72" a="1"/>
  <c r="P167" i="72" s="1"/>
  <c r="U101" i="72" a="1"/>
  <c r="U101" i="72" s="1"/>
  <c r="P233" i="72" a="1"/>
  <c r="P233" i="72" s="1"/>
  <c r="P101" i="72" a="1"/>
  <c r="P101" i="72" s="1"/>
  <c r="P68" i="72" a="1"/>
  <c r="P68" i="72" s="1"/>
  <c r="H42" i="48"/>
  <c r="E42" i="48"/>
  <c r="G42" i="48"/>
  <c r="F70" i="48"/>
  <c r="B70" i="48"/>
  <c r="U36" i="72" s="1" a="1"/>
  <c r="U36" i="72" s="1"/>
  <c r="D42" i="48"/>
  <c r="H70" i="48"/>
  <c r="G70" i="48"/>
  <c r="F42" i="48"/>
  <c r="C42" i="48"/>
  <c r="B42" i="48"/>
  <c r="P36" i="72" s="1" a="1"/>
  <c r="P36" i="72" s="1"/>
  <c r="D70" i="48"/>
  <c r="E70" i="48"/>
  <c r="C70" i="48"/>
  <c r="U135" i="72" l="1" a="1"/>
  <c r="U135" i="72" s="1"/>
  <c r="P69" i="72" a="1"/>
  <c r="P69" i="72" s="1"/>
  <c r="P135" i="72" a="1"/>
  <c r="P135" i="72" s="1"/>
  <c r="U102" i="72" a="1"/>
  <c r="U102" i="72" s="1"/>
  <c r="P201" i="72" a="1"/>
  <c r="P201" i="72" s="1"/>
  <c r="U69" i="72" a="1"/>
  <c r="U69" i="72" s="1"/>
  <c r="P234" i="72" a="1"/>
  <c r="P234" i="72" s="1"/>
  <c r="U234" i="72" a="1"/>
  <c r="U234" i="72" s="1"/>
  <c r="P102" i="72" a="1"/>
  <c r="P102" i="72" s="1"/>
  <c r="U201" i="72" a="1"/>
  <c r="U201" i="72" s="1"/>
  <c r="U168" i="72" a="1"/>
  <c r="U168" i="72" s="1"/>
  <c r="P168" i="72" a="1"/>
  <c r="P168" i="72" s="1"/>
  <c r="G43" i="48"/>
  <c r="C43" i="48"/>
  <c r="C71" i="48"/>
  <c r="E43" i="48"/>
  <c r="H43" i="48"/>
  <c r="D43" i="48"/>
  <c r="B71" i="48"/>
  <c r="U37" i="72" s="1" a="1"/>
  <c r="U37" i="72" s="1"/>
  <c r="E71" i="48"/>
  <c r="B43" i="48"/>
  <c r="P37" i="72" s="1" a="1"/>
  <c r="P37" i="72" s="1"/>
  <c r="F43" i="48"/>
  <c r="F71" i="48"/>
  <c r="D71" i="48"/>
  <c r="G71" i="48"/>
  <c r="H71" i="48"/>
  <c r="P136" i="72" l="1" a="1"/>
  <c r="P136" i="72" s="1"/>
  <c r="U169" i="72" a="1"/>
  <c r="U169" i="72" s="1"/>
  <c r="P70" i="72" a="1"/>
  <c r="P70" i="72" s="1"/>
  <c r="U136" i="72" a="1"/>
  <c r="U136" i="72" s="1"/>
  <c r="P202" i="72" a="1"/>
  <c r="P202" i="72" s="1"/>
  <c r="P103" i="72" a="1"/>
  <c r="P103" i="72" s="1"/>
  <c r="U202" i="72" a="1"/>
  <c r="U202" i="72" s="1"/>
  <c r="U235" i="72" a="1"/>
  <c r="U235" i="72" s="1"/>
  <c r="U103" i="72" a="1"/>
  <c r="U103" i="72" s="1"/>
  <c r="P169" i="72" a="1"/>
  <c r="P169" i="72" s="1"/>
  <c r="P235" i="72" a="1"/>
  <c r="P235" i="72" s="1"/>
  <c r="U70" i="72" a="1"/>
  <c r="U70" i="72" s="1"/>
  <c r="U32" i="61" l="1"/>
  <c r="X32" i="61" s="1"/>
  <c r="T32" i="62"/>
  <c r="W32" i="62" s="1"/>
  <c r="U32" i="57"/>
  <c r="X32" i="57" s="1"/>
  <c r="U33" i="61" l="1"/>
  <c r="X33" i="61" s="1"/>
  <c r="U33" i="57"/>
  <c r="X33" i="57" s="1"/>
  <c r="T33" i="62"/>
  <c r="W33" i="62" s="1"/>
  <c r="T34" i="62" l="1"/>
  <c r="W34" i="62" s="1"/>
  <c r="U34" i="61" l="1"/>
  <c r="X34" i="61" s="1"/>
  <c r="U34" i="57"/>
  <c r="X34" i="57" s="1"/>
  <c r="U35" i="61" l="1"/>
  <c r="X35" i="61" s="1"/>
  <c r="T35" i="62" l="1"/>
  <c r="W35" i="62" s="1"/>
  <c r="U35" i="57"/>
  <c r="X35" i="57" s="1"/>
  <c r="T36" i="62" l="1"/>
  <c r="W36" i="62" s="1"/>
  <c r="U36" i="61"/>
  <c r="X36" i="61" s="1"/>
  <c r="U36" i="57"/>
  <c r="X36" i="57" s="1"/>
  <c r="U37" i="61" l="1"/>
  <c r="X37" i="61" s="1"/>
  <c r="U37" i="57"/>
  <c r="X37" i="57" s="1"/>
  <c r="T37" i="62"/>
  <c r="W37" i="62" s="1"/>
  <c r="N14" i="1" l="1"/>
  <c r="H15" i="52" s="1"/>
  <c r="J14" i="1"/>
  <c r="H28" i="52" s="1"/>
  <c r="J15" i="1" l="1"/>
  <c r="H29" i="52" s="1"/>
  <c r="N15" i="1"/>
  <c r="H16" i="52" s="1"/>
  <c r="J16" i="1" l="1"/>
  <c r="H30" i="52" s="1"/>
  <c r="N16" i="1"/>
  <c r="H17" i="52" s="1"/>
  <c r="N17" i="1" l="1"/>
  <c r="H18" i="52" s="1"/>
  <c r="J17" i="1"/>
  <c r="H31" i="52" s="1"/>
  <c r="N18" i="1" l="1"/>
  <c r="H19" i="52" s="1"/>
  <c r="J18" i="1"/>
  <c r="H32" i="52" s="1"/>
  <c r="N19" i="1" l="1"/>
  <c r="H20" i="52" s="1"/>
  <c r="J19" i="1"/>
  <c r="H33" i="52" s="1"/>
  <c r="N20" i="1" l="1"/>
  <c r="H21" i="52" s="1"/>
  <c r="J20" i="1"/>
  <c r="H34" i="52" s="1"/>
  <c r="U38" i="57"/>
  <c r="U38" i="61"/>
  <c r="T38" i="62"/>
  <c r="W38" i="62" l="1"/>
  <c r="H35" i="52"/>
  <c r="J21" i="1"/>
  <c r="H22" i="52"/>
  <c r="N21" i="1"/>
  <c r="X38" i="61"/>
  <c r="X38" i="57"/>
  <c r="K22" i="52"/>
  <c r="O22" i="52"/>
  <c r="L22" i="52"/>
  <c r="J22" i="52"/>
  <c r="N22" i="52"/>
  <c r="U22" i="52"/>
  <c r="P22" i="52"/>
  <c r="Q22" i="52"/>
  <c r="R22" i="52"/>
  <c r="T22" i="52"/>
  <c r="J35" i="52"/>
  <c r="O35" i="52"/>
  <c r="K35" i="52"/>
  <c r="L35" i="52"/>
  <c r="N35" i="52"/>
  <c r="T39" i="62"/>
  <c r="X39" i="57" l="1"/>
  <c r="X39" i="61"/>
  <c r="U39" i="57"/>
  <c r="U39" i="61"/>
  <c r="W39" i="62"/>
  <c r="K10" i="48"/>
  <c r="G49" i="52" l="1"/>
  <c r="E44" i="48" l="1"/>
  <c r="C72" i="48"/>
  <c r="F72" i="48"/>
  <c r="E72" i="48"/>
  <c r="H72" i="48"/>
  <c r="F44" i="48"/>
  <c r="G44" i="48"/>
  <c r="D72" i="48"/>
  <c r="H44" i="48"/>
  <c r="D44" i="48"/>
  <c r="C44" i="48"/>
  <c r="G72" i="48"/>
  <c r="B44" i="48" l="1"/>
  <c r="B72" i="4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<sst xmlns="http://schemas.openxmlformats.org/spreadsheetml/2006/main" count="1761" uniqueCount="354">
  <si>
    <t>Attachment C2</t>
  </si>
  <si>
    <t>Proposed Price Form</t>
  </si>
  <si>
    <t>Region:</t>
  </si>
  <si>
    <t>SRO2</t>
  </si>
  <si>
    <t>Proposer:</t>
  </si>
  <si>
    <t>Attachment C2, Site Data</t>
  </si>
  <si>
    <t>Microgrid Proposal</t>
  </si>
  <si>
    <t>PV-Only</t>
  </si>
  <si>
    <t>IA System Sizes (PV+BESS)</t>
  </si>
  <si>
    <t>Site Number</t>
  </si>
  <si>
    <t>Site Name</t>
  </si>
  <si>
    <t>Site ID</t>
  </si>
  <si>
    <t>Service Address</t>
  </si>
  <si>
    <t>Service Provider</t>
  </si>
  <si>
    <t>Service Account ID</t>
  </si>
  <si>
    <t>Meter ID</t>
  </si>
  <si>
    <t>Current Tariff</t>
  </si>
  <si>
    <t>Post-Construction Tariff</t>
  </si>
  <si>
    <t>Tie-in or NEMA</t>
  </si>
  <si>
    <t>Current Annual Electricity Usage (kWh)</t>
  </si>
  <si>
    <t>Year 1 Target PV Production (kWh)</t>
  </si>
  <si>
    <t>Minimum BESS Capacity Reserved for Resiliency (kWh)</t>
  </si>
  <si>
    <t>Rooftop Solar Available</t>
  </si>
  <si>
    <t>Roof Area to be Replaced (if Rooftop array included in design) (sqft)</t>
  </si>
  <si>
    <t>Roof Material</t>
  </si>
  <si>
    <t>Rooftop notes</t>
  </si>
  <si>
    <t>SPPA or SEL</t>
  </si>
  <si>
    <t>SPPA/SEL Term (yrs)</t>
  </si>
  <si>
    <t>IA Status</t>
  </si>
  <si>
    <t>Max PV Size</t>
  </si>
  <si>
    <t>PV kW AC</t>
  </si>
  <si>
    <t>PV kW DC</t>
  </si>
  <si>
    <t>PV kW CEC-AC</t>
  </si>
  <si>
    <t>BESS kWh</t>
  </si>
  <si>
    <t>BESS kW AC</t>
  </si>
  <si>
    <t>Include</t>
  </si>
  <si>
    <t>Imperial County Courthouse</t>
  </si>
  <si>
    <t>13-A1</t>
  </si>
  <si>
    <t>939 W. MAIN ST., EL CENTRO, CA 92243</t>
  </si>
  <si>
    <t>IID</t>
  </si>
  <si>
    <t>IID-5DY3B-200590</t>
  </si>
  <si>
    <t>GL</t>
  </si>
  <si>
    <t>GL / DG</t>
  </si>
  <si>
    <t>Tie-in</t>
  </si>
  <si>
    <t>No</t>
  </si>
  <si>
    <t>N/A</t>
  </si>
  <si>
    <t>SPPA</t>
  </si>
  <si>
    <t>Not Submitted</t>
  </si>
  <si>
    <t>≤90% offset</t>
  </si>
  <si>
    <t>Yes</t>
  </si>
  <si>
    <t>Pomona Courthouse South</t>
  </si>
  <si>
    <t>19-W1</t>
  </si>
  <si>
    <t>400 CIVIC CENTER PLAZA, POMONA, CA 91766</t>
  </si>
  <si>
    <t>SCE</t>
  </si>
  <si>
    <t>V349P-00637</t>
  </si>
  <si>
    <t>TOU-8-D</t>
  </si>
  <si>
    <t>TOU-8-E</t>
  </si>
  <si>
    <t>Deemed Complete</t>
  </si>
  <si>
    <t>&lt;1 MW AC and ≤90% offset</t>
  </si>
  <si>
    <t>Banning Justice Center</t>
  </si>
  <si>
    <t>33-G4</t>
  </si>
  <si>
    <t>311 EAST RAMSEY, BANNING, CA 92220</t>
  </si>
  <si>
    <t>City of Banning</t>
  </si>
  <si>
    <t>85791-55378</t>
  </si>
  <si>
    <t>35452E</t>
  </si>
  <si>
    <t>Commercial</t>
  </si>
  <si>
    <t>SEL</t>
  </si>
  <si>
    <t>San Bernardino Justice Center</t>
  </si>
  <si>
    <t>36-R1</t>
  </si>
  <si>
    <t>247 WEST THIRD STREET, SAN BERNARDINO, CA 92415</t>
  </si>
  <si>
    <t>V349N-018597</t>
  </si>
  <si>
    <t>TOU-8-D CPP</t>
  </si>
  <si>
    <t>TOU-8-E CPP</t>
  </si>
  <si>
    <t>Kearny Mesa Court</t>
  </si>
  <si>
    <t>37-C1</t>
  </si>
  <si>
    <t>8950 CLAIREMONT MESA BLVD., SAN DIEGO, CA 92123</t>
  </si>
  <si>
    <t>SDG&amp;E / SDCP</t>
  </si>
  <si>
    <t>0030646900830</t>
  </si>
  <si>
    <t>06690564</t>
  </si>
  <si>
    <t>AL-TOU-S</t>
  </si>
  <si>
    <t>DG-R</t>
  </si>
  <si>
    <t>Modified Bitumen</t>
  </si>
  <si>
    <t>East County Regional Center</t>
  </si>
  <si>
    <t>37-I1</t>
  </si>
  <si>
    <t>250 E. MAIN ST., EL CAJON, CA 92020</t>
  </si>
  <si>
    <t>SDG&amp;E</t>
  </si>
  <si>
    <t>0031438695083</t>
  </si>
  <si>
    <t>06687284</t>
  </si>
  <si>
    <t>Santa Ana Courthouse</t>
  </si>
  <si>
    <t>64-E1</t>
  </si>
  <si>
    <t>23 CIVIC CENTER PLZ, SANTA ANA, CA 92701</t>
  </si>
  <si>
    <t>V349N-009045</t>
  </si>
  <si>
    <t>TOU-GS-2-D CPP</t>
  </si>
  <si>
    <t>TOU-GS-2-E CPP</t>
  </si>
  <si>
    <t>PVC</t>
  </si>
  <si>
    <t>Project Totals</t>
  </si>
  <si>
    <t>Notes:</t>
  </si>
  <si>
    <t>Current Annual Electricity Usage (kWh) is based on the interval usage profiles for CY2019 where available. Dates are shown in interval data file.</t>
  </si>
  <si>
    <r>
      <t>Roof Area is only listed for sites that shall include roof replacement costs as a project development cost</t>
    </r>
    <r>
      <rPr>
        <sz val="11"/>
        <rFont val="Calibri"/>
        <family val="2"/>
        <scheme val="minor"/>
      </rPr>
      <t xml:space="preserve"> if the rooftop is used</t>
    </r>
    <r>
      <rPr>
        <sz val="11"/>
        <color theme="1"/>
        <rFont val="Calibri"/>
        <family val="2"/>
        <scheme val="minor"/>
      </rPr>
      <t>.</t>
    </r>
  </si>
  <si>
    <t>Some sites require a Solar Equipment Lease (SEL) rather than a SPPA. Each worksheet specifies which pricing is being requested.</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</si>
  <si>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ALL</t>
    </r>
    <r>
      <rPr>
        <sz val="12"/>
        <color indexed="8"/>
        <rFont val="Gadugi"/>
        <family val="2"/>
      </rPr>
      <t xml:space="preserve"> yellow cells
2) Do not alter gray cells.
3) Note: BESS Sizing (kW and kWh) are inputs in both Attachment C1 and C2. Please ensure that both forms contain the same values for each site.</t>
    </r>
  </si>
  <si>
    <t>Attachment C2, System Specification</t>
  </si>
  <si>
    <t>Module Degradation Assumptions</t>
  </si>
  <si>
    <t>Year-1 Production Degradation (%)</t>
  </si>
  <si>
    <t>Years 2-25 Production Degradation (%)</t>
  </si>
  <si>
    <t>SOLAR ONLY</t>
  </si>
  <si>
    <t>MICROGRID, SOLAR+STORAGE</t>
  </si>
  <si>
    <t>SOLAR PV SPECIFICATIONS</t>
  </si>
  <si>
    <t>BESS/MICROGRID SPECIFICATIONS</t>
  </si>
  <si>
    <t>Design includes Rooftop arrays?</t>
  </si>
  <si>
    <t>Yr-1 Expected Production (kWh), Inclusive of Yr-1 Production Degradation</t>
  </si>
  <si>
    <t>Years 2 to End of Term Production (kWh)</t>
  </si>
  <si>
    <t>Total Term Production (kWh)</t>
  </si>
  <si>
    <t>kW</t>
  </si>
  <si>
    <t>kWh</t>
  </si>
  <si>
    <t>Annual Degradation Rate (%)</t>
  </si>
  <si>
    <t>Recharge from Solar (%)</t>
  </si>
  <si>
    <t>Discharge Efficiency (%)</t>
  </si>
  <si>
    <t>Charge Efficiency (%)</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</si>
  <si>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PeGu will be based on Production Guarantee % and Annual Production Degradation for the SPPAs and Availability Guarantee for the SELs.
4) Upon shortfalls to the PeGu, vendor will compensate Judicial Council at the Shortfall Payment Rate.
</t>
    </r>
  </si>
  <si>
    <t>Attachment C2, PeGu</t>
  </si>
  <si>
    <t>Solar PV Performance Guarantee (PeGu)</t>
  </si>
  <si>
    <t>BESS Capacity Guarantee</t>
  </si>
  <si>
    <t>Production Guarantee (PeGu) Assumptions</t>
  </si>
  <si>
    <t>Capacity Guarantee Assumptions</t>
  </si>
  <si>
    <t>Average Annual Degradation (%)</t>
  </si>
  <si>
    <t>Capacity Guarantee (% of Rated Capacity)</t>
  </si>
  <si>
    <t>Production Guarantee (% of Expected Production, min 90%) for SPPA</t>
  </si>
  <si>
    <t>Shortfall Payment Rate, Year 1 ($/kWh-capacity)</t>
  </si>
  <si>
    <t>True-up Term</t>
  </si>
  <si>
    <t>Shortfall Payment Rate, Annual Escalation</t>
  </si>
  <si>
    <t>Shortfall Payment Rate, Year 1 ($/kWh)</t>
  </si>
  <si>
    <t>Availability Guarantee (% of annual hours, min 95%) for SEL</t>
  </si>
  <si>
    <t>Microgrid, Solar+Storage Annual Solar PV PeGu Production Table (kWh/yr of Production)</t>
  </si>
  <si>
    <t>Year</t>
  </si>
  <si>
    <t>Total</t>
  </si>
  <si>
    <t>Solar-Only Annual Solar PV PeGu Production Table (kWh/yr of Production)</t>
  </si>
  <si>
    <t>Annual BESS Capacity Guarantee Table (kWh of Capacity)</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</si>
  <si>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non-ITC-eligible 
    costs for each site. These SPPA Price Adjustments will also be utilized to adjust SPPA Price resulting from approved Change Orders.
7) SPPA / SEL term applies to the full microgrid system.                                                                                                        
</t>
    </r>
  </si>
  <si>
    <t>Attachment C2, Microgrid Proposal</t>
  </si>
  <si>
    <t>Project Development Costs Assumptions Table</t>
  </si>
  <si>
    <t>Description</t>
  </si>
  <si>
    <t>Responsible Party</t>
  </si>
  <si>
    <t>Value</t>
  </si>
  <si>
    <t>Include in Cost Proposal</t>
  </si>
  <si>
    <t>Notes</t>
  </si>
  <si>
    <t>Roofing costs</t>
  </si>
  <si>
    <t>Proposer</t>
  </si>
  <si>
    <t>See table below</t>
  </si>
  <si>
    <t>Proposer to assume stated cost for necessary roof replacement. Roofing costs associated with PV specific work (attachments, flashing, etc) shall be included by Proposer in pricing. Final SPPA/SEL pricing will be adjusted based on actual Total Project Development Costs and the corresponding SPPA/SEL Price Adjustment per $25,000 change from Total Assumed Project Development Costs.</t>
  </si>
  <si>
    <t>Security camera costs</t>
  </si>
  <si>
    <t>Proposer Estimate</t>
  </si>
  <si>
    <t>Proposer to assume stated number of cameras to be installed by site.</t>
  </si>
  <si>
    <t>Inspector of Record (IOR), special inspections &amp; testing</t>
  </si>
  <si>
    <t>Judicial Council</t>
  </si>
  <si>
    <t>Included in "Other Project Development Costs" in table below. Judicial Council will contract DSA IOR(s), inspections, and testing. Selected firm to coordinate DSA special inspections and testing.  Proposer to reimburse Judicial Council per schedule and values shown Agreements.</t>
  </si>
  <si>
    <t>Judicial Council Legal Counsel Fees</t>
  </si>
  <si>
    <t>Judicial Council will incur these costs directly</t>
  </si>
  <si>
    <t>Consultant Fees</t>
  </si>
  <si>
    <t>ADA Upgrades (Within canopy footprint or caused by relocation of ADA parking spots)</t>
  </si>
  <si>
    <t>All ADA design/permitting costs. All upgrade costs within canopy footprint or caused by ADA compliance with canopies.</t>
  </si>
  <si>
    <t>ADA Upgrades (Other ADA changes)</t>
  </si>
  <si>
    <t>ADA upgrade construction costs caused by project upgrades</t>
  </si>
  <si>
    <t>Interconnection (Standard/Identified/Inferable)</t>
  </si>
  <si>
    <t>Routine and identifiable costs to interconnect with main service at each site. Costs should include any potential Utility transformer needed to support proposed system capacity based on the transformer kVA ratings identified in the RFP, and other readily inferable interconnection costs.</t>
  </si>
  <si>
    <t>Interconnection (Utility-side/Not-inferable)</t>
  </si>
  <si>
    <t>Utility-side improvements (e.g. transmission or distribution upgrades) not readily inferable from RFP info.  Major improvements to services not identified or inferable from RFP information. Included value based on estimate in "Interconnection (Utility-side/Not-inferable)" in table below.</t>
  </si>
  <si>
    <t>CEQA</t>
  </si>
  <si>
    <t>CEQA consultant and filing fees. Judicial Council will be the lead agency in filing CEQA notices. Judicial Council has already filed for exempt status for all project sites.</t>
  </si>
  <si>
    <t>CEQA Mitigation</t>
  </si>
  <si>
    <t>CEQA mitigation is not expected for this project, however if any measures arise, contractor will be responsible for implementing them.</t>
  </si>
  <si>
    <t>Geotech &amp; California Geological Survey (CGS)</t>
  </si>
  <si>
    <t>Proposer to pay for all costs associated with CGS submittal as-needed.</t>
  </si>
  <si>
    <t>Division of the State Architect (DSA)</t>
  </si>
  <si>
    <t>All design, permitting, construction requirements, and close-out costs.</t>
  </si>
  <si>
    <t>Fire Department Fees</t>
  </si>
  <si>
    <t>Included in "Other Project Development Costs"</t>
  </si>
  <si>
    <t>Any other required permitting</t>
  </si>
  <si>
    <t>Proposer to obtain permits and pay for all required permitting costs.</t>
  </si>
  <si>
    <t>Total Assumed Project Development Costs</t>
  </si>
  <si>
    <t>SPPA/SEL pricing to be based on Total Project Development Cost Assumptions. Final SPPA/SEL pricing will be adjusted based on actual Total Project Development Costs and the corresponding SPPA/SEL Price Adjustment per $25,000 change from Total Assumed Project Development Costs.</t>
  </si>
  <si>
    <t>Microgrid SPPA/SEL Cost Table</t>
  </si>
  <si>
    <t>Site Details</t>
  </si>
  <si>
    <t>SPPA, 0% Escalation</t>
  </si>
  <si>
    <t>Solar Equipment Lease (SEL) Terms</t>
  </si>
  <si>
    <t>Project Development Costs Assumptions</t>
  </si>
  <si>
    <t>Year-1 Generation (kWh)</t>
  </si>
  <si>
    <t>BESS Size (kW / kWh)</t>
  </si>
  <si>
    <t>SPPA Price ($/kWh)</t>
  </si>
  <si>
    <t>SPPA Price Adjustment per $25k Change from Assumed Project Development Costs (ITC-Eligible)</t>
  </si>
  <si>
    <t>SPPA Price Adjustment per $25k Change from Assumed Project Development Costs (Non-ITC-Eligible)</t>
  </si>
  <si>
    <t>Year-1 Monthly SEL Payment</t>
  </si>
  <si>
    <t>Monthly SEL Payment Adjustment per $25k Change from Assumed Project Development Costs (ITC-Eligible)</t>
  </si>
  <si>
    <t>Monthly SEL Payment Adjustment per $25k Change from Assumed Project Development Costs (Non-ITC-Eligible)</t>
  </si>
  <si>
    <t># of Cameras</t>
  </si>
  <si>
    <t>Security Camera Costs</t>
  </si>
  <si>
    <t>Roofing Costs</t>
  </si>
  <si>
    <t>Other Project Development Costs</t>
  </si>
  <si>
    <t>Total Project Development Costs</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</si>
  <si>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
    eligible costs for each site. These SPPA Price Adjustments will also be utilized to adjust SPPA Price resulting from approved Change Orders.
7) SPPA / SEL term applies to the full solar+storage system.                                                                                                        
</t>
    </r>
  </si>
  <si>
    <t>Attachment C2, Solar+Storage Proposal</t>
  </si>
  <si>
    <t>Proposer to assume stated cost for necessary roof replacement. Roofing costs associated with PV specific work (attachments, flashing, etc) shall be included by Contractor in pricing. Final SPPA/SEL pricing will be adjusted based on actual Total Project Development Costs and the corresponding SPPA/SEL Price Adjustment per $25,000 change from Total Assumed Project Development Costs.</t>
  </si>
  <si>
    <t>ADA Upgrades (Within canopy footprint)</t>
  </si>
  <si>
    <t>All ADA design/permitting costs. All upgrade costs within canopy footprint.</t>
  </si>
  <si>
    <t>ADA Upgrades (Not within canopy footprint)</t>
  </si>
  <si>
    <t xml:space="preserve">ADA upgrade construction costs outside of the canopy footprint. </t>
  </si>
  <si>
    <t>Solar+Storage SPPA/SEL Cost Table</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</si>
  <si>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
    eligible costs for each site. These SPPA Price Adjustments will also be utilized to adjust SPPA Price resulting from approved Change Orders.
7) SPPA / SEL term applies to the full solar system.                                                                                                        
</t>
    </r>
  </si>
  <si>
    <t>Attachment C2, Solar-Only Proposal</t>
  </si>
  <si>
    <t>Solar-Only SPPA/SEL Cost Table</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</si>
  <si>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t>
    </r>
  </si>
  <si>
    <t>Attachment C2, Contract Early Termination</t>
  </si>
  <si>
    <t>Microgrid Contract Early Termination Values</t>
  </si>
  <si>
    <t>Solar+Storage Contract Early Termination Values</t>
  </si>
  <si>
    <t>Solar-Only Contract Early Termination Values</t>
  </si>
  <si>
    <t>Attachment C2, Summary &amp; Signature</t>
  </si>
  <si>
    <t>SPPA/SEL Cost Proposal (Microgrid, Solar+Storage)</t>
  </si>
  <si>
    <t>Solar + Storage Proposal</t>
  </si>
  <si>
    <t>Totals:</t>
  </si>
  <si>
    <t>SPPA/SEL Cost Proposal (Solar-Only)</t>
  </si>
  <si>
    <t>Solar Only Proposal</t>
  </si>
  <si>
    <t>Solar PV Performance Guarantee</t>
  </si>
  <si>
    <t xml:space="preserve">CERTIFICATION UNDER PENALTY OF PERJURY
I, the undersigned, certify and declare that I know the contents of all documents submitted pursuant to the RFP, have read all the foregoing answers and any attached sheets and know their contents. The matters contained in, or submitted pursuant to the RFP, all documents submitted herewith, and all answers are true of my own knowledge and belief, except as to those matters stated on information and belief, as to those matters, I believe them to be true. I further acknowledge receipt of all addenda provided with the RFP and that my submittal accounts for Addenda clarifications and revisions to the RFP. I declare under penalty of perjury under the laws of the State of California that the foregoing is true and correct.    </t>
  </si>
  <si>
    <t>Address:</t>
  </si>
  <si>
    <t xml:space="preserve">By: </t>
  </si>
  <si>
    <t>(Please Print or Type)</t>
  </si>
  <si>
    <t xml:space="preserve">Signature: </t>
  </si>
  <si>
    <t xml:space="preserve">Title: </t>
  </si>
  <si>
    <t>Date:</t>
  </si>
  <si>
    <t>Phone:</t>
  </si>
  <si>
    <t>Attachment C2, Contract Tables</t>
  </si>
  <si>
    <t>Term</t>
  </si>
  <si>
    <t>SPPA Lookup</t>
  </si>
  <si>
    <t>SEL Lookup</t>
  </si>
  <si>
    <t>Attachment D</t>
  </si>
  <si>
    <t>Attachment N1</t>
  </si>
  <si>
    <t>Attachment E</t>
  </si>
  <si>
    <t>Attachment N2</t>
  </si>
  <si>
    <t>Agreement</t>
  </si>
  <si>
    <t>Exhibit C-2, 4. Guarantees [Microgrid, Solar+Storage Proposal]</t>
  </si>
  <si>
    <t>Exhibit C-2, 4. Guarantees, [Solar-Only Proposal]</t>
  </si>
  <si>
    <t>Exhibit C-2, 4. Guarantees, [Microgrid, Solar+Storage Proposal]</t>
  </si>
  <si>
    <t>Exhibit T [Microgrid Proposal]</t>
  </si>
  <si>
    <t>Exhibit T [Solar+Storage Proposal]</t>
  </si>
  <si>
    <t>Exhibit T [Solar-Only Proposal]</t>
  </si>
  <si>
    <t>Exhibit C-2, 5. Required Services</t>
  </si>
  <si>
    <t>Exhibit B [Microgrid Proposal]</t>
  </si>
  <si>
    <t>Exhibit B [Solar+Storage Proposal]</t>
  </si>
  <si>
    <t>Exhibit B [Solar-Only Proposal]</t>
  </si>
  <si>
    <t>2. Term</t>
  </si>
  <si>
    <t>Years</t>
  </si>
  <si>
    <t>3. Lease Term</t>
  </si>
  <si>
    <t>Table 1</t>
  </si>
  <si>
    <t>Table 2</t>
  </si>
  <si>
    <t>Contract Termination Schedule</t>
  </si>
  <si>
    <t>Expected Performance</t>
  </si>
  <si>
    <t>Payment Schedule</t>
  </si>
  <si>
    <t>Exhibit B, 1. Definitions and Terms</t>
  </si>
  <si>
    <t>Agreement [Microgrid Proposal]</t>
  </si>
  <si>
    <t>Contract Year</t>
  </si>
  <si>
    <t>Expected Electricity Production (EEP) (kWh)</t>
  </si>
  <si>
    <t>Guaranteed Electricity Production (GEP) (kWh)</t>
  </si>
  <si>
    <t>PV Shortfall Rate ($/kWh)</t>
  </si>
  <si>
    <t>BESS Capacity Guarantee (kWh)</t>
  </si>
  <si>
    <t>BESS Shortfall Rate ($/kWh)</t>
  </si>
  <si>
    <t>Contract Period Year </t>
  </si>
  <si>
    <t>Contract Early Termination Value ($) </t>
  </si>
  <si>
    <t>Year </t>
  </si>
  <si>
    <t>EEP (kWh) </t>
  </si>
  <si>
    <t>EESC (kWh) </t>
  </si>
  <si>
    <t>BESS Capacity Guarantee (kWh) </t>
  </si>
  <si>
    <t>Monthly SEL Payment ($/mo)</t>
  </si>
  <si>
    <t>Annual SEL Payment ($/yr)</t>
  </si>
  <si>
    <t>1.2. Term</t>
  </si>
  <si>
    <t>4.4 Utility Upgrades</t>
  </si>
  <si>
    <t>$</t>
  </si>
  <si>
    <t>Exhibit B, 2. Sale of Electricity [Microgrid Proposal]</t>
  </si>
  <si>
    <t>4.5. Scope Changes</t>
  </si>
  <si>
    <t>$/mo per $25k (ITC)</t>
  </si>
  <si>
    <t>2.2. Electricity Price</t>
  </si>
  <si>
    <t>$/kWh</t>
  </si>
  <si>
    <t>$/mo per $25k (Non-ITC)</t>
  </si>
  <si>
    <t>2.4. Utility Upgrades</t>
  </si>
  <si>
    <t>Agreement [Solar+Storage Proposal]</t>
  </si>
  <si>
    <t>2.5.(i) Scope Changes</t>
  </si>
  <si>
    <t>$/kWh per $25k (ITC)</t>
  </si>
  <si>
    <t>$/kWh per $25k (Non-ITC)</t>
  </si>
  <si>
    <t>Exhibit B, 2. Sale of Electricity [Solar+Storage Proposal]</t>
  </si>
  <si>
    <t>Agreement [Solar-Only Proposal]</t>
  </si>
  <si>
    <t>Exhibit B, 2. Sale of Electricity [Solar-Only Proposal]</t>
  </si>
  <si>
    <t>Site Licence Agreement</t>
  </si>
  <si>
    <t>Site License Agreement</t>
  </si>
  <si>
    <t>2.1. Term</t>
  </si>
  <si>
    <t>Exhibit C-2, 4. Guarantees</t>
  </si>
  <si>
    <t>4.1. Guaranteed Availability</t>
  </si>
  <si>
    <t>%</t>
  </si>
  <si>
    <t>4.1. PV Production Guarantee</t>
  </si>
  <si>
    <t>Utility Company</t>
  </si>
  <si>
    <t>PG&amp;E</t>
  </si>
  <si>
    <t>Yes/No</t>
  </si>
  <si>
    <t>PPA Contact Term</t>
  </si>
  <si>
    <t>Wire Type</t>
  </si>
  <si>
    <t>Lease Types</t>
  </si>
  <si>
    <t>Copper</t>
  </si>
  <si>
    <t>Capital</t>
  </si>
  <si>
    <t>Aluminum</t>
  </si>
  <si>
    <t>Operating</t>
  </si>
  <si>
    <t>Municipal</t>
  </si>
  <si>
    <t>Tariff Lists</t>
  </si>
  <si>
    <t>Active Tariff</t>
  </si>
  <si>
    <t>A-1</t>
  </si>
  <si>
    <t>GS-1</t>
  </si>
  <si>
    <t>A-6</t>
  </si>
  <si>
    <t>GS-2</t>
  </si>
  <si>
    <t>A-10-S</t>
  </si>
  <si>
    <t xml:space="preserve">GS-2-TOU-A </t>
  </si>
  <si>
    <t>A-10-P</t>
  </si>
  <si>
    <t>GS-2-TOU-R</t>
  </si>
  <si>
    <t>A-10-T</t>
  </si>
  <si>
    <t>RTP-2</t>
  </si>
  <si>
    <t>A-10 TOU-S</t>
  </si>
  <si>
    <t>TOU-GS-1</t>
  </si>
  <si>
    <t>A-10 TOU-P</t>
  </si>
  <si>
    <t>TOU-GS-3-A</t>
  </si>
  <si>
    <t>A-10 TOU-T</t>
  </si>
  <si>
    <t>TOU-GS-3-B</t>
  </si>
  <si>
    <t>E-19-S</t>
  </si>
  <si>
    <t>TOU-GS-3-R</t>
  </si>
  <si>
    <t>E-19-P</t>
  </si>
  <si>
    <t>TOU-8-A (&lt;2kV)</t>
  </si>
  <si>
    <t>E-19-T</t>
  </si>
  <si>
    <t>TOU-8-B (&lt;2kV)</t>
  </si>
  <si>
    <t>TOU-8-R (&lt;2kV)</t>
  </si>
  <si>
    <t>Environmental Constants</t>
  </si>
  <si>
    <t>CO2 lbs/kWh</t>
  </si>
  <si>
    <t>Panel Mount Types</t>
  </si>
  <si>
    <t>MEA</t>
  </si>
  <si>
    <t>Ground</t>
  </si>
  <si>
    <t>Array Over Parking</t>
  </si>
  <si>
    <t>Shade Structures</t>
  </si>
  <si>
    <t>Roof Ballasted</t>
  </si>
  <si>
    <t>Passenger Vehicle CO2/Year</t>
  </si>
  <si>
    <t>Roof Racked</t>
  </si>
  <si>
    <t>lbs CO2/Gal.</t>
  </si>
  <si>
    <t>Miles/yr</t>
  </si>
  <si>
    <t>Mounting types</t>
  </si>
  <si>
    <t>MPG</t>
  </si>
  <si>
    <t>Single Post, Single Cantilever</t>
  </si>
  <si>
    <t>lbs CO2/car/yr</t>
  </si>
  <si>
    <t>Single Post, Double Cantalever</t>
  </si>
  <si>
    <t>Trees</t>
  </si>
  <si>
    <t>Multi-Post, non-Cantilever</t>
  </si>
  <si>
    <t>lbs CO2/year/tree</t>
  </si>
  <si>
    <t>lbs CO2/year/acre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</si>
</sst>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 numFmtId="166" formatCode="0.0%"/>
    <numFmt numFmtId="167" formatCode="&quot;$&quot;#,##0"/>
    <numFmt numFmtId="168" formatCode="&quot;$&quot;#,##0.0000"/>
    <numFmt numFmtId="169" formatCode="&quot;$&quot;#,##0.0000_);[Red]\(&quot;$&quot;#,##0.0000\)"/>
    <numFmt numFmtId="170" formatCode="0_);[Red]\(0\)"/>
    <numFmt numFmtId="171" formatCode="&quot;$&quot;#,##0.000_);[Red]\(&quot;$&quot;#,##0.000\)"/>
  </numFmts>
  <fonts count="69" x14ac:knownFonts="1">
    <font>
      <sz val="12"/>
      <color theme="1"/>
      <name val="Arial"/>
      <family val="2"/>
    </font>
    <font>
      <sz val="11"/>
      <color theme="1"/>
      <name val="Calibri"/>
      <family val="2"/>
      <scheme val="minor"/>
    </font>
    <font>
      <sz val="11"/>
      <color theme="1"/>
      <name val="Calibri"/>
      <family val="2"/>
      <scheme val="minor"/>
    </font>
    <font>
      <sz val="11"/>
      <color theme="1"/>
      <name val="Gadugi"/>
      <family val="2"/>
    </font>
    <font>
      <sz val="11"/>
      <color theme="1"/>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2"/>
      <color indexed="8"/>
      <name val="Arial"/>
      <family val="2"/>
    </font>
    <font>
      <b/>
      <sz val="11"/>
      <color indexed="8"/>
      <name val="Calibri"/>
      <family val="2"/>
    </font>
    <font>
      <b/>
      <sz val="14"/>
      <color indexed="8"/>
      <name val="Calibri"/>
      <family val="2"/>
    </font>
    <font>
      <b/>
      <sz val="12"/>
      <color indexed="8"/>
      <name val="Calibri"/>
      <family val="2"/>
    </font>
    <font>
      <sz val="12"/>
      <color indexed="8"/>
      <name val="Calibri"/>
      <family val="2"/>
    </font>
    <font>
      <sz val="8"/>
      <name val="Arial"/>
      <family val="2"/>
    </font>
    <font>
      <sz val="10"/>
      <color indexed="8"/>
      <name val="Calibri"/>
      <family val="2"/>
    </font>
    <font>
      <sz val="16"/>
      <color indexed="8"/>
      <name val="Calibri"/>
      <family val="2"/>
    </font>
    <font>
      <sz val="14"/>
      <color indexed="8"/>
      <name val="Calibri"/>
      <family val="2"/>
    </font>
    <font>
      <sz val="10"/>
      <color indexed="8"/>
      <name val="Arial"/>
      <family val="2"/>
    </font>
    <font>
      <sz val="24"/>
      <color indexed="63"/>
      <name val="Arial Narrow"/>
      <family val="2"/>
    </font>
    <font>
      <sz val="22"/>
      <color indexed="8"/>
      <name val="Calibri"/>
      <family val="2"/>
    </font>
    <font>
      <b/>
      <sz val="11"/>
      <color theme="1"/>
      <name val="Calibri"/>
      <family val="2"/>
      <scheme val="minor"/>
    </font>
    <font>
      <sz val="11"/>
      <color indexed="8"/>
      <name val="Calibri"/>
      <family val="2"/>
      <scheme val="minor"/>
    </font>
    <font>
      <sz val="11"/>
      <color indexed="63"/>
      <name val="Calibri"/>
      <family val="2"/>
      <scheme val="minor"/>
    </font>
    <font>
      <b/>
      <sz val="11"/>
      <color indexed="8"/>
      <name val="Calibri"/>
      <family val="2"/>
      <scheme val="minor"/>
    </font>
    <font>
      <sz val="10"/>
      <name val="Calibri"/>
      <family val="1"/>
      <scheme val="minor"/>
    </font>
    <font>
      <sz val="10"/>
      <color rgb="FF000000"/>
      <name val="Times New Roman"/>
      <family val="1"/>
    </font>
    <font>
      <sz val="12"/>
      <color theme="1"/>
      <name val="Arial"/>
      <family val="2"/>
    </font>
    <font>
      <sz val="11"/>
      <color theme="1"/>
      <name val="Arial"/>
      <family val="2"/>
    </font>
    <font>
      <b/>
      <sz val="12"/>
      <color theme="1"/>
      <name val="Arial"/>
      <family val="2"/>
    </font>
    <font>
      <sz val="11"/>
      <color rgb="FFFF0000"/>
      <name val="Calibri"/>
      <family val="2"/>
    </font>
    <font>
      <sz val="12"/>
      <color theme="1"/>
      <name val="Calibri"/>
      <family val="2"/>
    </font>
    <font>
      <sz val="11"/>
      <color theme="1"/>
      <name val="Calibri"/>
      <family val="2"/>
    </font>
    <font>
      <b/>
      <sz val="12"/>
      <color theme="1"/>
      <name val="Calibri"/>
      <family val="2"/>
      <scheme val="minor"/>
    </font>
    <font>
      <b/>
      <sz val="11"/>
      <color theme="0"/>
      <name val="Calibri"/>
      <family val="2"/>
      <scheme val="minor"/>
    </font>
    <font>
      <sz val="11"/>
      <name val="Calibri"/>
      <family val="2"/>
      <scheme val="minor"/>
    </font>
    <font>
      <b/>
      <sz val="12"/>
      <color rgb="FF000000"/>
      <name val="Calibri"/>
      <family val="2"/>
    </font>
    <font>
      <sz val="16"/>
      <color indexed="8"/>
      <name val="Calibri"/>
      <family val="2"/>
      <scheme val="minor"/>
    </font>
    <font>
      <b/>
      <u/>
      <sz val="12"/>
      <color rgb="FF000000"/>
      <name val="Calibri"/>
      <family val="2"/>
    </font>
    <font>
      <b/>
      <sz val="12"/>
      <color theme="0"/>
      <name val="Calibri"/>
      <family val="2"/>
    </font>
    <font>
      <b/>
      <sz val="14"/>
      <color theme="0"/>
      <name val="Calibri"/>
      <family val="2"/>
    </font>
    <font>
      <b/>
      <sz val="16"/>
      <color theme="0"/>
      <name val="Calibri"/>
      <family val="2"/>
      <scheme val="minor"/>
    </font>
    <font>
      <sz val="10"/>
      <color theme="1"/>
      <name val="Calibri"/>
      <family val="2"/>
      <scheme val="minor"/>
    </font>
    <font>
      <sz val="12"/>
      <color indexed="8"/>
      <name val="Gadugi"/>
      <family val="2"/>
    </font>
    <font>
      <b/>
      <sz val="12"/>
      <color rgb="FF000000"/>
      <name val="Gadugi"/>
      <family val="2"/>
    </font>
    <font>
      <b/>
      <u/>
      <sz val="12"/>
      <color rgb="FF000000"/>
      <name val="Gadugi"/>
      <family val="2"/>
    </font>
    <font>
      <sz val="20"/>
      <color indexed="63"/>
      <name val="Arial Narrow"/>
      <family val="2"/>
    </font>
    <font>
      <sz val="10"/>
      <name val="Calibri"/>
      <family val="2"/>
    </font>
    <font>
      <sz val="11"/>
      <color rgb="FF000000"/>
      <name val="Calibri"/>
      <family val="2"/>
    </font>
    <font>
      <b/>
      <sz val="10"/>
      <color indexed="8"/>
      <name val="Calibri"/>
      <family val="2"/>
      <scheme val="minor"/>
    </font>
    <font>
      <b/>
      <sz val="10"/>
      <name val="Calibri"/>
      <family val="2"/>
      <scheme val="minor"/>
    </font>
    <font>
      <sz val="10"/>
      <color indexed="8"/>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b/>
      <sz val="10"/>
      <color indexed="8"/>
      <name val="Calibri"/>
      <family val="2"/>
    </font>
    <font>
      <b/>
      <sz val="16"/>
      <color theme="1"/>
      <name val="Calibri"/>
      <family val="2"/>
      <scheme val="minor"/>
    </font>
    <font>
      <b/>
      <sz val="11"/>
      <color theme="0"/>
      <name val="Calibri"/>
      <family val="2"/>
    </font>
    <font>
      <sz val="10"/>
      <name val="Calibri"/>
      <family val="2"/>
      <scheme val="minor"/>
    </font>
    <font>
      <b/>
      <sz val="14"/>
      <color theme="0"/>
      <name val="Calibri"/>
      <family val="2"/>
      <scheme val="minor"/>
    </font>
    <font>
      <b/>
      <sz val="16"/>
      <color theme="0"/>
      <name val="Calibri"/>
      <family val="2"/>
    </font>
    <font>
      <sz val="14"/>
      <color indexed="63"/>
      <name val="Calibri"/>
      <family val="2"/>
      <scheme val="minor"/>
    </font>
    <font>
      <sz val="14"/>
      <color theme="1"/>
      <name val="Calibri"/>
      <family val="2"/>
      <scheme val="minor"/>
    </font>
    <font>
      <b/>
      <sz val="16"/>
      <color theme="1"/>
      <name val="Arial"/>
      <family val="2"/>
    </font>
    <font>
      <b/>
      <sz val="11"/>
      <color rgb="FF000000"/>
      <name val="Calibri"/>
      <family val="2"/>
    </font>
    <font>
      <b/>
      <sz val="12"/>
      <color indexed="8"/>
      <name val="Calibri"/>
      <family val="2"/>
      <scheme val="minor"/>
    </font>
    <font>
      <sz val="12"/>
      <color indexed="8"/>
      <name val="Calibri"/>
      <family val="2"/>
      <scheme val="minor"/>
    </font>
    <font>
      <b/>
      <sz val="16"/>
      <color indexed="8"/>
      <name val="Calibri"/>
      <family val="2"/>
      <scheme val="minor"/>
    </font>
  </fonts>
  <fills count="1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249977111117893"/>
        <bgColor indexed="64"/>
      </patternFill>
    </fill>
    <fill>
      <patternFill patternType="solid">
        <fgColor rgb="FFD9D9D9"/>
        <bgColor rgb="FF000000"/>
      </patternFill>
    </fill>
    <fill>
      <patternFill patternType="solid">
        <fgColor rgb="FFFFFF99"/>
        <bgColor rgb="FF000000"/>
      </patternFill>
    </fill>
    <fill>
      <patternFill patternType="solid">
        <fgColor rgb="FF31869B"/>
        <bgColor indexed="64"/>
      </patternFill>
    </fill>
  </fills>
  <borders count="57">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top style="medium">
        <color auto="1"/>
      </top>
      <bottom style="medium">
        <color auto="1"/>
      </bottom>
      <diagonal/>
    </border>
    <border>
      <left style="medium">
        <color indexed="64"/>
      </left>
      <right style="thin">
        <color auto="1"/>
      </right>
      <top/>
      <bottom style="medium">
        <color indexed="64"/>
      </bottom>
      <diagonal/>
    </border>
    <border>
      <left style="thin">
        <color auto="1"/>
      </left>
      <right style="medium">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right style="thin">
        <color auto="1"/>
      </right>
      <top style="medium">
        <color auto="1"/>
      </top>
      <bottom style="medium">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medium">
        <color auto="1"/>
      </bottom>
      <diagonal/>
    </border>
    <border>
      <left style="medium">
        <color indexed="64"/>
      </left>
      <right/>
      <top style="medium">
        <color auto="1"/>
      </top>
      <bottom style="thin">
        <color auto="1"/>
      </bottom>
      <diagonal/>
    </border>
    <border>
      <left style="medium">
        <color indexed="64"/>
      </left>
      <right/>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medium">
        <color indexed="64"/>
      </bottom>
      <diagonal/>
    </border>
    <border>
      <left style="medium">
        <color auto="1"/>
      </left>
      <right/>
      <top style="medium">
        <color auto="1"/>
      </top>
      <bottom/>
      <diagonal/>
    </border>
    <border>
      <left style="medium">
        <color auto="1"/>
      </left>
      <right/>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indexed="64"/>
      </right>
      <top style="medium">
        <color indexed="64"/>
      </top>
      <bottom style="thin">
        <color auto="1"/>
      </bottom>
      <diagonal/>
    </border>
    <border>
      <left/>
      <right/>
      <top style="thin">
        <color indexed="64"/>
      </top>
      <bottom style="medium">
        <color indexed="64"/>
      </bottom>
      <diagonal/>
    </border>
    <border>
      <left style="medium">
        <color auto="1"/>
      </left>
      <right style="thin">
        <color auto="1"/>
      </right>
      <top/>
      <bottom/>
      <diagonal/>
    </border>
    <border>
      <left/>
      <right style="medium">
        <color auto="1"/>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style="medium">
        <color indexed="64"/>
      </bottom>
      <diagonal/>
    </border>
  </borders>
  <cellStyleXfs count="13">
    <xf numFmtId="0" fontId="0" fillId="0" borderId="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26" fillId="0" borderId="0"/>
    <xf numFmtId="0" fontId="27"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8" fillId="0" borderId="0"/>
    <xf numFmtId="0" fontId="32" fillId="0" borderId="0"/>
    <xf numFmtId="0" fontId="3" fillId="0" borderId="0"/>
  </cellStyleXfs>
  <cellXfs count="555">
    <xf numFmtId="0" fontId="0" fillId="0" borderId="0" xfId="0"/>
    <xf numFmtId="0" fontId="11" fillId="0" borderId="0" xfId="0" applyFont="1"/>
    <xf numFmtId="0" fontId="9" fillId="0" borderId="0" xfId="0" applyFont="1"/>
    <xf numFmtId="0" fontId="13" fillId="0" borderId="0" xfId="0" applyFont="1"/>
    <xf numFmtId="0" fontId="14" fillId="0" borderId="0" xfId="0" applyFont="1"/>
    <xf numFmtId="0" fontId="8" fillId="0" borderId="0" xfId="0" applyFont="1"/>
    <xf numFmtId="0" fontId="17" fillId="0" borderId="0" xfId="0" applyFont="1"/>
    <xf numFmtId="0" fontId="18" fillId="0" borderId="0" xfId="0" applyFont="1"/>
    <xf numFmtId="0" fontId="19" fillId="0" borderId="0" xfId="0" applyFont="1"/>
    <xf numFmtId="0" fontId="21" fillId="0" borderId="0" xfId="0" applyFont="1"/>
    <xf numFmtId="0" fontId="5" fillId="0" borderId="4" xfId="0" applyFont="1" applyBorder="1" applyAlignment="1">
      <alignment horizontal="right"/>
    </xf>
    <xf numFmtId="0" fontId="5" fillId="0" borderId="3" xfId="0" applyFont="1" applyBorder="1" applyAlignment="1">
      <alignment horizontal="right"/>
    </xf>
    <xf numFmtId="0" fontId="11" fillId="0" borderId="0" xfId="0" applyFont="1" applyAlignment="1">
      <alignment horizontal="left"/>
    </xf>
    <xf numFmtId="0" fontId="23" fillId="0" borderId="0" xfId="0" applyFont="1" applyAlignment="1">
      <alignment wrapText="1"/>
    </xf>
    <xf numFmtId="0" fontId="5" fillId="6" borderId="5" xfId="0" applyFont="1" applyFill="1" applyBorder="1"/>
    <xf numFmtId="0" fontId="7" fillId="0" borderId="0" xfId="0" applyFont="1"/>
    <xf numFmtId="0" fontId="5" fillId="7" borderId="5" xfId="0" applyFont="1" applyFill="1" applyBorder="1"/>
    <xf numFmtId="0" fontId="11" fillId="3" borderId="5" xfId="0" applyFont="1" applyFill="1" applyBorder="1"/>
    <xf numFmtId="0" fontId="11" fillId="3" borderId="6" xfId="0" applyFont="1" applyFill="1" applyBorder="1"/>
    <xf numFmtId="0" fontId="11" fillId="3" borderId="1" xfId="0" applyFont="1" applyFill="1" applyBorder="1"/>
    <xf numFmtId="0" fontId="11" fillId="3" borderId="7" xfId="0" applyFont="1" applyFill="1" applyBorder="1"/>
    <xf numFmtId="0" fontId="11" fillId="7" borderId="5" xfId="0" applyFont="1" applyFill="1" applyBorder="1"/>
    <xf numFmtId="0" fontId="5" fillId="0" borderId="4" xfId="0" applyFont="1" applyBorder="1"/>
    <xf numFmtId="0" fontId="5" fillId="0" borderId="3" xfId="0" applyFont="1" applyBorder="1"/>
    <xf numFmtId="0" fontId="5" fillId="0" borderId="2" xfId="0" applyFont="1" applyBorder="1"/>
    <xf numFmtId="0" fontId="5" fillId="0" borderId="0" xfId="0" applyFont="1"/>
    <xf numFmtId="0" fontId="30" fillId="0" borderId="0" xfId="0" applyFont="1"/>
    <xf numFmtId="0" fontId="5" fillId="2" borderId="7" xfId="0" applyFont="1" applyFill="1" applyBorder="1"/>
    <xf numFmtId="0" fontId="0" fillId="8" borderId="0" xfId="0" applyFill="1"/>
    <xf numFmtId="0" fontId="14" fillId="0" borderId="0" xfId="0" applyFont="1" applyAlignment="1">
      <alignment horizontal="left" vertical="center"/>
    </xf>
    <xf numFmtId="0" fontId="14" fillId="0" borderId="0" xfId="0" applyFont="1" applyAlignment="1">
      <alignment vertical="center"/>
    </xf>
    <xf numFmtId="0" fontId="0" fillId="0" borderId="0" xfId="0" applyAlignment="1">
      <alignment vertical="center"/>
    </xf>
    <xf numFmtId="0" fontId="17" fillId="0" borderId="0" xfId="0" applyFont="1" applyAlignment="1">
      <alignment vertical="center"/>
    </xf>
    <xf numFmtId="0" fontId="11" fillId="0" borderId="0" xfId="0" applyFont="1" applyAlignment="1">
      <alignment horizontal="left" vertical="center"/>
    </xf>
    <xf numFmtId="0" fontId="31" fillId="0" borderId="0" xfId="0" applyFont="1" applyAlignment="1">
      <alignment vertical="center"/>
    </xf>
    <xf numFmtId="0" fontId="11" fillId="0" borderId="0" xfId="0" applyFont="1" applyAlignment="1">
      <alignment vertical="center"/>
    </xf>
    <xf numFmtId="0" fontId="0" fillId="0" borderId="0" xfId="0" applyAlignment="1">
      <alignment horizontal="left" vertical="center"/>
    </xf>
    <xf numFmtId="0" fontId="29" fillId="0" borderId="0" xfId="0" applyFont="1" applyAlignment="1">
      <alignment horizontal="center" vertical="center" wrapText="1"/>
    </xf>
    <xf numFmtId="0" fontId="29" fillId="0" borderId="0" xfId="0" applyFont="1" applyAlignment="1">
      <alignment vertical="center"/>
    </xf>
    <xf numFmtId="0" fontId="29" fillId="0" borderId="0" xfId="0" applyFont="1" applyAlignment="1">
      <alignment horizontal="left" vertical="center"/>
    </xf>
    <xf numFmtId="9" fontId="33" fillId="0" borderId="0" xfId="3" applyFont="1" applyFill="1" applyBorder="1" applyAlignment="1" applyProtection="1">
      <alignment horizontal="center" vertical="center" wrapText="1"/>
    </xf>
    <xf numFmtId="3" fontId="33" fillId="0" borderId="0" xfId="0" applyNumberFormat="1" applyFont="1" applyAlignment="1">
      <alignment horizontal="center" vertical="center" wrapText="1"/>
    </xf>
    <xf numFmtId="9" fontId="33" fillId="0" borderId="0" xfId="3" applyFont="1" applyFill="1" applyBorder="1" applyAlignment="1" applyProtection="1">
      <alignment horizontal="center" vertical="center"/>
    </xf>
    <xf numFmtId="0" fontId="5" fillId="0" borderId="0" xfId="0" applyFont="1" applyAlignment="1">
      <alignment horizontal="center"/>
    </xf>
    <xf numFmtId="0" fontId="24" fillId="5" borderId="25" xfId="0" applyFont="1" applyFill="1" applyBorder="1" applyAlignment="1">
      <alignment horizontal="center" vertical="top"/>
    </xf>
    <xf numFmtId="0" fontId="24" fillId="5" borderId="17" xfId="0" applyFont="1" applyFill="1" applyBorder="1" applyAlignment="1">
      <alignment horizontal="center" vertical="top"/>
    </xf>
    <xf numFmtId="166" fontId="5" fillId="6" borderId="7" xfId="3" applyNumberFormat="1" applyFont="1" applyFill="1" applyBorder="1" applyAlignment="1" applyProtection="1">
      <alignment horizontal="center"/>
      <protection locked="0"/>
    </xf>
    <xf numFmtId="164" fontId="35" fillId="10" borderId="21" xfId="1" applyNumberFormat="1" applyFont="1" applyFill="1" applyBorder="1" applyAlignment="1" applyProtection="1">
      <alignment horizontal="center" vertical="center" wrapText="1"/>
    </xf>
    <xf numFmtId="0" fontId="14" fillId="8" borderId="0" xfId="0" applyFont="1" applyFill="1" applyAlignment="1">
      <alignment vertical="top" wrapText="1"/>
    </xf>
    <xf numFmtId="0" fontId="6" fillId="8" borderId="0" xfId="0" applyFont="1" applyFill="1"/>
    <xf numFmtId="0" fontId="35" fillId="10" borderId="18"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20" fillId="0" borderId="0" xfId="0" applyFont="1"/>
    <xf numFmtId="0" fontId="13" fillId="9" borderId="0" xfId="0" applyFont="1" applyFill="1"/>
    <xf numFmtId="0" fontId="14" fillId="9" borderId="0" xfId="0" applyFont="1" applyFill="1"/>
    <xf numFmtId="0" fontId="0" fillId="9" borderId="0" xfId="0" applyFill="1"/>
    <xf numFmtId="0" fontId="21" fillId="9" borderId="0" xfId="0" applyFont="1" applyFill="1"/>
    <xf numFmtId="0" fontId="17" fillId="9" borderId="0" xfId="0" applyFont="1" applyFill="1"/>
    <xf numFmtId="0" fontId="11" fillId="9" borderId="0" xfId="0" applyFont="1" applyFill="1" applyAlignment="1">
      <alignment wrapText="1"/>
    </xf>
    <xf numFmtId="0" fontId="5" fillId="9" borderId="0" xfId="0" applyFont="1" applyFill="1" applyAlignment="1">
      <alignment wrapText="1"/>
    </xf>
    <xf numFmtId="0" fontId="5" fillId="9" borderId="0" xfId="0" applyFont="1" applyFill="1"/>
    <xf numFmtId="0" fontId="14" fillId="9" borderId="0" xfId="0" applyFont="1" applyFill="1" applyAlignment="1">
      <alignment wrapText="1"/>
    </xf>
    <xf numFmtId="0" fontId="5" fillId="9" borderId="0" xfId="0" applyFont="1" applyFill="1" applyAlignment="1">
      <alignment horizontal="center"/>
    </xf>
    <xf numFmtId="0" fontId="5" fillId="9" borderId="0" xfId="0" applyFont="1" applyFill="1" applyAlignment="1">
      <alignment horizontal="center" wrapText="1"/>
    </xf>
    <xf numFmtId="0" fontId="47" fillId="0" borderId="0" xfId="0" applyFont="1" applyAlignment="1">
      <alignment vertical="center"/>
    </xf>
    <xf numFmtId="0" fontId="48" fillId="11" borderId="5" xfId="0" applyFont="1" applyFill="1" applyBorder="1" applyAlignment="1">
      <alignment horizontal="center" vertical="center" wrapText="1"/>
    </xf>
    <xf numFmtId="0" fontId="49" fillId="11" borderId="4" xfId="0" applyFont="1" applyFill="1" applyBorder="1" applyAlignment="1">
      <alignment horizontal="center" vertical="center"/>
    </xf>
    <xf numFmtId="0" fontId="49" fillId="0" borderId="5" xfId="0" applyFont="1" applyBorder="1" applyAlignment="1">
      <alignment horizontal="center" vertical="center"/>
    </xf>
    <xf numFmtId="0" fontId="5" fillId="8" borderId="0" xfId="0" applyFont="1" applyFill="1"/>
    <xf numFmtId="0" fontId="23" fillId="9" borderId="0" xfId="0" applyFont="1" applyFill="1"/>
    <xf numFmtId="0" fontId="47" fillId="9" borderId="0" xfId="11" applyFont="1" applyFill="1"/>
    <xf numFmtId="0" fontId="23" fillId="5" borderId="6" xfId="0" applyFont="1" applyFill="1" applyBorder="1" applyAlignment="1">
      <alignment horizontal="center" vertical="top" wrapText="1"/>
    </xf>
    <xf numFmtId="0" fontId="24" fillId="5" borderId="26" xfId="0" applyFont="1" applyFill="1" applyBorder="1" applyAlignment="1">
      <alignment horizontal="center" vertical="top"/>
    </xf>
    <xf numFmtId="3" fontId="23" fillId="5" borderId="5" xfId="0" applyNumberFormat="1" applyFont="1" applyFill="1" applyBorder="1" applyAlignment="1">
      <alignment horizontal="center" vertical="top"/>
    </xf>
    <xf numFmtId="0" fontId="14" fillId="9" borderId="0" xfId="0" applyFont="1" applyFill="1" applyAlignment="1">
      <alignment horizontal="right"/>
    </xf>
    <xf numFmtId="0" fontId="14" fillId="9" borderId="0" xfId="0" applyFont="1" applyFill="1" applyAlignment="1">
      <alignment horizontal="left"/>
    </xf>
    <xf numFmtId="0" fontId="34" fillId="0" borderId="0" xfId="0" applyFont="1"/>
    <xf numFmtId="3" fontId="23" fillId="5" borderId="12" xfId="0" applyNumberFormat="1" applyFont="1" applyFill="1" applyBorder="1" applyAlignment="1">
      <alignment horizontal="center" vertical="top"/>
    </xf>
    <xf numFmtId="0" fontId="24" fillId="5" borderId="43" xfId="0" applyFont="1" applyFill="1" applyBorder="1" applyAlignment="1">
      <alignment horizontal="center" vertical="top"/>
    </xf>
    <xf numFmtId="164" fontId="35" fillId="10" borderId="24" xfId="1" applyNumberFormat="1" applyFont="1" applyFill="1" applyBorder="1" applyAlignment="1" applyProtection="1">
      <alignment horizontal="center" vertical="center" wrapText="1"/>
    </xf>
    <xf numFmtId="49" fontId="12" fillId="0" borderId="0" xfId="0" applyNumberFormat="1" applyFont="1" applyAlignment="1">
      <alignment horizontal="left"/>
    </xf>
    <xf numFmtId="167" fontId="51" fillId="5" borderId="5" xfId="0" applyNumberFormat="1" applyFont="1" applyFill="1" applyBorder="1" applyAlignment="1">
      <alignment horizontal="center" vertical="center" wrapText="1"/>
    </xf>
    <xf numFmtId="0" fontId="16" fillId="0" borderId="0" xfId="0" applyFont="1"/>
    <xf numFmtId="0" fontId="16" fillId="0" borderId="0" xfId="0" applyFont="1" applyAlignment="1">
      <alignment vertical="top"/>
    </xf>
    <xf numFmtId="0" fontId="58" fillId="10" borderId="5" xfId="0" applyFont="1" applyFill="1" applyBorder="1" applyAlignment="1">
      <alignment horizontal="center" vertical="center" wrapText="1"/>
    </xf>
    <xf numFmtId="167" fontId="35" fillId="10" borderId="5" xfId="0" applyNumberFormat="1" applyFont="1" applyFill="1" applyBorder="1" applyAlignment="1">
      <alignment horizontal="center" vertical="center" wrapText="1"/>
    </xf>
    <xf numFmtId="167" fontId="54" fillId="5" borderId="5" xfId="0" applyNumberFormat="1" applyFont="1" applyFill="1" applyBorder="1" applyAlignment="1">
      <alignment horizontal="center" vertical="center" wrapText="1"/>
    </xf>
    <xf numFmtId="164" fontId="35" fillId="10" borderId="36" xfId="1" applyNumberFormat="1" applyFont="1" applyFill="1" applyBorder="1" applyAlignment="1" applyProtection="1">
      <alignment horizontal="center" vertical="center" wrapText="1"/>
    </xf>
    <xf numFmtId="164" fontId="35" fillId="10" borderId="20" xfId="1" applyNumberFormat="1" applyFont="1" applyFill="1" applyBorder="1" applyAlignment="1" applyProtection="1">
      <alignment horizontal="center" vertical="center" wrapText="1"/>
    </xf>
    <xf numFmtId="0" fontId="5" fillId="0" borderId="0" xfId="0" applyFont="1" applyAlignment="1">
      <alignment vertical="center"/>
    </xf>
    <xf numFmtId="0" fontId="5" fillId="2" borderId="8" xfId="0" applyFont="1" applyFill="1" applyBorder="1"/>
    <xf numFmtId="0" fontId="5" fillId="2" borderId="0" xfId="0" applyFont="1" applyFill="1"/>
    <xf numFmtId="0" fontId="5" fillId="2" borderId="9" xfId="0" applyFont="1" applyFill="1" applyBorder="1"/>
    <xf numFmtId="0" fontId="5" fillId="2" borderId="5" xfId="0" applyFont="1" applyFill="1" applyBorder="1"/>
    <xf numFmtId="0" fontId="5" fillId="2" borderId="6" xfId="0" applyFont="1" applyFill="1" applyBorder="1" applyAlignment="1">
      <alignment horizontal="left" indent="1"/>
    </xf>
    <xf numFmtId="0" fontId="5" fillId="0" borderId="8" xfId="0" applyFont="1" applyBorder="1" applyAlignment="1">
      <alignment horizontal="left" indent="2"/>
    </xf>
    <xf numFmtId="0" fontId="5" fillId="0" borderId="9" xfId="0" applyFont="1" applyBorder="1"/>
    <xf numFmtId="0" fontId="5" fillId="0" borderId="10" xfId="0" applyFont="1" applyBorder="1" applyAlignment="1">
      <alignment horizontal="left" indent="2"/>
    </xf>
    <xf numFmtId="0" fontId="5" fillId="0" borderId="11" xfId="0" applyFont="1" applyBorder="1"/>
    <xf numFmtId="164" fontId="23" fillId="5" borderId="5" xfId="1" applyNumberFormat="1" applyFont="1" applyFill="1" applyBorder="1" applyAlignment="1">
      <alignment horizontal="right" vertical="top"/>
    </xf>
    <xf numFmtId="164" fontId="23" fillId="5" borderId="6" xfId="1" applyNumberFormat="1" applyFont="1" applyFill="1" applyBorder="1" applyAlignment="1">
      <alignment horizontal="center" vertical="top"/>
    </xf>
    <xf numFmtId="0" fontId="23" fillId="5" borderId="7" xfId="0" applyFont="1" applyFill="1" applyBorder="1" applyAlignment="1">
      <alignment horizontal="center" vertical="top" wrapText="1"/>
    </xf>
    <xf numFmtId="0" fontId="23" fillId="5" borderId="38" xfId="0" applyFont="1" applyFill="1" applyBorder="1" applyAlignment="1">
      <alignment horizontal="center" vertical="top" wrapText="1"/>
    </xf>
    <xf numFmtId="0" fontId="23" fillId="5" borderId="5" xfId="0" applyFont="1" applyFill="1" applyBorder="1" applyAlignment="1">
      <alignment horizontal="center" vertical="top"/>
    </xf>
    <xf numFmtId="0" fontId="23" fillId="5" borderId="33" xfId="0" applyFont="1" applyFill="1" applyBorder="1" applyAlignment="1">
      <alignment horizontal="center" vertical="top" wrapText="1"/>
    </xf>
    <xf numFmtId="0" fontId="62" fillId="9" borderId="0" xfId="11" applyFont="1" applyFill="1"/>
    <xf numFmtId="0" fontId="63" fillId="9" borderId="0" xfId="0" applyFont="1" applyFill="1"/>
    <xf numFmtId="164" fontId="23" fillId="5" borderId="10" xfId="1" applyNumberFormat="1" applyFont="1" applyFill="1" applyBorder="1" applyAlignment="1">
      <alignment horizontal="center" vertical="top"/>
    </xf>
    <xf numFmtId="167" fontId="43" fillId="8" borderId="6" xfId="0" applyNumberFormat="1" applyFont="1" applyFill="1" applyBorder="1" applyAlignment="1">
      <alignment horizontal="center" vertical="center" wrapText="1"/>
    </xf>
    <xf numFmtId="167" fontId="55" fillId="5" borderId="6" xfId="0" applyNumberFormat="1" applyFont="1" applyFill="1" applyBorder="1" applyAlignment="1">
      <alignment horizontal="center" vertical="center" wrapText="1"/>
    </xf>
    <xf numFmtId="167" fontId="43" fillId="8" borderId="5" xfId="0" applyNumberFormat="1" applyFont="1" applyFill="1" applyBorder="1" applyAlignment="1">
      <alignment horizontal="center" vertical="center" wrapText="1"/>
    </xf>
    <xf numFmtId="167" fontId="35" fillId="10" borderId="6" xfId="0" applyNumberFormat="1" applyFont="1" applyFill="1" applyBorder="1" applyAlignment="1">
      <alignment horizontal="center" vertical="center" wrapText="1"/>
    </xf>
    <xf numFmtId="169" fontId="23" fillId="6" borderId="25" xfId="0" applyNumberFormat="1" applyFont="1" applyFill="1" applyBorder="1" applyAlignment="1" applyProtection="1">
      <alignment horizontal="right" vertical="center"/>
      <protection locked="0"/>
    </xf>
    <xf numFmtId="38" fontId="23" fillId="5" borderId="33" xfId="1" applyNumberFormat="1" applyFont="1" applyFill="1" applyBorder="1" applyAlignment="1">
      <alignment horizontal="center" vertical="top"/>
    </xf>
    <xf numFmtId="164" fontId="35" fillId="10" borderId="30" xfId="1" applyNumberFormat="1" applyFont="1" applyFill="1" applyBorder="1" applyAlignment="1" applyProtection="1">
      <alignment horizontal="center" vertical="center" wrapText="1"/>
    </xf>
    <xf numFmtId="0" fontId="23" fillId="0" borderId="44" xfId="1" applyNumberFormat="1" applyFont="1" applyFill="1" applyBorder="1" applyAlignment="1">
      <alignment horizontal="center" vertical="top"/>
    </xf>
    <xf numFmtId="43" fontId="0" fillId="0" borderId="0" xfId="0" applyNumberFormat="1"/>
    <xf numFmtId="167" fontId="53" fillId="0" borderId="5" xfId="0" applyNumberFormat="1" applyFont="1" applyBorder="1" applyAlignment="1">
      <alignment horizontal="center" vertical="center" wrapText="1"/>
    </xf>
    <xf numFmtId="167" fontId="59" fillId="0" borderId="5" xfId="0" applyNumberFormat="1" applyFont="1" applyBorder="1" applyAlignment="1">
      <alignment horizontal="center" vertical="center" wrapText="1"/>
    </xf>
    <xf numFmtId="167" fontId="43" fillId="0" borderId="5" xfId="0" applyNumberFormat="1" applyFont="1" applyBorder="1" applyAlignment="1">
      <alignment horizontal="center" vertical="center" wrapText="1"/>
    </xf>
    <xf numFmtId="170" fontId="49" fillId="11" borderId="2" xfId="3" applyNumberFormat="1" applyFont="1" applyFill="1" applyBorder="1" applyAlignment="1" applyProtection="1">
      <alignment horizontal="center" vertical="center" wrapText="1"/>
    </xf>
    <xf numFmtId="38" fontId="49" fillId="11" borderId="2" xfId="0" applyNumberFormat="1" applyFont="1" applyFill="1" applyBorder="1" applyAlignment="1">
      <alignment horizontal="center" vertical="center"/>
    </xf>
    <xf numFmtId="38" fontId="49" fillId="11" borderId="4" xfId="0" applyNumberFormat="1" applyFont="1" applyFill="1" applyBorder="1" applyAlignment="1">
      <alignment horizontal="center" vertical="center"/>
    </xf>
    <xf numFmtId="38" fontId="49" fillId="0" borderId="6" xfId="0" applyNumberFormat="1" applyFont="1" applyBorder="1" applyAlignment="1">
      <alignment horizontal="center" vertical="center" wrapText="1"/>
    </xf>
    <xf numFmtId="10" fontId="5" fillId="5" borderId="9" xfId="3" applyNumberFormat="1" applyFont="1" applyFill="1" applyBorder="1" applyAlignment="1" applyProtection="1">
      <alignment horizontal="center"/>
    </xf>
    <xf numFmtId="10" fontId="5" fillId="5" borderId="27" xfId="3" applyNumberFormat="1" applyFont="1" applyFill="1" applyBorder="1" applyAlignment="1" applyProtection="1">
      <alignment horizontal="center"/>
    </xf>
    <xf numFmtId="0" fontId="23" fillId="5" borderId="5" xfId="0" applyFont="1" applyFill="1" applyBorder="1" applyAlignment="1">
      <alignment horizontal="center" vertical="top" wrapText="1"/>
    </xf>
    <xf numFmtId="0" fontId="23" fillId="5" borderId="12" xfId="0" applyFont="1" applyFill="1" applyBorder="1" applyAlignment="1">
      <alignment horizontal="center" vertical="top" wrapText="1"/>
    </xf>
    <xf numFmtId="0" fontId="23" fillId="5" borderId="3" xfId="0" applyFont="1" applyFill="1" applyBorder="1" applyAlignment="1">
      <alignment horizontal="center" vertical="top" wrapText="1"/>
    </xf>
    <xf numFmtId="164" fontId="5" fillId="5" borderId="5" xfId="1" applyNumberFormat="1" applyFont="1" applyFill="1" applyBorder="1" applyAlignment="1" applyProtection="1">
      <alignment horizontal="center" vertical="center"/>
    </xf>
    <xf numFmtId="164" fontId="5" fillId="5" borderId="33" xfId="1" applyNumberFormat="1" applyFont="1" applyFill="1" applyBorder="1" applyAlignment="1" applyProtection="1">
      <alignment horizontal="center" vertical="center"/>
    </xf>
    <xf numFmtId="164" fontId="5" fillId="5" borderId="12" xfId="1" applyNumberFormat="1" applyFont="1" applyFill="1" applyBorder="1" applyAlignment="1" applyProtection="1">
      <alignment horizontal="center" vertical="center"/>
    </xf>
    <xf numFmtId="164" fontId="5" fillId="5" borderId="32" xfId="1" applyNumberFormat="1" applyFont="1" applyFill="1" applyBorder="1" applyAlignment="1" applyProtection="1">
      <alignment horizontal="center" vertical="center"/>
    </xf>
    <xf numFmtId="0" fontId="49" fillId="11" borderId="3" xfId="0" applyFont="1" applyFill="1" applyBorder="1" applyAlignment="1">
      <alignment horizontal="center" vertical="center"/>
    </xf>
    <xf numFmtId="38" fontId="49" fillId="11" borderId="3" xfId="0" applyNumberFormat="1" applyFont="1" applyFill="1" applyBorder="1" applyAlignment="1">
      <alignment horizontal="center" vertical="center"/>
    </xf>
    <xf numFmtId="0" fontId="49" fillId="11" borderId="5" xfId="3" applyNumberFormat="1" applyFont="1" applyFill="1" applyBorder="1" applyAlignment="1" applyProtection="1">
      <alignment horizontal="center" vertical="center" wrapText="1"/>
    </xf>
    <xf numFmtId="0" fontId="23" fillId="5" borderId="44" xfId="0" applyFont="1" applyFill="1" applyBorder="1" applyAlignment="1">
      <alignment horizontal="center" vertical="top" wrapText="1"/>
    </xf>
    <xf numFmtId="0" fontId="36" fillId="8" borderId="12" xfId="0" applyFont="1" applyFill="1" applyBorder="1" applyAlignment="1">
      <alignment horizontal="center" vertical="center" wrapText="1"/>
    </xf>
    <xf numFmtId="3" fontId="36" fillId="8" borderId="5" xfId="1" applyNumberFormat="1" applyFont="1" applyFill="1" applyBorder="1" applyAlignment="1" applyProtection="1">
      <alignment horizontal="center" vertical="center" wrapText="1"/>
    </xf>
    <xf numFmtId="38" fontId="5" fillId="6" borderId="5" xfId="0" applyNumberFormat="1" applyFont="1" applyFill="1" applyBorder="1" applyProtection="1">
      <protection locked="0"/>
    </xf>
    <xf numFmtId="38" fontId="5" fillId="6" borderId="12" xfId="0" applyNumberFormat="1" applyFont="1" applyFill="1" applyBorder="1" applyProtection="1">
      <protection locked="0"/>
    </xf>
    <xf numFmtId="10" fontId="5" fillId="6" borderId="7" xfId="3" applyNumberFormat="1" applyFont="1" applyFill="1" applyBorder="1" applyAlignment="1" applyProtection="1">
      <alignment horizontal="center" vertical="center"/>
      <protection locked="0"/>
    </xf>
    <xf numFmtId="10" fontId="5" fillId="6" borderId="11" xfId="3" applyNumberFormat="1" applyFont="1" applyFill="1" applyBorder="1" applyAlignment="1" applyProtection="1">
      <alignment horizontal="center" vertical="center"/>
      <protection locked="0"/>
    </xf>
    <xf numFmtId="37" fontId="23" fillId="6" borderId="7" xfId="1" applyNumberFormat="1" applyFont="1" applyFill="1" applyBorder="1" applyAlignment="1" applyProtection="1">
      <alignment vertical="center"/>
      <protection locked="0"/>
    </xf>
    <xf numFmtId="0" fontId="23" fillId="6" borderId="25" xfId="0" applyFont="1" applyFill="1" applyBorder="1" applyAlignment="1" applyProtection="1">
      <alignment horizontal="left" vertical="center"/>
      <protection locked="0"/>
    </xf>
    <xf numFmtId="37" fontId="23" fillId="6" borderId="27" xfId="1" applyNumberFormat="1" applyFont="1" applyFill="1" applyBorder="1" applyAlignment="1" applyProtection="1">
      <alignment vertical="center"/>
      <protection locked="0"/>
    </xf>
    <xf numFmtId="37" fontId="23" fillId="6" borderId="38" xfId="1" applyNumberFormat="1" applyFont="1" applyFill="1" applyBorder="1" applyAlignment="1" applyProtection="1">
      <alignment vertical="center"/>
      <protection locked="0"/>
    </xf>
    <xf numFmtId="0" fontId="23" fillId="9" borderId="33" xfId="1" applyNumberFormat="1" applyFont="1" applyFill="1" applyBorder="1" applyAlignment="1">
      <alignment horizontal="center"/>
    </xf>
    <xf numFmtId="38" fontId="5" fillId="6" borderId="7" xfId="0" applyNumberFormat="1" applyFont="1" applyFill="1" applyBorder="1" applyProtection="1">
      <protection locked="0"/>
    </xf>
    <xf numFmtId="166" fontId="5" fillId="6" borderId="5" xfId="3" applyNumberFormat="1" applyFont="1" applyFill="1" applyBorder="1" applyProtection="1">
      <protection locked="0"/>
    </xf>
    <xf numFmtId="166" fontId="5" fillId="6" borderId="33" xfId="3" applyNumberFormat="1" applyFont="1" applyFill="1" applyBorder="1" applyProtection="1">
      <protection locked="0"/>
    </xf>
    <xf numFmtId="38" fontId="5" fillId="6" borderId="27" xfId="0" applyNumberFormat="1" applyFont="1" applyFill="1" applyBorder="1" applyProtection="1">
      <protection locked="0"/>
    </xf>
    <xf numFmtId="38" fontId="5" fillId="6" borderId="2" xfId="0" applyNumberFormat="1" applyFont="1" applyFill="1" applyBorder="1" applyProtection="1">
      <protection locked="0"/>
    </xf>
    <xf numFmtId="166" fontId="5" fillId="6" borderId="2" xfId="3" applyNumberFormat="1" applyFont="1" applyFill="1" applyBorder="1" applyProtection="1">
      <protection locked="0"/>
    </xf>
    <xf numFmtId="166" fontId="5" fillId="6" borderId="28" xfId="3" applyNumberFormat="1" applyFont="1" applyFill="1" applyBorder="1" applyProtection="1">
      <protection locked="0"/>
    </xf>
    <xf numFmtId="38" fontId="5" fillId="6" borderId="38" xfId="0" applyNumberFormat="1" applyFont="1" applyFill="1" applyBorder="1" applyProtection="1">
      <protection locked="0"/>
    </xf>
    <xf numFmtId="166" fontId="5" fillId="6" borderId="12" xfId="3" applyNumberFormat="1" applyFont="1" applyFill="1" applyBorder="1" applyProtection="1">
      <protection locked="0"/>
    </xf>
    <xf numFmtId="166" fontId="5" fillId="6" borderId="32" xfId="3" applyNumberFormat="1" applyFont="1" applyFill="1" applyBorder="1" applyProtection="1">
      <protection locked="0"/>
    </xf>
    <xf numFmtId="1" fontId="5" fillId="5" borderId="7" xfId="3" applyNumberFormat="1" applyFont="1" applyFill="1" applyBorder="1" applyAlignment="1" applyProtection="1">
      <alignment horizontal="center"/>
    </xf>
    <xf numFmtId="165" fontId="5" fillId="5" borderId="7" xfId="3" applyNumberFormat="1" applyFont="1" applyFill="1" applyBorder="1" applyAlignment="1" applyProtection="1">
      <alignment horizontal="center"/>
    </xf>
    <xf numFmtId="9" fontId="5" fillId="5" borderId="7" xfId="3" applyFont="1" applyFill="1" applyBorder="1" applyAlignment="1" applyProtection="1">
      <alignment horizontal="center"/>
    </xf>
    <xf numFmtId="0" fontId="36" fillId="8" borderId="3" xfId="0" applyFont="1" applyFill="1" applyBorder="1" applyAlignment="1">
      <alignment horizontal="center" vertical="center" wrapText="1"/>
    </xf>
    <xf numFmtId="0" fontId="36" fillId="8" borderId="44" xfId="0" applyFont="1" applyFill="1" applyBorder="1" applyAlignment="1">
      <alignment horizontal="center" vertical="center" wrapText="1"/>
    </xf>
    <xf numFmtId="3" fontId="36" fillId="8" borderId="25" xfId="0" applyNumberFormat="1" applyFont="1" applyFill="1" applyBorder="1" applyAlignment="1">
      <alignment horizontal="center" vertical="center" wrapText="1"/>
    </xf>
    <xf numFmtId="0" fontId="36" fillId="8" borderId="5" xfId="0" applyFont="1" applyFill="1" applyBorder="1" applyAlignment="1">
      <alignment horizontal="center" vertical="center" wrapText="1"/>
    </xf>
    <xf numFmtId="0" fontId="36" fillId="8" borderId="33" xfId="0" applyFont="1" applyFill="1" applyBorder="1" applyAlignment="1">
      <alignment horizontal="center" vertical="center" wrapText="1"/>
    </xf>
    <xf numFmtId="0" fontId="36" fillId="8" borderId="32" xfId="0" applyFont="1" applyFill="1" applyBorder="1" applyAlignment="1">
      <alignment horizontal="center" vertical="center" wrapText="1"/>
    </xf>
    <xf numFmtId="3" fontId="36" fillId="8" borderId="17" xfId="0" applyNumberFormat="1" applyFont="1" applyFill="1" applyBorder="1" applyAlignment="1">
      <alignment horizontal="center" vertical="center" wrapText="1"/>
    </xf>
    <xf numFmtId="3" fontId="36" fillId="8" borderId="12" xfId="1" applyNumberFormat="1" applyFont="1" applyFill="1" applyBorder="1" applyAlignment="1" applyProtection="1">
      <alignment horizontal="center" vertical="center" wrapText="1"/>
    </xf>
    <xf numFmtId="0" fontId="36" fillId="8" borderId="45" xfId="0" applyFont="1" applyFill="1" applyBorder="1" applyAlignment="1">
      <alignment horizontal="center" vertical="center" wrapText="1"/>
    </xf>
    <xf numFmtId="3" fontId="36" fillId="8" borderId="32" xfId="1" applyNumberFormat="1" applyFont="1" applyFill="1" applyBorder="1" applyAlignment="1" applyProtection="1">
      <alignment horizontal="center" vertical="center" wrapText="1"/>
    </xf>
    <xf numFmtId="0" fontId="23" fillId="6" borderId="17" xfId="0" applyFont="1" applyFill="1" applyBorder="1" applyAlignment="1" applyProtection="1">
      <alignment horizontal="left" vertical="center"/>
      <protection locked="0"/>
    </xf>
    <xf numFmtId="164" fontId="23" fillId="5" borderId="12" xfId="1" applyNumberFormat="1" applyFont="1" applyFill="1" applyBorder="1" applyAlignment="1">
      <alignment horizontal="right" vertical="top"/>
    </xf>
    <xf numFmtId="164" fontId="23" fillId="5" borderId="34" xfId="1" applyNumberFormat="1" applyFont="1" applyFill="1" applyBorder="1" applyAlignment="1">
      <alignment horizontal="center" vertical="top"/>
    </xf>
    <xf numFmtId="38" fontId="23" fillId="5" borderId="32" xfId="1" applyNumberFormat="1" applyFont="1" applyFill="1" applyBorder="1" applyAlignment="1">
      <alignment horizontal="center" vertical="top"/>
    </xf>
    <xf numFmtId="169" fontId="23" fillId="6" borderId="17" xfId="0" applyNumberFormat="1" applyFont="1" applyFill="1" applyBorder="1" applyAlignment="1" applyProtection="1">
      <alignment horizontal="right" vertical="center"/>
      <protection locked="0"/>
    </xf>
    <xf numFmtId="0" fontId="13" fillId="0" borderId="0" xfId="0" applyFont="1" applyAlignment="1">
      <alignment vertical="center"/>
    </xf>
    <xf numFmtId="0" fontId="13" fillId="0" borderId="0" xfId="0" applyFont="1" applyAlignment="1">
      <alignment horizontal="left" vertical="center"/>
    </xf>
    <xf numFmtId="0" fontId="24" fillId="0" borderId="35" xfId="0" applyFont="1" applyBorder="1" applyAlignment="1">
      <alignment horizontal="center" vertical="center"/>
    </xf>
    <xf numFmtId="0" fontId="23" fillId="0" borderId="35" xfId="0" applyFont="1" applyBorder="1" applyAlignment="1">
      <alignment horizontal="center" vertical="center" wrapText="1"/>
    </xf>
    <xf numFmtId="3" fontId="23" fillId="0" borderId="35" xfId="0" applyNumberFormat="1" applyFont="1" applyBorder="1" applyAlignment="1">
      <alignment horizontal="center" vertical="center"/>
    </xf>
    <xf numFmtId="0" fontId="5" fillId="0" borderId="35" xfId="0" applyFont="1" applyBorder="1"/>
    <xf numFmtId="0" fontId="22" fillId="0" borderId="35" xfId="0" applyFont="1" applyBorder="1" applyAlignment="1">
      <alignment horizontal="right" vertical="center"/>
    </xf>
    <xf numFmtId="0" fontId="29" fillId="0" borderId="35" xfId="0" applyFont="1" applyBorder="1" applyAlignment="1">
      <alignment vertical="center"/>
    </xf>
    <xf numFmtId="0" fontId="29" fillId="0" borderId="35" xfId="0" applyFont="1" applyBorder="1" applyAlignment="1">
      <alignment horizontal="left" vertical="center"/>
    </xf>
    <xf numFmtId="3" fontId="22" fillId="5" borderId="24" xfId="1" applyNumberFormat="1" applyFont="1" applyFill="1" applyBorder="1" applyAlignment="1" applyProtection="1">
      <alignment horizontal="center" vertical="center" wrapText="1"/>
    </xf>
    <xf numFmtId="3" fontId="22" fillId="5" borderId="20" xfId="1" applyNumberFormat="1" applyFont="1" applyFill="1" applyBorder="1" applyAlignment="1" applyProtection="1">
      <alignment horizontal="center" vertical="center" wrapText="1"/>
    </xf>
    <xf numFmtId="3" fontId="22" fillId="5" borderId="23" xfId="1" applyNumberFormat="1" applyFont="1" applyFill="1" applyBorder="1" applyAlignment="1" applyProtection="1">
      <alignment horizontal="center" vertical="center" wrapText="1"/>
    </xf>
    <xf numFmtId="0" fontId="0" fillId="0" borderId="35" xfId="0" applyBorder="1" applyAlignment="1">
      <alignment vertical="center"/>
    </xf>
    <xf numFmtId="3" fontId="22" fillId="0" borderId="35" xfId="1" applyNumberFormat="1" applyFont="1" applyFill="1" applyBorder="1" applyAlignment="1" applyProtection="1">
      <alignment horizontal="center" vertical="center" wrapText="1"/>
    </xf>
    <xf numFmtId="164" fontId="11" fillId="5" borderId="19" xfId="1" applyNumberFormat="1" applyFont="1" applyFill="1" applyBorder="1" applyAlignment="1" applyProtection="1">
      <alignment horizontal="center"/>
    </xf>
    <xf numFmtId="164" fontId="11" fillId="5" borderId="20" xfId="1" applyNumberFormat="1" applyFont="1" applyFill="1" applyBorder="1" applyAlignment="1" applyProtection="1">
      <alignment horizontal="center"/>
    </xf>
    <xf numFmtId="164" fontId="11" fillId="5" borderId="21" xfId="1" applyNumberFormat="1" applyFont="1" applyFill="1" applyBorder="1" applyAlignment="1" applyProtection="1">
      <alignment horizontal="center"/>
    </xf>
    <xf numFmtId="38" fontId="11" fillId="5" borderId="24" xfId="1" applyNumberFormat="1" applyFont="1" applyFill="1" applyBorder="1" applyAlignment="1" applyProtection="1">
      <alignment horizontal="center"/>
    </xf>
    <xf numFmtId="38" fontId="11" fillId="5" borderId="20" xfId="1" applyNumberFormat="1" applyFont="1" applyFill="1" applyBorder="1" applyAlignment="1" applyProtection="1">
      <alignment horizontal="center"/>
    </xf>
    <xf numFmtId="10" fontId="11" fillId="5" borderId="21" xfId="3" applyNumberFormat="1" applyFont="1" applyFill="1" applyBorder="1" applyAlignment="1" applyProtection="1">
      <alignment horizontal="center"/>
    </xf>
    <xf numFmtId="164" fontId="11" fillId="0" borderId="24" xfId="1" applyNumberFormat="1" applyFont="1" applyBorder="1" applyAlignment="1">
      <alignment horizontal="right"/>
    </xf>
    <xf numFmtId="164" fontId="5" fillId="0" borderId="30" xfId="1" applyNumberFormat="1" applyFont="1" applyBorder="1" applyAlignment="1">
      <alignment horizontal="right"/>
    </xf>
    <xf numFmtId="164" fontId="5" fillId="0" borderId="21" xfId="1" applyNumberFormat="1" applyFont="1" applyBorder="1" applyAlignment="1">
      <alignment horizontal="right"/>
    </xf>
    <xf numFmtId="169" fontId="11" fillId="0" borderId="24" xfId="0" applyNumberFormat="1" applyFont="1" applyBorder="1" applyAlignment="1">
      <alignment horizontal="right"/>
    </xf>
    <xf numFmtId="6" fontId="22" fillId="0" borderId="20" xfId="0" applyNumberFormat="1" applyFont="1" applyBorder="1"/>
    <xf numFmtId="169" fontId="22" fillId="0" borderId="20" xfId="0" applyNumberFormat="1" applyFont="1" applyBorder="1"/>
    <xf numFmtId="169" fontId="22" fillId="0" borderId="21" xfId="0" applyNumberFormat="1" applyFont="1" applyBorder="1"/>
    <xf numFmtId="6" fontId="22" fillId="0" borderId="24" xfId="0" applyNumberFormat="1" applyFont="1" applyBorder="1"/>
    <xf numFmtId="6" fontId="22" fillId="0" borderId="30" xfId="0" applyNumberFormat="1" applyFont="1" applyBorder="1"/>
    <xf numFmtId="6" fontId="22" fillId="0" borderId="21" xfId="0" applyNumberFormat="1" applyFont="1" applyBorder="1"/>
    <xf numFmtId="6" fontId="22" fillId="0" borderId="36" xfId="0" applyNumberFormat="1" applyFont="1" applyBorder="1"/>
    <xf numFmtId="0" fontId="0" fillId="9" borderId="35" xfId="0" applyFill="1" applyBorder="1"/>
    <xf numFmtId="0" fontId="25" fillId="0" borderId="35" xfId="0" applyFont="1" applyBorder="1" applyAlignment="1">
      <alignment horizontal="left" vertical="top"/>
    </xf>
    <xf numFmtId="0" fontId="64" fillId="0" borderId="0" xfId="0" applyFont="1" applyAlignment="1">
      <alignment horizontal="center"/>
    </xf>
    <xf numFmtId="3" fontId="2" fillId="8" borderId="25" xfId="1" applyNumberFormat="1" applyFont="1" applyFill="1" applyBorder="1" applyAlignment="1" applyProtection="1">
      <alignment horizontal="center" vertical="center" wrapText="1"/>
    </xf>
    <xf numFmtId="0" fontId="2" fillId="0" borderId="0" xfId="0" applyFont="1" applyAlignment="1">
      <alignment horizontal="left"/>
    </xf>
    <xf numFmtId="8" fontId="22" fillId="0" borderId="20" xfId="0" applyNumberFormat="1" applyFont="1" applyBorder="1"/>
    <xf numFmtId="38" fontId="22" fillId="0" borderId="20" xfId="0" applyNumberFormat="1" applyFont="1" applyBorder="1"/>
    <xf numFmtId="169" fontId="23" fillId="6" borderId="25" xfId="0" applyNumberFormat="1" applyFont="1" applyFill="1" applyBorder="1" applyAlignment="1">
      <alignment horizontal="right" vertical="center"/>
    </xf>
    <xf numFmtId="0" fontId="34" fillId="9" borderId="0" xfId="0" applyFont="1" applyFill="1" applyAlignment="1">
      <alignment vertical="center"/>
    </xf>
    <xf numFmtId="0" fontId="13" fillId="5" borderId="0" xfId="0" applyFont="1" applyFill="1" applyAlignment="1">
      <alignment horizontal="left" vertical="center"/>
    </xf>
    <xf numFmtId="0" fontId="66" fillId="0" borderId="0" xfId="0" applyFont="1" applyAlignment="1">
      <alignment vertical="center"/>
    </xf>
    <xf numFmtId="0" fontId="67" fillId="0" borderId="0" xfId="0" applyFont="1" applyAlignment="1">
      <alignment vertical="center"/>
    </xf>
    <xf numFmtId="0" fontId="68" fillId="9" borderId="0" xfId="0" applyFont="1" applyFill="1"/>
    <xf numFmtId="0" fontId="57" fillId="9" borderId="0" xfId="0" applyFont="1" applyFill="1"/>
    <xf numFmtId="0" fontId="2" fillId="0" borderId="0" xfId="0" applyFont="1"/>
    <xf numFmtId="6" fontId="49" fillId="12" borderId="5" xfId="0" applyNumberFormat="1" applyFont="1" applyFill="1" applyBorder="1" applyAlignment="1" applyProtection="1">
      <alignment horizontal="right" vertical="center"/>
      <protection locked="0"/>
    </xf>
    <xf numFmtId="0" fontId="49" fillId="11" borderId="29" xfId="0" applyFont="1" applyFill="1" applyBorder="1" applyAlignment="1">
      <alignment horizontal="center" vertical="center"/>
    </xf>
    <xf numFmtId="6" fontId="49" fillId="12" borderId="15" xfId="0" applyNumberFormat="1" applyFont="1" applyFill="1" applyBorder="1" applyAlignment="1" applyProtection="1">
      <alignment horizontal="right" vertical="center"/>
      <protection locked="0"/>
    </xf>
    <xf numFmtId="0" fontId="49" fillId="11" borderId="53" xfId="0" applyFont="1" applyFill="1" applyBorder="1" applyAlignment="1">
      <alignment horizontal="center" vertical="center"/>
    </xf>
    <xf numFmtId="0" fontId="49" fillId="11" borderId="31" xfId="0" applyFont="1" applyFill="1" applyBorder="1" applyAlignment="1">
      <alignment horizontal="center" vertical="center"/>
    </xf>
    <xf numFmtId="6" fontId="49" fillId="12" borderId="12" xfId="0" applyNumberFormat="1" applyFont="1" applyFill="1" applyBorder="1" applyAlignment="1" applyProtection="1">
      <alignment horizontal="right" vertical="center"/>
      <protection locked="0"/>
    </xf>
    <xf numFmtId="0" fontId="48" fillId="11" borderId="14" xfId="0" applyFont="1" applyFill="1" applyBorder="1" applyAlignment="1">
      <alignment horizontal="center" vertical="center" wrapText="1"/>
    </xf>
    <xf numFmtId="0" fontId="48" fillId="11" borderId="25" xfId="0" applyFont="1" applyFill="1" applyBorder="1" applyAlignment="1">
      <alignment horizontal="center" vertical="center" wrapText="1"/>
    </xf>
    <xf numFmtId="0" fontId="48" fillId="11" borderId="17" xfId="0" applyFont="1" applyFill="1" applyBorder="1" applyAlignment="1">
      <alignment horizontal="center" vertical="center" wrapText="1"/>
    </xf>
    <xf numFmtId="170" fontId="49" fillId="11" borderId="12" xfId="3" applyNumberFormat="1" applyFont="1" applyFill="1" applyBorder="1" applyAlignment="1" applyProtection="1">
      <alignment horizontal="center" vertical="center" wrapText="1"/>
    </xf>
    <xf numFmtId="0" fontId="0" fillId="9" borderId="47" xfId="0" applyFill="1" applyBorder="1"/>
    <xf numFmtId="0" fontId="21" fillId="0" borderId="0" xfId="0" applyFont="1" applyAlignment="1">
      <alignment vertical="center"/>
    </xf>
    <xf numFmtId="3" fontId="36" fillId="8" borderId="55" xfId="1" applyNumberFormat="1" applyFont="1" applyFill="1" applyBorder="1" applyAlignment="1" applyProtection="1">
      <alignment horizontal="center" vertical="center" wrapText="1"/>
    </xf>
    <xf numFmtId="3" fontId="36" fillId="8" borderId="33" xfId="1" applyNumberFormat="1" applyFont="1" applyFill="1" applyBorder="1" applyAlignment="1" applyProtection="1">
      <alignment horizontal="center" vertical="center" wrapText="1"/>
    </xf>
    <xf numFmtId="0" fontId="23" fillId="5" borderId="25" xfId="0" applyFont="1" applyFill="1" applyBorder="1" applyAlignment="1">
      <alignment horizontal="left" vertical="center"/>
    </xf>
    <xf numFmtId="0" fontId="23" fillId="5" borderId="26" xfId="0" applyFont="1" applyFill="1" applyBorder="1" applyAlignment="1">
      <alignment horizontal="left" vertical="center"/>
    </xf>
    <xf numFmtId="168" fontId="2" fillId="0" borderId="11" xfId="0" applyNumberFormat="1" applyFont="1" applyBorder="1" applyAlignment="1">
      <alignment horizontal="right"/>
    </xf>
    <xf numFmtId="167" fontId="2" fillId="0" borderId="3" xfId="0" applyNumberFormat="1" applyFont="1" applyBorder="1" applyAlignment="1">
      <alignment horizontal="right"/>
    </xf>
    <xf numFmtId="168" fontId="2" fillId="0" borderId="3" xfId="0" applyNumberFormat="1" applyFont="1" applyBorder="1" applyAlignment="1">
      <alignment horizontal="right"/>
    </xf>
    <xf numFmtId="167" fontId="2" fillId="0" borderId="10" xfId="0" applyNumberFormat="1" applyFont="1" applyBorder="1" applyAlignment="1">
      <alignment horizontal="right"/>
    </xf>
    <xf numFmtId="168" fontId="2" fillId="0" borderId="43" xfId="0" applyNumberFormat="1" applyFont="1" applyBorder="1" applyAlignment="1">
      <alignment horizontal="right"/>
    </xf>
    <xf numFmtId="167" fontId="2" fillId="0" borderId="44" xfId="0" applyNumberFormat="1" applyFont="1" applyBorder="1" applyAlignment="1">
      <alignment horizontal="right"/>
    </xf>
    <xf numFmtId="168" fontId="2" fillId="0" borderId="7" xfId="0" applyNumberFormat="1" applyFont="1" applyBorder="1" applyAlignment="1">
      <alignment horizontal="right"/>
    </xf>
    <xf numFmtId="167" fontId="2" fillId="0" borderId="5" xfId="0" applyNumberFormat="1" applyFont="1" applyBorder="1" applyAlignment="1">
      <alignment horizontal="right"/>
    </xf>
    <xf numFmtId="168" fontId="2" fillId="0" borderId="5" xfId="0" applyNumberFormat="1" applyFont="1" applyBorder="1" applyAlignment="1">
      <alignment horizontal="right"/>
    </xf>
    <xf numFmtId="167" fontId="2" fillId="0" borderId="6" xfId="0" applyNumberFormat="1" applyFont="1" applyBorder="1" applyAlignment="1">
      <alignment horizontal="right"/>
    </xf>
    <xf numFmtId="168" fontId="2" fillId="0" borderId="25" xfId="0" applyNumberFormat="1" applyFont="1" applyBorder="1" applyAlignment="1">
      <alignment horizontal="right"/>
    </xf>
    <xf numFmtId="167" fontId="2" fillId="0" borderId="33" xfId="0" applyNumberFormat="1" applyFont="1" applyBorder="1" applyAlignment="1">
      <alignment horizontal="right"/>
    </xf>
    <xf numFmtId="3" fontId="2" fillId="8" borderId="3" xfId="1" applyNumberFormat="1" applyFont="1" applyFill="1" applyBorder="1" applyAlignment="1" applyProtection="1">
      <alignment horizontal="center" vertical="center" wrapText="1"/>
    </xf>
    <xf numFmtId="0" fontId="2" fillId="0" borderId="0" xfId="0" applyFont="1" applyAlignment="1">
      <alignment vertical="center"/>
    </xf>
    <xf numFmtId="0" fontId="2" fillId="0" borderId="0" xfId="0" applyFont="1" applyAlignment="1">
      <alignment vertical="center" wrapText="1"/>
    </xf>
    <xf numFmtId="0" fontId="68" fillId="0" borderId="0" xfId="0" applyFont="1" applyAlignment="1">
      <alignment vertical="center"/>
    </xf>
    <xf numFmtId="0" fontId="57" fillId="0" borderId="0" xfId="0" applyFont="1" applyAlignment="1">
      <alignment vertical="center"/>
    </xf>
    <xf numFmtId="0" fontId="35" fillId="10" borderId="14" xfId="0" applyFont="1" applyFill="1" applyBorder="1" applyAlignment="1">
      <alignment vertical="center"/>
    </xf>
    <xf numFmtId="0" fontId="35" fillId="10" borderId="25" xfId="0" applyFont="1" applyFill="1" applyBorder="1" applyAlignment="1">
      <alignment vertical="center"/>
    </xf>
    <xf numFmtId="0" fontId="35" fillId="10" borderId="17" xfId="0" applyFont="1" applyFill="1" applyBorder="1" applyAlignment="1">
      <alignment vertical="center"/>
    </xf>
    <xf numFmtId="0" fontId="2" fillId="0" borderId="17" xfId="0" applyFont="1" applyBorder="1" applyAlignment="1">
      <alignment vertical="center"/>
    </xf>
    <xf numFmtId="38" fontId="2" fillId="0" borderId="12" xfId="0" applyNumberFormat="1" applyFont="1" applyBorder="1" applyAlignment="1">
      <alignment horizontal="right" vertical="center"/>
    </xf>
    <xf numFmtId="0" fontId="2" fillId="0" borderId="32" xfId="0" applyFont="1" applyBorder="1" applyAlignment="1">
      <alignment vertical="center"/>
    </xf>
    <xf numFmtId="0" fontId="2" fillId="0" borderId="43" xfId="0" applyFont="1" applyBorder="1" applyAlignment="1">
      <alignment vertical="center"/>
    </xf>
    <xf numFmtId="0" fontId="2" fillId="0" borderId="25" xfId="0" applyFont="1" applyBorder="1" applyAlignment="1">
      <alignment vertical="center"/>
    </xf>
    <xf numFmtId="3" fontId="2" fillId="0" borderId="25" xfId="0" applyNumberFormat="1" applyFont="1" applyBorder="1" applyAlignment="1">
      <alignment horizontal="right" vertical="center"/>
    </xf>
    <xf numFmtId="6" fontId="2" fillId="0" borderId="33" xfId="0" applyNumberFormat="1" applyFont="1" applyBorder="1" applyAlignment="1">
      <alignment horizontal="right" vertical="center"/>
    </xf>
    <xf numFmtId="0" fontId="2" fillId="0" borderId="25" xfId="0" applyFont="1" applyBorder="1" applyAlignment="1">
      <alignment horizontal="right" vertical="center"/>
    </xf>
    <xf numFmtId="0" fontId="2" fillId="0" borderId="14" xfId="0" applyFont="1" applyBorder="1" applyAlignment="1">
      <alignment vertical="center"/>
    </xf>
    <xf numFmtId="169" fontId="2" fillId="0" borderId="15" xfId="0" applyNumberFormat="1" applyFont="1" applyBorder="1" applyAlignment="1">
      <alignment horizontal="right" vertical="center"/>
    </xf>
    <xf numFmtId="0" fontId="2" fillId="0" borderId="16" xfId="0" applyFont="1" applyBorder="1" applyAlignment="1">
      <alignment vertical="center"/>
    </xf>
    <xf numFmtId="6" fontId="2" fillId="0" borderId="5" xfId="0" applyNumberFormat="1" applyFont="1" applyBorder="1" applyAlignment="1">
      <alignment horizontal="right" vertical="center"/>
    </xf>
    <xf numFmtId="0" fontId="2" fillId="0" borderId="33" xfId="0" applyFont="1" applyBorder="1" applyAlignment="1">
      <alignment vertical="center"/>
    </xf>
    <xf numFmtId="169" fontId="2" fillId="0" borderId="5" xfId="0" applyNumberFormat="1" applyFont="1" applyBorder="1" applyAlignment="1">
      <alignment horizontal="right" vertical="center"/>
    </xf>
    <xf numFmtId="169" fontId="2" fillId="0" borderId="12" xfId="0" applyNumberFormat="1" applyFont="1" applyBorder="1" applyAlignment="1">
      <alignment horizontal="right" vertical="center"/>
    </xf>
    <xf numFmtId="3" fontId="2" fillId="0" borderId="17" xfId="0" applyNumberFormat="1" applyFont="1" applyBorder="1" applyAlignment="1">
      <alignment horizontal="right" vertical="center"/>
    </xf>
    <xf numFmtId="6" fontId="2" fillId="0" borderId="32" xfId="0" applyNumberFormat="1" applyFont="1" applyBorder="1" applyAlignment="1">
      <alignment horizontal="right" vertical="center"/>
    </xf>
    <xf numFmtId="38" fontId="2" fillId="0" borderId="0" xfId="0" applyNumberFormat="1" applyFont="1" applyAlignment="1">
      <alignment vertical="center"/>
    </xf>
    <xf numFmtId="0" fontId="2" fillId="0" borderId="17" xfId="0" applyFont="1" applyBorder="1" applyAlignment="1">
      <alignment horizontal="right" vertical="center"/>
    </xf>
    <xf numFmtId="3" fontId="2" fillId="0" borderId="0" xfId="0" applyNumberFormat="1" applyFont="1" applyAlignment="1">
      <alignment horizontal="right" vertical="center"/>
    </xf>
    <xf numFmtId="0" fontId="2" fillId="0" borderId="0" xfId="0" applyFont="1" applyAlignment="1">
      <alignment horizontal="right" vertical="center"/>
    </xf>
    <xf numFmtId="6" fontId="2" fillId="0" borderId="0" xfId="0" applyNumberFormat="1" applyFont="1" applyAlignment="1">
      <alignment horizontal="right" vertical="center"/>
    </xf>
    <xf numFmtId="0" fontId="2" fillId="0" borderId="24" xfId="0" applyFont="1" applyBorder="1" applyAlignment="1">
      <alignment vertical="center"/>
    </xf>
    <xf numFmtId="38" fontId="2" fillId="0" borderId="20" xfId="0" applyNumberFormat="1" applyFont="1" applyBorder="1" applyAlignment="1">
      <alignment horizontal="right" vertical="center"/>
    </xf>
    <xf numFmtId="0" fontId="2" fillId="0" borderId="21" xfId="0" applyFont="1" applyBorder="1" applyAlignment="1">
      <alignment vertical="center"/>
    </xf>
    <xf numFmtId="171" fontId="2" fillId="0" borderId="0" xfId="0" applyNumberFormat="1" applyFont="1" applyAlignment="1">
      <alignment vertical="center"/>
    </xf>
    <xf numFmtId="166" fontId="2" fillId="0" borderId="20" xfId="3" applyNumberFormat="1" applyFont="1" applyBorder="1" applyAlignment="1">
      <alignment horizontal="right" vertical="center"/>
    </xf>
    <xf numFmtId="38" fontId="2" fillId="0" borderId="15" xfId="0" applyNumberFormat="1" applyFont="1" applyBorder="1" applyAlignment="1">
      <alignment horizontal="right" vertical="center"/>
    </xf>
    <xf numFmtId="0" fontId="49" fillId="11" borderId="2" xfId="3" applyNumberFormat="1" applyFont="1" applyFill="1" applyBorder="1" applyAlignment="1" applyProtection="1">
      <alignment horizontal="center" vertical="center" wrapText="1"/>
    </xf>
    <xf numFmtId="170" fontId="49" fillId="11" borderId="5" xfId="3" applyNumberFormat="1" applyFont="1" applyFill="1" applyBorder="1" applyAlignment="1" applyProtection="1">
      <alignment horizontal="center" vertical="center" wrapText="1"/>
    </xf>
    <xf numFmtId="0" fontId="49" fillId="11" borderId="15" xfId="3" applyNumberFormat="1" applyFont="1" applyFill="1" applyBorder="1" applyAlignment="1" applyProtection="1">
      <alignment horizontal="center" vertical="center" wrapText="1"/>
    </xf>
    <xf numFmtId="0" fontId="35" fillId="13" borderId="25" xfId="0" applyFont="1" applyFill="1" applyBorder="1" applyAlignment="1">
      <alignment horizontal="center" vertical="center" wrapText="1"/>
    </xf>
    <xf numFmtId="0" fontId="35" fillId="13" borderId="5" xfId="0" applyFont="1" applyFill="1" applyBorder="1" applyAlignment="1">
      <alignment horizontal="center" vertical="center" wrapText="1"/>
    </xf>
    <xf numFmtId="0" fontId="35" fillId="13" borderId="33" xfId="0" applyFont="1" applyFill="1" applyBorder="1" applyAlignment="1">
      <alignment horizontal="center" vertical="center" wrapText="1"/>
    </xf>
    <xf numFmtId="166" fontId="49" fillId="11" borderId="2" xfId="3" applyNumberFormat="1" applyFont="1" applyFill="1" applyBorder="1" applyAlignment="1" applyProtection="1">
      <alignment horizontal="center" vertical="center" wrapText="1"/>
    </xf>
    <xf numFmtId="38" fontId="2" fillId="0" borderId="5" xfId="0" applyNumberFormat="1" applyFont="1" applyBorder="1" applyAlignment="1">
      <alignment horizontal="right" vertical="center"/>
    </xf>
    <xf numFmtId="171" fontId="2" fillId="0" borderId="33" xfId="0" applyNumberFormat="1" applyFont="1" applyBorder="1" applyAlignment="1">
      <alignment horizontal="right" vertical="center"/>
    </xf>
    <xf numFmtId="171" fontId="2" fillId="0" borderId="32" xfId="0" applyNumberFormat="1" applyFont="1" applyBorder="1" applyAlignment="1">
      <alignment horizontal="right" vertical="center"/>
    </xf>
    <xf numFmtId="38" fontId="2" fillId="0" borderId="3" xfId="0" applyNumberFormat="1" applyFont="1" applyBorder="1" applyAlignment="1">
      <alignment horizontal="right" vertical="center"/>
    </xf>
    <xf numFmtId="171" fontId="2" fillId="0" borderId="44" xfId="0" applyNumberFormat="1" applyFont="1" applyBorder="1" applyAlignment="1">
      <alignment horizontal="right" vertical="center"/>
    </xf>
    <xf numFmtId="38" fontId="2" fillId="0" borderId="33" xfId="0" applyNumberFormat="1" applyFont="1" applyBorder="1" applyAlignment="1">
      <alignment horizontal="right" vertical="center"/>
    </xf>
    <xf numFmtId="38" fontId="2" fillId="0" borderId="32" xfId="0" applyNumberFormat="1" applyFont="1" applyBorder="1" applyAlignment="1">
      <alignment horizontal="right" vertical="center"/>
    </xf>
    <xf numFmtId="6" fontId="2" fillId="0" borderId="12" xfId="0" applyNumberFormat="1" applyFont="1" applyBorder="1" applyAlignment="1">
      <alignment horizontal="right" vertical="center"/>
    </xf>
    <xf numFmtId="0" fontId="22" fillId="0" borderId="0" xfId="0" applyFont="1" applyAlignment="1">
      <alignment vertical="center"/>
    </xf>
    <xf numFmtId="166" fontId="2" fillId="0" borderId="12" xfId="3" applyNumberFormat="1" applyFont="1" applyBorder="1" applyAlignment="1">
      <alignment horizontal="right" vertical="center"/>
    </xf>
    <xf numFmtId="6" fontId="2" fillId="0" borderId="3" xfId="0" applyNumberFormat="1" applyFont="1" applyBorder="1" applyAlignment="1">
      <alignment horizontal="right" vertical="center"/>
    </xf>
    <xf numFmtId="0" fontId="2" fillId="0" borderId="44" xfId="0" applyFont="1" applyBorder="1" applyAlignment="1">
      <alignment vertical="center"/>
    </xf>
    <xf numFmtId="165" fontId="5" fillId="6" borderId="7" xfId="3" applyNumberFormat="1" applyFont="1" applyFill="1" applyBorder="1" applyAlignment="1" applyProtection="1">
      <alignment horizontal="center"/>
      <protection locked="0"/>
    </xf>
    <xf numFmtId="38" fontId="36" fillId="5" borderId="25" xfId="0" applyNumberFormat="1" applyFont="1" applyFill="1" applyBorder="1" applyAlignment="1">
      <alignment horizontal="right"/>
    </xf>
    <xf numFmtId="38" fontId="36" fillId="5" borderId="17" xfId="0" applyNumberFormat="1" applyFont="1" applyFill="1" applyBorder="1" applyAlignment="1">
      <alignment horizontal="right"/>
    </xf>
    <xf numFmtId="38" fontId="22" fillId="0" borderId="24" xfId="0" applyNumberFormat="1" applyFont="1" applyBorder="1"/>
    <xf numFmtId="3" fontId="2" fillId="8" borderId="5" xfId="1" applyNumberFormat="1" applyFont="1" applyFill="1" applyBorder="1" applyAlignment="1" applyProtection="1">
      <alignment horizontal="center" vertical="center" wrapText="1"/>
    </xf>
    <xf numFmtId="3" fontId="36" fillId="8" borderId="34" xfId="1" applyNumberFormat="1" applyFont="1" applyFill="1" applyBorder="1" applyAlignment="1" applyProtection="1">
      <alignment horizontal="center" vertical="center" wrapText="1"/>
    </xf>
    <xf numFmtId="38" fontId="49" fillId="0" borderId="5" xfId="0" applyNumberFormat="1" applyFont="1" applyBorder="1" applyAlignment="1">
      <alignment horizontal="center" vertical="center" wrapText="1"/>
    </xf>
    <xf numFmtId="3" fontId="33" fillId="0" borderId="0" xfId="1" applyNumberFormat="1" applyFont="1" applyFill="1" applyBorder="1" applyAlignment="1" applyProtection="1">
      <alignment horizontal="center" vertical="center" wrapText="1"/>
    </xf>
    <xf numFmtId="0" fontId="35" fillId="10" borderId="30"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35" fillId="10" borderId="36" xfId="0" applyFont="1" applyFill="1" applyBorder="1" applyAlignment="1">
      <alignment horizontal="center" vertical="center" wrapText="1"/>
    </xf>
    <xf numFmtId="0" fontId="52" fillId="0" borderId="7" xfId="0" applyFont="1" applyBorder="1" applyAlignment="1">
      <alignment horizontal="left" vertical="center" wrapText="1"/>
    </xf>
    <xf numFmtId="0" fontId="35" fillId="10" borderId="7" xfId="0" applyFont="1" applyFill="1" applyBorder="1" applyAlignment="1">
      <alignment horizontal="left" vertical="center"/>
    </xf>
    <xf numFmtId="0" fontId="50" fillId="5" borderId="7" xfId="0" applyFont="1" applyFill="1" applyBorder="1" applyAlignment="1">
      <alignment horizontal="left" vertical="center" wrapText="1"/>
    </xf>
    <xf numFmtId="0" fontId="38" fillId="9" borderId="0" xfId="0" applyFont="1" applyFill="1" applyAlignment="1">
      <alignment horizontal="left"/>
    </xf>
    <xf numFmtId="0" fontId="35" fillId="10" borderId="20"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xf>
    <xf numFmtId="0" fontId="35" fillId="10" borderId="24"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5" fillId="0" borderId="3" xfId="0" applyFont="1" applyBorder="1" applyAlignment="1">
      <alignment horizontal="left"/>
    </xf>
    <xf numFmtId="0" fontId="5" fillId="0" borderId="5" xfId="0" applyFont="1" applyBorder="1" applyAlignment="1">
      <alignment horizontal="left"/>
    </xf>
    <xf numFmtId="0" fontId="5" fillId="0" borderId="12" xfId="0" applyFont="1" applyBorder="1" applyAlignment="1">
      <alignment horizontal="left"/>
    </xf>
    <xf numFmtId="0" fontId="35" fillId="10" borderId="14"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16" xfId="0" applyFont="1" applyFill="1" applyBorder="1" applyAlignment="1">
      <alignment horizontal="center" vertical="center" wrapText="1"/>
    </xf>
    <xf numFmtId="0" fontId="35" fillId="10" borderId="25"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5" fillId="10" borderId="33" xfId="0" applyFont="1" applyFill="1" applyBorder="1" applyAlignment="1">
      <alignment horizontal="center" vertical="center" wrapText="1"/>
    </xf>
    <xf numFmtId="0" fontId="2" fillId="8" borderId="43" xfId="0" applyFont="1" applyFill="1" applyBorder="1" applyAlignment="1">
      <alignment horizontal="center" vertical="center" wrapText="1"/>
    </xf>
    <xf numFmtId="0" fontId="2" fillId="8" borderId="3" xfId="0" applyFont="1" applyFill="1" applyBorder="1" applyAlignment="1">
      <alignment horizontal="left" vertical="center" wrapText="1"/>
    </xf>
    <xf numFmtId="0" fontId="2" fillId="8" borderId="3" xfId="0" applyFont="1" applyFill="1" applyBorder="1" applyAlignment="1">
      <alignment horizontal="center" vertical="center" wrapText="1"/>
    </xf>
    <xf numFmtId="0" fontId="2" fillId="8" borderId="3" xfId="0" applyFont="1" applyFill="1" applyBorder="1" applyAlignment="1">
      <alignment horizontal="left" vertical="center"/>
    </xf>
    <xf numFmtId="0" fontId="2" fillId="8" borderId="3" xfId="0" applyFont="1" applyFill="1" applyBorder="1" applyAlignment="1">
      <alignment horizontal="center" vertical="center"/>
    </xf>
    <xf numFmtId="3" fontId="2" fillId="8" borderId="5" xfId="1" applyNumberFormat="1" applyFont="1" applyFill="1" applyBorder="1" applyAlignment="1" applyProtection="1">
      <alignment horizontal="left" vertical="center" wrapText="1"/>
    </xf>
    <xf numFmtId="3" fontId="2" fillId="8" borderId="1" xfId="1" applyNumberFormat="1" applyFont="1" applyFill="1" applyBorder="1" applyAlignment="1" applyProtection="1">
      <alignment horizontal="left" vertical="center" wrapText="1"/>
    </xf>
    <xf numFmtId="3" fontId="2" fillId="8" borderId="37" xfId="1" applyNumberFormat="1" applyFont="1" applyFill="1" applyBorder="1" applyAlignment="1" applyProtection="1">
      <alignment horizontal="center" vertical="center" wrapText="1"/>
    </xf>
    <xf numFmtId="3" fontId="2" fillId="8" borderId="6" xfId="1" applyNumberFormat="1" applyFont="1" applyFill="1" applyBorder="1" applyAlignment="1" applyProtection="1">
      <alignment horizontal="center" vertical="center" wrapText="1"/>
    </xf>
    <xf numFmtId="3" fontId="2" fillId="8" borderId="33" xfId="1" applyNumberFormat="1" applyFont="1" applyFill="1" applyBorder="1" applyAlignment="1" applyProtection="1">
      <alignment horizontal="center" vertical="center" wrapText="1"/>
    </xf>
    <xf numFmtId="0" fontId="2" fillId="8" borderId="25" xfId="0" applyFont="1" applyFill="1" applyBorder="1" applyAlignment="1">
      <alignment horizontal="center" vertical="center" wrapText="1"/>
    </xf>
    <xf numFmtId="0" fontId="2" fillId="8" borderId="5" xfId="0" applyFont="1" applyFill="1" applyBorder="1" applyAlignment="1">
      <alignment horizontal="left" vertical="center" wrapText="1"/>
    </xf>
    <xf numFmtId="0" fontId="2" fillId="8" borderId="5" xfId="0" applyFont="1" applyFill="1" applyBorder="1" applyAlignment="1">
      <alignment horizontal="center" vertical="center" wrapText="1"/>
    </xf>
    <xf numFmtId="0" fontId="2" fillId="8" borderId="5" xfId="0" applyFont="1" applyFill="1" applyBorder="1" applyAlignment="1">
      <alignment horizontal="left" vertical="center"/>
    </xf>
    <xf numFmtId="0" fontId="2" fillId="8" borderId="5" xfId="0" applyFont="1" applyFill="1" applyBorder="1" applyAlignment="1">
      <alignment horizontal="center" vertical="center"/>
    </xf>
    <xf numFmtId="3" fontId="2" fillId="8" borderId="6" xfId="1" applyNumberFormat="1" applyFont="1" applyFill="1" applyBorder="1" applyAlignment="1" applyProtection="1">
      <alignment horizontal="left" vertical="center" wrapText="1"/>
    </xf>
    <xf numFmtId="0" fontId="2" fillId="8" borderId="17" xfId="0" applyFont="1" applyFill="1" applyBorder="1" applyAlignment="1">
      <alignment horizontal="center" vertical="center" wrapText="1"/>
    </xf>
    <xf numFmtId="0" fontId="2" fillId="8" borderId="12" xfId="0" applyFont="1" applyFill="1" applyBorder="1" applyAlignment="1">
      <alignment horizontal="left" vertical="center" wrapText="1"/>
    </xf>
    <xf numFmtId="0" fontId="2" fillId="8" borderId="12" xfId="0" applyFont="1" applyFill="1" applyBorder="1" applyAlignment="1">
      <alignment horizontal="center" vertical="center" wrapText="1"/>
    </xf>
    <xf numFmtId="0" fontId="2" fillId="8" borderId="12" xfId="0" applyFont="1" applyFill="1" applyBorder="1" applyAlignment="1">
      <alignment horizontal="left" vertical="center"/>
    </xf>
    <xf numFmtId="0" fontId="2" fillId="8" borderId="12" xfId="0" applyFont="1" applyFill="1" applyBorder="1" applyAlignment="1">
      <alignment horizontal="center" vertical="center"/>
    </xf>
    <xf numFmtId="1" fontId="2" fillId="8" borderId="12" xfId="0" applyNumberFormat="1" applyFont="1" applyFill="1" applyBorder="1" applyAlignment="1">
      <alignment horizontal="center" vertical="center" wrapText="1"/>
    </xf>
    <xf numFmtId="3" fontId="2" fillId="8" borderId="17" xfId="1" applyNumberFormat="1" applyFont="1" applyFill="1" applyBorder="1" applyAlignment="1" applyProtection="1">
      <alignment horizontal="center" vertical="center" wrapText="1"/>
    </xf>
    <xf numFmtId="3" fontId="2" fillId="8" borderId="12" xfId="1" applyNumberFormat="1" applyFont="1" applyFill="1" applyBorder="1" applyAlignment="1" applyProtection="1">
      <alignment horizontal="center" vertical="center" wrapText="1"/>
    </xf>
    <xf numFmtId="3" fontId="2" fillId="8" borderId="12" xfId="1" applyNumberFormat="1" applyFont="1" applyFill="1" applyBorder="1" applyAlignment="1" applyProtection="1">
      <alignment horizontal="left" vertical="center" wrapText="1"/>
    </xf>
    <xf numFmtId="3" fontId="2" fillId="8" borderId="34" xfId="1" applyNumberFormat="1" applyFont="1" applyFill="1" applyBorder="1" applyAlignment="1" applyProtection="1">
      <alignment horizontal="left" vertical="center" wrapText="1"/>
    </xf>
    <xf numFmtId="3" fontId="2" fillId="8" borderId="41" xfId="1" applyNumberFormat="1" applyFont="1" applyFill="1" applyBorder="1" applyAlignment="1" applyProtection="1">
      <alignment horizontal="center" vertical="center" wrapText="1"/>
    </xf>
    <xf numFmtId="3" fontId="2" fillId="8" borderId="45" xfId="1" applyNumberFormat="1" applyFont="1" applyFill="1" applyBorder="1" applyAlignment="1" applyProtection="1">
      <alignment horizontal="center" vertical="center" wrapText="1"/>
    </xf>
    <xf numFmtId="169" fontId="2" fillId="6" borderId="5" xfId="0" applyNumberFormat="1" applyFont="1" applyFill="1" applyBorder="1" applyProtection="1">
      <protection locked="0"/>
    </xf>
    <xf numFmtId="169" fontId="2" fillId="6" borderId="33" xfId="0" applyNumberFormat="1" applyFont="1" applyFill="1" applyBorder="1" applyProtection="1">
      <protection locked="0"/>
    </xf>
    <xf numFmtId="6" fontId="2" fillId="6" borderId="25" xfId="0" applyNumberFormat="1" applyFont="1" applyFill="1" applyBorder="1"/>
    <xf numFmtId="6" fontId="2" fillId="6" borderId="6" xfId="0" applyNumberFormat="1" applyFont="1" applyFill="1" applyBorder="1"/>
    <xf numFmtId="6" fontId="2" fillId="5" borderId="7" xfId="0" applyNumberFormat="1" applyFont="1" applyFill="1" applyBorder="1" applyAlignment="1">
      <alignment horizontal="right"/>
    </xf>
    <xf numFmtId="0" fontId="2" fillId="5" borderId="5" xfId="0" applyFont="1" applyFill="1" applyBorder="1"/>
    <xf numFmtId="38" fontId="2" fillId="5" borderId="5" xfId="0" applyNumberFormat="1" applyFont="1" applyFill="1" applyBorder="1"/>
    <xf numFmtId="6" fontId="2" fillId="5" borderId="7" xfId="0" applyNumberFormat="1" applyFont="1" applyFill="1" applyBorder="1"/>
    <xf numFmtId="6" fontId="2" fillId="5" borderId="5" xfId="0" applyNumberFormat="1" applyFont="1" applyFill="1" applyBorder="1"/>
    <xf numFmtId="6" fontId="2" fillId="5" borderId="6" xfId="0" applyNumberFormat="1" applyFont="1" applyFill="1" applyBorder="1"/>
    <xf numFmtId="6" fontId="2" fillId="5" borderId="33" xfId="0" applyNumberFormat="1" applyFont="1" applyFill="1" applyBorder="1"/>
    <xf numFmtId="169" fontId="2" fillId="6" borderId="5" xfId="0" applyNumberFormat="1" applyFont="1" applyFill="1" applyBorder="1"/>
    <xf numFmtId="169" fontId="2" fillId="6" borderId="33" xfId="0" applyNumberFormat="1" applyFont="1" applyFill="1" applyBorder="1"/>
    <xf numFmtId="6" fontId="2" fillId="6" borderId="25" xfId="0" applyNumberFormat="1" applyFont="1" applyFill="1" applyBorder="1" applyProtection="1">
      <protection locked="0"/>
    </xf>
    <xf numFmtId="6" fontId="2" fillId="6" borderId="6" xfId="0" applyNumberFormat="1" applyFont="1" applyFill="1" applyBorder="1" applyProtection="1">
      <protection locked="0"/>
    </xf>
    <xf numFmtId="169" fontId="2" fillId="6" borderId="12" xfId="0" applyNumberFormat="1" applyFont="1" applyFill="1" applyBorder="1" applyProtection="1">
      <protection locked="0"/>
    </xf>
    <xf numFmtId="169" fontId="2" fillId="6" borderId="32" xfId="0" applyNumberFormat="1" applyFont="1" applyFill="1" applyBorder="1" applyProtection="1">
      <protection locked="0"/>
    </xf>
    <xf numFmtId="6" fontId="2" fillId="6" borderId="17" xfId="0" applyNumberFormat="1" applyFont="1" applyFill="1" applyBorder="1"/>
    <xf numFmtId="6" fontId="2" fillId="6" borderId="34" xfId="0" applyNumberFormat="1" applyFont="1" applyFill="1" applyBorder="1"/>
    <xf numFmtId="6" fontId="2" fillId="5" borderId="38" xfId="0" applyNumberFormat="1" applyFont="1" applyFill="1" applyBorder="1" applyAlignment="1">
      <alignment horizontal="right"/>
    </xf>
    <xf numFmtId="0" fontId="2" fillId="5" borderId="12" xfId="0" applyFont="1" applyFill="1" applyBorder="1"/>
    <xf numFmtId="38" fontId="2" fillId="5" borderId="12" xfId="0" applyNumberFormat="1" applyFont="1" applyFill="1" applyBorder="1"/>
    <xf numFmtId="6" fontId="2" fillId="5" borderId="38" xfId="0" applyNumberFormat="1" applyFont="1" applyFill="1" applyBorder="1"/>
    <xf numFmtId="6" fontId="2" fillId="5" borderId="12" xfId="0" applyNumberFormat="1" applyFont="1" applyFill="1" applyBorder="1"/>
    <xf numFmtId="6" fontId="2" fillId="5" borderId="34" xfId="0" applyNumberFormat="1" applyFont="1" applyFill="1" applyBorder="1"/>
    <xf numFmtId="6" fontId="2" fillId="5" borderId="32" xfId="0" applyNumberFormat="1" applyFont="1" applyFill="1" applyBorder="1"/>
    <xf numFmtId="38" fontId="2" fillId="5" borderId="25" xfId="0" applyNumberFormat="1" applyFont="1" applyFill="1" applyBorder="1" applyAlignment="1">
      <alignment horizontal="right"/>
    </xf>
    <xf numFmtId="38" fontId="2" fillId="5" borderId="17" xfId="0" applyNumberFormat="1" applyFont="1" applyFill="1" applyBorder="1" applyAlignment="1">
      <alignment horizontal="right"/>
    </xf>
    <xf numFmtId="164" fontId="2" fillId="9" borderId="11" xfId="1" applyNumberFormat="1" applyFont="1" applyFill="1" applyBorder="1"/>
    <xf numFmtId="164" fontId="2" fillId="9" borderId="10" xfId="1" applyNumberFormat="1" applyFont="1" applyFill="1" applyBorder="1"/>
    <xf numFmtId="164" fontId="2" fillId="9" borderId="7" xfId="1" applyNumberFormat="1" applyFont="1" applyFill="1" applyBorder="1"/>
    <xf numFmtId="164" fontId="2" fillId="9" borderId="6" xfId="1" applyNumberFormat="1" applyFont="1" applyFill="1" applyBorder="1"/>
    <xf numFmtId="0" fontId="2" fillId="9" borderId="33" xfId="1" applyNumberFormat="1" applyFont="1" applyFill="1" applyBorder="1" applyAlignment="1">
      <alignment horizontal="center"/>
    </xf>
    <xf numFmtId="164" fontId="2" fillId="5" borderId="24" xfId="1" applyNumberFormat="1" applyFont="1" applyFill="1" applyBorder="1"/>
    <xf numFmtId="164" fontId="2" fillId="5" borderId="22" xfId="1" applyNumberFormat="1" applyFont="1" applyFill="1" applyBorder="1"/>
    <xf numFmtId="164" fontId="2" fillId="5" borderId="21" xfId="1" applyNumberFormat="1" applyFont="1" applyFill="1" applyBorder="1"/>
    <xf numFmtId="168" fontId="2" fillId="5" borderId="36" xfId="0" applyNumberFormat="1" applyFont="1" applyFill="1" applyBorder="1"/>
    <xf numFmtId="168" fontId="2" fillId="5" borderId="20" xfId="0" applyNumberFormat="1" applyFont="1" applyFill="1" applyBorder="1"/>
    <xf numFmtId="167" fontId="2" fillId="5" borderId="20" xfId="0" applyNumberFormat="1" applyFont="1" applyFill="1" applyBorder="1"/>
    <xf numFmtId="167" fontId="2" fillId="5" borderId="30" xfId="0" applyNumberFormat="1" applyFont="1" applyFill="1" applyBorder="1"/>
    <xf numFmtId="168" fontId="2" fillId="5" borderId="24" xfId="0" applyNumberFormat="1" applyFont="1" applyFill="1" applyBorder="1"/>
    <xf numFmtId="167" fontId="2" fillId="5" borderId="21" xfId="0" applyNumberFormat="1" applyFont="1" applyFill="1" applyBorder="1"/>
    <xf numFmtId="0" fontId="2" fillId="9" borderId="0" xfId="0" applyFont="1" applyFill="1"/>
    <xf numFmtId="10" fontId="2" fillId="9" borderId="44" xfId="0" applyNumberFormat="1" applyFont="1" applyFill="1" applyBorder="1"/>
    <xf numFmtId="10" fontId="2" fillId="9" borderId="33" xfId="0" applyNumberFormat="1" applyFont="1" applyFill="1" applyBorder="1"/>
    <xf numFmtId="166" fontId="2" fillId="9" borderId="33" xfId="0" applyNumberFormat="1" applyFont="1" applyFill="1" applyBorder="1"/>
    <xf numFmtId="1" fontId="2" fillId="9" borderId="33" xfId="0" applyNumberFormat="1" applyFont="1" applyFill="1" applyBorder="1"/>
    <xf numFmtId="165" fontId="2" fillId="9" borderId="33" xfId="0" applyNumberFormat="1" applyFont="1" applyFill="1" applyBorder="1"/>
    <xf numFmtId="9" fontId="2" fillId="9" borderId="33" xfId="3" applyFont="1" applyFill="1" applyBorder="1"/>
    <xf numFmtId="9" fontId="2" fillId="9" borderId="32" xfId="3" applyFont="1" applyFill="1" applyBorder="1"/>
    <xf numFmtId="9" fontId="2" fillId="9" borderId="0" xfId="3" applyFont="1" applyFill="1" applyBorder="1"/>
    <xf numFmtId="0" fontId="65" fillId="12" borderId="13" xfId="0" applyFont="1" applyFill="1" applyBorder="1" applyAlignment="1" applyProtection="1">
      <alignment horizontal="left" vertical="center"/>
      <protection locked="0"/>
    </xf>
    <xf numFmtId="3" fontId="33" fillId="0" borderId="0" xfId="1" applyNumberFormat="1" applyFont="1" applyFill="1" applyBorder="1" applyAlignment="1" applyProtection="1">
      <alignment horizontal="center" vertical="center" wrapText="1"/>
    </xf>
    <xf numFmtId="0" fontId="35" fillId="10" borderId="30"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4" fillId="8" borderId="0" xfId="0" applyFont="1" applyFill="1" applyAlignment="1">
      <alignment horizontal="left" vertical="top" wrapText="1"/>
    </xf>
    <xf numFmtId="0" fontId="13" fillId="5" borderId="13" xfId="0" applyFont="1" applyFill="1" applyBorder="1" applyAlignment="1">
      <alignment horizontal="left" vertical="center"/>
    </xf>
    <xf numFmtId="0" fontId="40" fillId="10" borderId="6" xfId="0" applyFont="1" applyFill="1" applyBorder="1" applyAlignment="1">
      <alignment horizontal="center" vertical="center"/>
    </xf>
    <xf numFmtId="0" fontId="40" fillId="10" borderId="1" xfId="0" applyFont="1" applyFill="1" applyBorder="1" applyAlignment="1">
      <alignment horizontal="center" vertical="center"/>
    </xf>
    <xf numFmtId="0" fontId="40" fillId="10" borderId="7" xfId="0" applyFont="1" applyFill="1" applyBorder="1" applyAlignment="1">
      <alignment horizontal="center" vertical="center"/>
    </xf>
    <xf numFmtId="0" fontId="2" fillId="5" borderId="6"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7" xfId="0" applyFont="1" applyFill="1" applyBorder="1" applyAlignment="1">
      <alignment horizontal="left" vertical="center" wrapText="1"/>
    </xf>
    <xf numFmtId="0" fontId="35" fillId="10" borderId="36" xfId="0" applyFont="1" applyFill="1" applyBorder="1" applyAlignment="1">
      <alignment horizontal="center" vertical="center" wrapText="1"/>
    </xf>
    <xf numFmtId="0" fontId="61" fillId="10" borderId="19" xfId="0" applyFont="1" applyFill="1" applyBorder="1" applyAlignment="1">
      <alignment horizontal="center" vertical="center"/>
    </xf>
    <xf numFmtId="0" fontId="61" fillId="10" borderId="22" xfId="0" applyFont="1" applyFill="1" applyBorder="1" applyAlignment="1">
      <alignment horizontal="center" vertical="center"/>
    </xf>
    <xf numFmtId="0" fontId="61" fillId="10" borderId="23" xfId="0" applyFont="1" applyFill="1" applyBorder="1" applyAlignment="1">
      <alignment horizontal="center" vertical="center"/>
    </xf>
    <xf numFmtId="0" fontId="23" fillId="5" borderId="34" xfId="0" applyFont="1" applyFill="1" applyBorder="1" applyAlignment="1">
      <alignment horizontal="left" vertical="top" wrapText="1"/>
    </xf>
    <xf numFmtId="0" fontId="23" fillId="5" borderId="38" xfId="0" applyFont="1" applyFill="1" applyBorder="1" applyAlignment="1">
      <alignment horizontal="left" vertical="top" wrapText="1"/>
    </xf>
    <xf numFmtId="0" fontId="23" fillId="5" borderId="6" xfId="0" applyFont="1" applyFill="1" applyBorder="1" applyAlignment="1">
      <alignment horizontal="left" vertical="top" wrapText="1"/>
    </xf>
    <xf numFmtId="0" fontId="23" fillId="5" borderId="7" xfId="0" applyFont="1" applyFill="1" applyBorder="1" applyAlignment="1">
      <alignment horizontal="left" vertical="top" wrapText="1"/>
    </xf>
    <xf numFmtId="0" fontId="5" fillId="0" borderId="6" xfId="0" applyFont="1" applyBorder="1" applyAlignment="1">
      <alignment horizontal="left"/>
    </xf>
    <xf numFmtId="0" fontId="5" fillId="0" borderId="1" xfId="0" applyFont="1" applyBorder="1" applyAlignment="1">
      <alignment horizontal="left"/>
    </xf>
    <xf numFmtId="0" fontId="5" fillId="0" borderId="7" xfId="0" applyFont="1" applyBorder="1" applyAlignment="1">
      <alignment horizontal="left"/>
    </xf>
    <xf numFmtId="0" fontId="14" fillId="8" borderId="0" xfId="0" applyFont="1" applyFill="1" applyAlignment="1">
      <alignment horizontal="left" vertical="top" wrapText="1"/>
    </xf>
    <xf numFmtId="0" fontId="13" fillId="5" borderId="13" xfId="0" applyFont="1" applyFill="1" applyBorder="1" applyAlignment="1">
      <alignment horizontal="left"/>
    </xf>
    <xf numFmtId="0" fontId="52" fillId="0" borderId="6" xfId="0" applyFont="1" applyBorder="1" applyAlignment="1">
      <alignment horizontal="left" vertical="center" wrapText="1"/>
    </xf>
    <xf numFmtId="0" fontId="52" fillId="0" borderId="1" xfId="0" applyFont="1" applyBorder="1" applyAlignment="1">
      <alignment horizontal="left" vertical="center" wrapText="1"/>
    </xf>
    <xf numFmtId="0" fontId="52" fillId="0" borderId="7" xfId="0" applyFont="1" applyBorder="1" applyAlignment="1">
      <alignment horizontal="left" vertical="center" wrapText="1"/>
    </xf>
    <xf numFmtId="0" fontId="16" fillId="0" borderId="5" xfId="0" applyFont="1" applyBorder="1" applyAlignment="1">
      <alignment horizontal="left" vertical="center" wrapText="1"/>
    </xf>
    <xf numFmtId="0" fontId="16" fillId="0" borderId="5" xfId="0" applyFont="1" applyBorder="1" applyAlignment="1">
      <alignment horizontal="left" vertical="top" wrapText="1"/>
    </xf>
    <xf numFmtId="0" fontId="48" fillId="0" borderId="5" xfId="0" applyFont="1" applyBorder="1" applyAlignment="1">
      <alignment horizontal="left" vertical="center" wrapText="1"/>
    </xf>
    <xf numFmtId="0" fontId="23" fillId="5" borderId="6" xfId="0" applyFont="1" applyFill="1" applyBorder="1" applyAlignment="1">
      <alignment vertical="top"/>
    </xf>
    <xf numFmtId="0" fontId="23" fillId="5" borderId="7" xfId="0" applyFont="1" applyFill="1" applyBorder="1" applyAlignment="1">
      <alignment vertical="top"/>
    </xf>
    <xf numFmtId="167" fontId="35" fillId="10" borderId="6" xfId="0" applyNumberFormat="1" applyFont="1" applyFill="1" applyBorder="1" applyAlignment="1">
      <alignment horizontal="left" vertical="center" wrapText="1"/>
    </xf>
    <xf numFmtId="167" fontId="35" fillId="10" borderId="1" xfId="0" applyNumberFormat="1" applyFont="1" applyFill="1" applyBorder="1" applyAlignment="1">
      <alignment horizontal="left" vertical="center" wrapText="1"/>
    </xf>
    <xf numFmtId="0" fontId="66" fillId="5" borderId="13" xfId="0" applyFont="1" applyFill="1" applyBorder="1" applyAlignment="1">
      <alignment horizontal="left" vertical="center"/>
    </xf>
    <xf numFmtId="0" fontId="35" fillId="10" borderId="6" xfId="0" applyFont="1" applyFill="1" applyBorder="1" applyAlignment="1">
      <alignment horizontal="left" vertical="center"/>
    </xf>
    <xf numFmtId="0" fontId="35" fillId="10" borderId="1" xfId="0" applyFont="1" applyFill="1" applyBorder="1" applyAlignment="1">
      <alignment horizontal="left" vertical="center"/>
    </xf>
    <xf numFmtId="0" fontId="35" fillId="10" borderId="7" xfId="0" applyFont="1" applyFill="1" applyBorder="1" applyAlignment="1">
      <alignment horizontal="left" vertical="center"/>
    </xf>
    <xf numFmtId="0" fontId="41" fillId="10" borderId="19" xfId="0" applyFont="1" applyFill="1" applyBorder="1" applyAlignment="1">
      <alignment horizontal="center" vertical="center"/>
    </xf>
    <xf numFmtId="0" fontId="41" fillId="10" borderId="22" xfId="0" applyFont="1" applyFill="1" applyBorder="1" applyAlignment="1">
      <alignment horizontal="center" vertical="center"/>
    </xf>
    <xf numFmtId="0" fontId="41" fillId="10" borderId="23" xfId="0" applyFont="1" applyFill="1" applyBorder="1" applyAlignment="1">
      <alignment horizontal="center" vertical="center"/>
    </xf>
    <xf numFmtId="0" fontId="23" fillId="5" borderId="34" xfId="0" applyFont="1" applyFill="1" applyBorder="1" applyAlignment="1">
      <alignment vertical="top" wrapText="1"/>
    </xf>
    <xf numFmtId="0" fontId="23" fillId="5" borderId="38" xfId="0" applyFont="1" applyFill="1" applyBorder="1" applyAlignment="1">
      <alignment vertical="top" wrapText="1"/>
    </xf>
    <xf numFmtId="0" fontId="56" fillId="5" borderId="5" xfId="0" applyFont="1" applyFill="1" applyBorder="1" applyAlignment="1">
      <alignment horizontal="left" vertical="center" wrapText="1"/>
    </xf>
    <xf numFmtId="0" fontId="42" fillId="10" borderId="19" xfId="0" applyFont="1" applyFill="1" applyBorder="1" applyAlignment="1">
      <alignment horizontal="center" vertical="center"/>
    </xf>
    <xf numFmtId="0" fontId="42" fillId="10" borderId="22" xfId="0" applyFont="1" applyFill="1" applyBorder="1" applyAlignment="1">
      <alignment horizontal="center" vertical="center"/>
    </xf>
    <xf numFmtId="0" fontId="42" fillId="10" borderId="23" xfId="0" applyFont="1" applyFill="1" applyBorder="1" applyAlignment="1">
      <alignment horizontal="center" vertical="center"/>
    </xf>
    <xf numFmtId="0" fontId="50" fillId="5" borderId="6" xfId="0" applyFont="1" applyFill="1" applyBorder="1" applyAlignment="1">
      <alignment horizontal="left" vertical="center" wrapText="1"/>
    </xf>
    <xf numFmtId="0" fontId="50" fillId="5" borderId="1" xfId="0" applyFont="1" applyFill="1" applyBorder="1" applyAlignment="1">
      <alignment horizontal="left" vertical="center" wrapText="1"/>
    </xf>
    <xf numFmtId="0" fontId="50" fillId="5" borderId="7" xfId="0" applyFont="1" applyFill="1" applyBorder="1" applyAlignment="1">
      <alignment horizontal="left" vertical="center" wrapText="1"/>
    </xf>
    <xf numFmtId="0" fontId="23" fillId="5" borderId="34" xfId="0" applyFont="1" applyFill="1" applyBorder="1" applyAlignment="1">
      <alignment vertical="top"/>
    </xf>
    <xf numFmtId="0" fontId="23" fillId="5" borderId="38" xfId="0" applyFont="1" applyFill="1" applyBorder="1" applyAlignment="1">
      <alignment vertical="top"/>
    </xf>
    <xf numFmtId="0" fontId="60" fillId="10" borderId="34" xfId="0" applyFont="1" applyFill="1" applyBorder="1" applyAlignment="1">
      <alignment horizontal="center"/>
    </xf>
    <xf numFmtId="0" fontId="60" fillId="10" borderId="52" xfId="0" applyFont="1" applyFill="1" applyBorder="1" applyAlignment="1">
      <alignment horizontal="center"/>
    </xf>
    <xf numFmtId="0" fontId="60" fillId="10" borderId="56" xfId="0" applyFont="1" applyFill="1" applyBorder="1" applyAlignment="1">
      <alignment horizontal="center"/>
    </xf>
    <xf numFmtId="0" fontId="60" fillId="10" borderId="49" xfId="0" applyFont="1" applyFill="1" applyBorder="1" applyAlignment="1">
      <alignment horizontal="center"/>
    </xf>
    <xf numFmtId="0" fontId="60" fillId="10" borderId="38" xfId="0" applyFont="1" applyFill="1" applyBorder="1" applyAlignment="1">
      <alignment horizontal="center"/>
    </xf>
    <xf numFmtId="0" fontId="60" fillId="10" borderId="39" xfId="0" applyFont="1" applyFill="1" applyBorder="1" applyAlignment="1">
      <alignment horizontal="center"/>
    </xf>
    <xf numFmtId="0" fontId="60" fillId="10" borderId="50" xfId="0" applyFont="1" applyFill="1" applyBorder="1" applyAlignment="1">
      <alignment horizontal="center"/>
    </xf>
    <xf numFmtId="0" fontId="60" fillId="10" borderId="51" xfId="0" applyFont="1" applyFill="1" applyBorder="1" applyAlignment="1">
      <alignment horizontal="center"/>
    </xf>
    <xf numFmtId="0" fontId="38" fillId="9" borderId="0" xfId="0" applyFont="1" applyFill="1" applyAlignment="1">
      <alignment horizontal="left"/>
    </xf>
    <xf numFmtId="0" fontId="23" fillId="9" borderId="0" xfId="0" applyFont="1" applyFill="1" applyAlignment="1">
      <alignment horizontal="left" vertical="top" wrapText="1"/>
    </xf>
    <xf numFmtId="0" fontId="35" fillId="10" borderId="20" xfId="0" applyFont="1" applyFill="1" applyBorder="1" applyAlignment="1">
      <alignment horizontal="center" vertical="center" wrapText="1"/>
    </xf>
    <xf numFmtId="0" fontId="23" fillId="5" borderId="10" xfId="0" applyFont="1" applyFill="1" applyBorder="1" applyAlignment="1">
      <alignment vertical="top" wrapText="1"/>
    </xf>
    <xf numFmtId="0" fontId="23" fillId="5" borderId="11" xfId="0" applyFont="1" applyFill="1" applyBorder="1" applyAlignment="1">
      <alignment vertical="top" wrapText="1"/>
    </xf>
    <xf numFmtId="0" fontId="23" fillId="5" borderId="6" xfId="0" applyFont="1" applyFill="1" applyBorder="1" applyAlignment="1">
      <alignment vertical="top" wrapText="1"/>
    </xf>
    <xf numFmtId="0" fontId="23" fillId="5" borderId="7" xfId="0" applyFont="1" applyFill="1" applyBorder="1" applyAlignment="1">
      <alignment vertical="top" wrapText="1"/>
    </xf>
    <xf numFmtId="0" fontId="14" fillId="4" borderId="13" xfId="0" applyFont="1" applyFill="1" applyBorder="1" applyAlignment="1" applyProtection="1">
      <alignment horizontal="left"/>
      <protection locked="0"/>
    </xf>
    <xf numFmtId="0" fontId="14" fillId="4" borderId="1" xfId="0" applyFont="1" applyFill="1" applyBorder="1" applyAlignment="1" applyProtection="1">
      <alignment horizontal="left"/>
      <protection locked="0"/>
    </xf>
    <xf numFmtId="0" fontId="14" fillId="0" borderId="13" xfId="0" applyFont="1" applyBorder="1" applyAlignment="1">
      <alignment horizontal="left"/>
    </xf>
    <xf numFmtId="0" fontId="5" fillId="0" borderId="0" xfId="0" applyFont="1" applyAlignment="1">
      <alignment horizontal="left" vertical="top" wrapText="1"/>
    </xf>
    <xf numFmtId="0" fontId="14" fillId="6" borderId="13" xfId="0" applyFont="1" applyFill="1" applyBorder="1" applyAlignment="1" applyProtection="1">
      <alignment horizontal="left"/>
      <protection locked="0"/>
    </xf>
    <xf numFmtId="0" fontId="5" fillId="0" borderId="0" xfId="0" applyFont="1" applyAlignment="1">
      <alignment horizontal="left"/>
    </xf>
    <xf numFmtId="0" fontId="35" fillId="10" borderId="24"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5" fillId="0" borderId="43" xfId="0" applyFont="1" applyBorder="1" applyAlignment="1">
      <alignment horizontal="left"/>
    </xf>
    <xf numFmtId="0" fontId="5" fillId="0" borderId="3" xfId="0" applyFont="1" applyBorder="1" applyAlignment="1">
      <alignment horizontal="left"/>
    </xf>
    <xf numFmtId="0" fontId="5" fillId="0" borderId="25" xfId="0" applyFont="1" applyBorder="1" applyAlignment="1">
      <alignment horizontal="left"/>
    </xf>
    <xf numFmtId="0" fontId="5" fillId="0" borderId="5" xfId="0" applyFont="1" applyBorder="1" applyAlignment="1">
      <alignment horizontal="left"/>
    </xf>
    <xf numFmtId="0" fontId="5" fillId="0" borderId="17" xfId="0" applyFont="1" applyBorder="1" applyAlignment="1">
      <alignment horizontal="left"/>
    </xf>
    <xf numFmtId="0" fontId="5" fillId="0" borderId="12" xfId="0" applyFont="1" applyBorder="1" applyAlignment="1">
      <alignment horizontal="left"/>
    </xf>
    <xf numFmtId="0" fontId="60" fillId="10" borderId="14" xfId="0" applyFont="1" applyFill="1" applyBorder="1" applyAlignment="1">
      <alignment horizontal="center"/>
    </xf>
    <xf numFmtId="0" fontId="60" fillId="10" borderId="15" xfId="0" applyFont="1" applyFill="1" applyBorder="1" applyAlignment="1">
      <alignment horizontal="center"/>
    </xf>
    <xf numFmtId="0" fontId="60" fillId="10" borderId="16" xfId="0" applyFont="1" applyFill="1" applyBorder="1" applyAlignment="1">
      <alignment horizontal="center"/>
    </xf>
    <xf numFmtId="0" fontId="60" fillId="10" borderId="17" xfId="0" applyFont="1" applyFill="1" applyBorder="1" applyAlignment="1">
      <alignment horizontal="center"/>
    </xf>
    <xf numFmtId="0" fontId="60" fillId="10" borderId="12" xfId="0" applyFont="1" applyFill="1" applyBorder="1" applyAlignment="1">
      <alignment horizontal="center"/>
    </xf>
    <xf numFmtId="0" fontId="35" fillId="13" borderId="46" xfId="0" applyFont="1" applyFill="1" applyBorder="1" applyAlignment="1">
      <alignment horizontal="center" vertical="center"/>
    </xf>
    <xf numFmtId="0" fontId="35" fillId="13" borderId="35" xfId="0" applyFont="1" applyFill="1" applyBorder="1" applyAlignment="1">
      <alignment horizontal="center" vertical="center"/>
    </xf>
    <xf numFmtId="0" fontId="35" fillId="13" borderId="42" xfId="0" applyFont="1" applyFill="1" applyBorder="1" applyAlignment="1">
      <alignment horizontal="center" vertical="center"/>
    </xf>
    <xf numFmtId="0" fontId="35" fillId="13" borderId="39" xfId="0" applyFont="1" applyFill="1" applyBorder="1" applyAlignment="1">
      <alignment horizontal="center" vertical="center"/>
    </xf>
    <xf numFmtId="0" fontId="35" fillId="13" borderId="50" xfId="0" applyFont="1" applyFill="1" applyBorder="1" applyAlignment="1">
      <alignment horizontal="center" vertical="center"/>
    </xf>
    <xf numFmtId="0" fontId="35" fillId="13" borderId="51" xfId="0" applyFont="1" applyFill="1" applyBorder="1" applyAlignment="1">
      <alignment horizontal="center" vertical="center"/>
    </xf>
    <xf numFmtId="0" fontId="35" fillId="10" borderId="14"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16" xfId="0" applyFont="1" applyFill="1" applyBorder="1" applyAlignment="1">
      <alignment horizontal="center" vertical="center" wrapText="1"/>
    </xf>
    <xf numFmtId="0" fontId="35" fillId="10" borderId="14"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46" xfId="0" applyFont="1" applyFill="1" applyBorder="1" applyAlignment="1">
      <alignment horizontal="center" vertical="center"/>
    </xf>
    <xf numFmtId="0" fontId="35" fillId="10" borderId="35" xfId="0" applyFont="1" applyFill="1" applyBorder="1" applyAlignment="1">
      <alignment horizontal="center" vertical="center"/>
    </xf>
    <xf numFmtId="0" fontId="35" fillId="10" borderId="42" xfId="0" applyFont="1" applyFill="1" applyBorder="1" applyAlignment="1">
      <alignment horizontal="center" vertical="center"/>
    </xf>
    <xf numFmtId="0" fontId="35" fillId="10" borderId="46" xfId="0" applyFont="1" applyFill="1" applyBorder="1" applyAlignment="1">
      <alignment horizontal="center" vertical="center" wrapText="1"/>
    </xf>
    <xf numFmtId="0" fontId="35" fillId="10" borderId="35"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35" fillId="13" borderId="19" xfId="0" applyFont="1" applyFill="1" applyBorder="1" applyAlignment="1">
      <alignment horizontal="center" vertical="center"/>
    </xf>
    <xf numFmtId="0" fontId="35" fillId="13" borderId="22" xfId="0" applyFont="1" applyFill="1" applyBorder="1" applyAlignment="1">
      <alignment horizontal="center" vertical="center"/>
    </xf>
    <xf numFmtId="0" fontId="35" fillId="13" borderId="23" xfId="0" applyFont="1" applyFill="1" applyBorder="1" applyAlignment="1">
      <alignment horizontal="center"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5" xfId="0" applyFont="1" applyBorder="1" applyAlignment="1">
      <alignment horizontal="right" vertical="center" wrapText="1"/>
    </xf>
    <xf numFmtId="0" fontId="2" fillId="0" borderId="33" xfId="0" applyFont="1" applyBorder="1" applyAlignment="1">
      <alignment horizontal="right" vertical="center" wrapText="1"/>
    </xf>
    <xf numFmtId="0" fontId="2" fillId="0" borderId="5" xfId="0" applyFont="1" applyBorder="1" applyAlignment="1">
      <alignment horizontal="right" vertical="center"/>
    </xf>
    <xf numFmtId="0" fontId="2" fillId="0" borderId="33" xfId="0" applyFont="1" applyBorder="1" applyAlignment="1">
      <alignment horizontal="right" vertical="center"/>
    </xf>
    <xf numFmtId="0" fontId="35" fillId="10" borderId="19" xfId="0" applyFont="1" applyFill="1" applyBorder="1" applyAlignment="1">
      <alignment horizontal="center" vertical="center"/>
    </xf>
    <xf numFmtId="0" fontId="35" fillId="10" borderId="22" xfId="0" applyFont="1" applyFill="1" applyBorder="1" applyAlignment="1">
      <alignment horizontal="center" vertical="center"/>
    </xf>
    <xf numFmtId="0" fontId="35" fillId="10" borderId="23" xfId="0" applyFont="1" applyFill="1" applyBorder="1" applyAlignment="1">
      <alignment horizontal="center" vertical="center"/>
    </xf>
    <xf numFmtId="0" fontId="2" fillId="0" borderId="34" xfId="0" applyFont="1" applyBorder="1" applyAlignment="1">
      <alignment horizontal="right" vertical="center"/>
    </xf>
    <xf numFmtId="0" fontId="2" fillId="0" borderId="56" xfId="0" applyFont="1" applyBorder="1" applyAlignment="1">
      <alignment horizontal="right" vertical="center"/>
    </xf>
    <xf numFmtId="0" fontId="35" fillId="10" borderId="25" xfId="0" applyFont="1" applyFill="1" applyBorder="1" applyAlignment="1">
      <alignment horizontal="center" vertical="center"/>
    </xf>
    <xf numFmtId="0" fontId="35" fillId="10" borderId="33" xfId="0" applyFont="1" applyFill="1" applyBorder="1" applyAlignment="1">
      <alignment horizontal="center" vertical="center"/>
    </xf>
    <xf numFmtId="0" fontId="35" fillId="10" borderId="25"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5" fillId="10" borderId="33" xfId="0" applyFont="1" applyFill="1" applyBorder="1" applyAlignment="1">
      <alignment horizontal="center" vertical="center" wrapText="1"/>
    </xf>
    <xf numFmtId="0" fontId="35" fillId="13" borderId="40" xfId="0" applyFont="1" applyFill="1" applyBorder="1" applyAlignment="1">
      <alignment horizontal="center" vertical="center"/>
    </xf>
    <xf numFmtId="0" fontId="35" fillId="13" borderId="13" xfId="0" applyFont="1" applyFill="1" applyBorder="1" applyAlignment="1">
      <alignment horizontal="center" vertical="center"/>
    </xf>
    <xf numFmtId="0" fontId="35" fillId="13" borderId="54" xfId="0" applyFont="1" applyFill="1" applyBorder="1" applyAlignment="1">
      <alignment horizontal="center" vertical="center"/>
    </xf>
    <xf numFmtId="0" fontId="35" fillId="13" borderId="24" xfId="0" applyFont="1" applyFill="1" applyBorder="1" applyAlignment="1">
      <alignment horizontal="center" vertical="center"/>
    </xf>
    <xf numFmtId="0" fontId="35" fillId="13" borderId="20" xfId="0" applyFont="1" applyFill="1" applyBorder="1" applyAlignment="1">
      <alignment horizontal="center" vertical="center"/>
    </xf>
    <xf numFmtId="0" fontId="35" fillId="13" borderId="21" xfId="0" applyFont="1" applyFill="1" applyBorder="1" applyAlignment="1">
      <alignment horizontal="center" vertical="center"/>
    </xf>
    <xf numFmtId="0" fontId="35" fillId="13" borderId="43" xfId="0" applyFont="1" applyFill="1" applyBorder="1" applyAlignment="1">
      <alignment horizontal="center" vertical="center"/>
    </xf>
    <xf numFmtId="0" fontId="35" fillId="13" borderId="3" xfId="0" applyFont="1" applyFill="1" applyBorder="1" applyAlignment="1">
      <alignment horizontal="center" vertical="center"/>
    </xf>
    <xf numFmtId="0" fontId="35" fillId="13" borderId="44" xfId="0" applyFont="1" applyFill="1" applyBorder="1" applyAlignment="1">
      <alignment horizontal="center" vertical="center"/>
    </xf>
    <xf numFmtId="0" fontId="35" fillId="13" borderId="25" xfId="0" applyFont="1" applyFill="1" applyBorder="1" applyAlignment="1">
      <alignment horizontal="center" vertical="center"/>
    </xf>
    <xf numFmtId="0" fontId="35" fillId="13" borderId="5" xfId="0" applyFont="1" applyFill="1" applyBorder="1" applyAlignment="1">
      <alignment horizontal="center" vertical="center"/>
    </xf>
    <xf numFmtId="0" fontId="35" fillId="13" borderId="33" xfId="0" applyFont="1" applyFill="1" applyBorder="1" applyAlignment="1">
      <alignment horizontal="center" vertical="center"/>
    </xf>
    <xf numFmtId="0" fontId="35" fillId="13" borderId="48" xfId="0" applyFont="1" applyFill="1" applyBorder="1" applyAlignment="1">
      <alignment horizontal="center" vertical="center"/>
    </xf>
    <xf numFmtId="0" fontId="35" fillId="13" borderId="1" xfId="0" applyFont="1" applyFill="1" applyBorder="1" applyAlignment="1">
      <alignment horizontal="center" vertical="center"/>
    </xf>
    <xf numFmtId="0" fontId="35" fillId="13" borderId="55" xfId="0" applyFont="1" applyFill="1" applyBorder="1" applyAlignment="1">
      <alignment horizontal="center" vertical="center"/>
    </xf>
    <xf numFmtId="0" fontId="11" fillId="3" borderId="6" xfId="0" applyFont="1" applyFill="1" applyBorder="1" applyAlignment="1">
      <alignment horizontal="left"/>
    </xf>
    <xf numFmtId="0" fontId="11" fillId="3" borderId="7" xfId="0" applyFont="1" applyFill="1" applyBorder="1" applyAlignment="1">
      <alignment horizontal="left"/>
    </xf>
  </cellXfs>
  <cellStyles count="13">
    <cellStyle name="Comma" xfId="1" builtinId="3"/>
    <cellStyle name="Comma 2" xfId="2" xr:uid="{00000000-0005-0000-0000-000001000000}"/>
    <cellStyle name="Comma 3" xfId="7" xr:uid="{00000000-0005-0000-0000-000002000000}"/>
    <cellStyle name="Currency 2" xfId="8" xr:uid="{00000000-0005-0000-0000-000004000000}"/>
    <cellStyle name="Normal" xfId="0" builtinId="0"/>
    <cellStyle name="Normal 2" xfId="10" xr:uid="{00000000-0005-0000-0000-000006000000}"/>
    <cellStyle name="Normal 3" xfId="6" xr:uid="{00000000-0005-0000-0000-000007000000}"/>
    <cellStyle name="Normal 4" xfId="11" xr:uid="{EE612C2B-3F54-43B8-BDAD-D07E1567FEE1}"/>
    <cellStyle name="Normal 5" xfId="12" xr:uid="{F8968478-67B6-49B8-A2EC-F73A6C97A5D5}"/>
    <cellStyle name="Normal 7" xfId="4" xr:uid="{00000000-0005-0000-0000-000008000000}"/>
    <cellStyle name="Normal 8" xfId="5" xr:uid="{00000000-0005-0000-0000-000009000000}"/>
    <cellStyle name="Percent" xfId="3" builtinId="5"/>
    <cellStyle name="Percent 2" xfId="9" xr:uid="{00000000-0005-0000-0000-00000B000000}"/>
  </cellStyles>
  <dxfs count="42">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font>
      <fill>
        <patternFill>
          <bgColor theme="0" tint="-0.14996795556505021"/>
        </patternFill>
      </fill>
    </dxf>
    <dxf>
      <font>
        <b val="0"/>
        <i/>
      </font>
      <fill>
        <patternFill>
          <bgColor theme="0" tint="-0.14996795556505021"/>
        </patternFill>
      </fill>
    </dxf>
    <dxf>
      <font>
        <b val="0"/>
        <i/>
        <strike/>
      </font>
    </dxf>
    <dxf>
      <font>
        <b val="0"/>
        <i/>
        <strike/>
      </font>
    </dxf>
    <dxf>
      <font>
        <b val="0"/>
        <i/>
        <strike/>
      </font>
      <fill>
        <patternFill>
          <bgColor theme="0" tint="-0.14996795556505021"/>
        </patternFill>
      </fill>
    </dxf>
    <dxf>
      <font>
        <b val="0"/>
        <i/>
        <strike/>
      </font>
    </dxf>
    <dxf>
      <fill>
        <patternFill>
          <bgColor theme="0" tint="-0.14996795556505021"/>
        </patternFill>
      </fill>
    </dxf>
    <dxf>
      <font>
        <b val="0"/>
        <i/>
        <strike/>
      </font>
      <fill>
        <patternFill>
          <bgColor theme="0" tint="-0.14996795556505021"/>
        </patternFill>
      </fill>
    </dxf>
    <dxf>
      <fill>
        <patternFill>
          <bgColor theme="0" tint="-0.14996795556505021"/>
        </patternFill>
      </fill>
    </dxf>
    <dxf>
      <fill>
        <patternFill>
          <bgColor theme="0" tint="-0.14996795556505021"/>
        </patternFill>
      </fill>
    </dxf>
    <dxf>
      <font>
        <b val="0"/>
        <i/>
        <strike/>
      </font>
    </dxf>
    <dxf>
      <font>
        <b val="0"/>
        <i/>
        <strike/>
      </font>
    </dxf>
    <dxf>
      <fill>
        <patternFill>
          <bgColor theme="0" tint="-0.14996795556505021"/>
        </patternFill>
      </fill>
    </dxf>
    <dxf>
      <fill>
        <patternFill>
          <bgColor theme="0" tint="-0.14996795556505021"/>
        </patternFill>
      </fill>
    </dxf>
    <dxf>
      <fill>
        <patternFill>
          <bgColor theme="0" tint="-0.14996795556505021"/>
        </patternFill>
      </fill>
    </dxf>
    <dxf>
      <font>
        <b val="0"/>
        <i/>
        <strike/>
      </font>
      <fill>
        <patternFill>
          <bgColor theme="0" tint="-0.14996795556505021"/>
        </patternFill>
      </fill>
    </dxf>
    <dxf>
      <font>
        <b val="0"/>
        <i/>
        <strike/>
      </font>
    </dxf>
    <dxf>
      <fill>
        <patternFill>
          <bgColor theme="0" tint="-0.14996795556505021"/>
        </patternFill>
      </fill>
    </dxf>
    <dxf>
      <fill>
        <patternFill>
          <bgColor theme="0" tint="-0.14996795556505021"/>
        </patternFill>
      </fill>
    </dxf>
    <dxf>
      <font>
        <b val="0"/>
        <i/>
        <strike/>
      </font>
      <fill>
        <patternFill>
          <bgColor theme="0" tint="-0.14996795556505021"/>
        </patternFill>
      </fill>
    </dxf>
    <dxf>
      <font>
        <b val="0"/>
        <i/>
        <strike/>
      </font>
    </dxf>
    <dxf>
      <fill>
        <patternFill>
          <bgColor theme="0" tint="-0.14996795556505021"/>
        </patternFill>
      </fill>
    </dxf>
    <dxf>
      <font>
        <b val="0"/>
        <i/>
        <strike/>
      </font>
    </dxf>
    <dxf>
      <fill>
        <patternFill>
          <bgColor theme="0" tint="-0.14996795556505021"/>
        </patternFill>
      </fill>
    </dxf>
    <dxf>
      <font>
        <b val="0"/>
        <i/>
        <strike/>
      </font>
      <fill>
        <patternFill>
          <bgColor theme="0" tint="-0.14996795556505021"/>
        </patternFill>
      </fill>
    </dxf>
    <dxf>
      <font>
        <b val="0"/>
        <i/>
        <strike/>
      </font>
    </dxf>
    <dxf>
      <font>
        <b val="0"/>
        <i/>
        <strike/>
      </font>
      <fill>
        <patternFill>
          <bgColor theme="0" tint="-0.14996795556505021"/>
        </patternFill>
      </fill>
    </dxf>
    <dxf>
      <font>
        <b val="0"/>
        <i/>
        <strike/>
      </font>
    </dxf>
  </dxfs>
  <tableStyles count="0" defaultTableStyle="TableStyleMedium2" defaultPivotStyle="PivotStyleLight16"/>
  <colors>
    <mruColors>
      <color rgb="FFFFFF99"/>
      <color rgb="FF31869B"/>
      <color rgb="FFE3DAC9"/>
      <color rgb="FFFFFFA7"/>
      <color rgb="FF71CD73"/>
      <color rgb="FFAFDC7E"/>
      <color rgb="FFDAEFC3"/>
      <color rgb="FFFF9797"/>
      <color rgb="FF43CEFF"/>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192404</xdr:colOff>
      <xdr:row>10</xdr:row>
      <xdr:rowOff>38099</xdr:rowOff>
    </xdr:from>
    <xdr:to>
      <xdr:col>12</xdr:col>
      <xdr:colOff>190500</xdr:colOff>
      <xdr:row>43</xdr:row>
      <xdr:rowOff>137161</xdr:rowOff>
    </xdr:to>
    <xdr:sp macro="" textlink="">
      <xdr:nvSpPr>
        <xdr:cNvPr id="2" name="TextBox 1">
          <a:extLst>
            <a:ext uri="{FF2B5EF4-FFF2-40B4-BE49-F238E27FC236}">
              <a16:creationId xmlns:a16="http://schemas.microsoft.com/office/drawing/2014/main" id="{D5705926-A9A8-4658-A364-B4598FA86907}"/>
            </a:ext>
          </a:extLst>
        </xdr:cNvPr>
        <xdr:cNvSpPr txBox="1"/>
      </xdr:nvSpPr>
      <xdr:spPr>
        <a:xfrm>
          <a:off x="192404" y="2042159"/>
          <a:ext cx="8387716" cy="64312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FF0000"/>
              </a:solidFill>
            </a:rPr>
            <a:t>Instruction</a:t>
          </a:r>
          <a:r>
            <a:rPr lang="en-US" sz="2400" b="1" baseline="0">
              <a:solidFill>
                <a:srgbClr val="FF0000"/>
              </a:solidFill>
            </a:rPr>
            <a:t>s for completing Attachment C2</a:t>
          </a:r>
          <a:endParaRPr lang="en-US" sz="1100" baseline="0">
            <a:solidFill>
              <a:srgbClr val="FF0000"/>
            </a:solidFill>
          </a:endParaRPr>
        </a:p>
        <a:p>
          <a:r>
            <a:rPr lang="en-US" sz="1100" baseline="0">
              <a:solidFill>
                <a:srgbClr val="FF0000"/>
              </a:solidFill>
              <a:effectLst/>
              <a:latin typeface="+mn-lt"/>
              <a:ea typeface="+mn-ea"/>
              <a:cs typeface="+mn-cs"/>
            </a:rPr>
            <a:t>1) All yellow cells must be filled by Proposer. Failure to provide required information may result in rejection of the Proposal as non-responsive.</a:t>
          </a:r>
          <a:endParaRPr lang="en-US">
            <a:solidFill>
              <a:srgbClr val="FF0000"/>
            </a:solidFill>
            <a:effectLst/>
          </a:endParaRPr>
        </a:p>
        <a:p>
          <a:r>
            <a:rPr lang="en-US" sz="1100" baseline="0">
              <a:solidFill>
                <a:srgbClr val="FF0000"/>
              </a:solidFill>
              <a:effectLst/>
              <a:latin typeface="+mn-lt"/>
              <a:ea typeface="+mn-ea"/>
              <a:cs typeface="+mn-cs"/>
            </a:rPr>
            <a:t>2) Proposer may, but is not required to, apply tax credit incentives to their pricing as indicated.</a:t>
          </a:r>
        </a:p>
        <a:p>
          <a:endParaRPr lang="en-US">
            <a:effectLst/>
          </a:endParaRPr>
        </a:p>
        <a:p>
          <a:r>
            <a:rPr lang="en-US" sz="1100" b="1" baseline="0">
              <a:solidFill>
                <a:schemeClr val="dk1"/>
              </a:solidFill>
              <a:effectLst/>
              <a:latin typeface="+mn-lt"/>
              <a:ea typeface="+mn-ea"/>
              <a:cs typeface="+mn-cs"/>
            </a:rPr>
            <a:t>General instructions:</a:t>
          </a:r>
          <a:endParaRPr lang="en-US">
            <a:effectLst/>
          </a:endParaRPr>
        </a:p>
        <a:p>
          <a:r>
            <a:rPr lang="en-US" sz="1100" baseline="0">
              <a:solidFill>
                <a:schemeClr val="dk1"/>
              </a:solidFill>
              <a:effectLst/>
              <a:latin typeface="+mn-lt"/>
              <a:ea typeface="+mn-ea"/>
              <a:cs typeface="+mn-cs"/>
            </a:rPr>
            <a:t> 1) Complete one Attachment C2 for each region for which you are submitting a proposal.</a:t>
          </a:r>
          <a:endParaRPr lang="en-US">
            <a:effectLst/>
          </a:endParaRPr>
        </a:p>
        <a:p>
          <a:r>
            <a:rPr lang="en-US" sz="1100" baseline="0">
              <a:solidFill>
                <a:schemeClr val="dk1"/>
              </a:solidFill>
              <a:effectLst/>
              <a:latin typeface="+mn-lt"/>
              <a:ea typeface="+mn-ea"/>
              <a:cs typeface="+mn-cs"/>
            </a:rPr>
            <a:t> 2) Fill in ALL yellow cells.</a:t>
          </a:r>
          <a:endParaRPr lang="en-US">
            <a:effectLst/>
          </a:endParaRPr>
        </a:p>
        <a:p>
          <a:r>
            <a:rPr lang="en-US" sz="1100" baseline="0">
              <a:solidFill>
                <a:schemeClr val="dk1"/>
              </a:solidFill>
              <a:effectLst/>
              <a:latin typeface="+mn-lt"/>
              <a:ea typeface="+mn-ea"/>
              <a:cs typeface="+mn-cs"/>
            </a:rPr>
            <a:t> 3) Do NOT alter gray cells. </a:t>
          </a:r>
          <a:endParaRPr lang="en-US">
            <a:effectLst/>
          </a:endParaRPr>
        </a:p>
        <a:p>
          <a:r>
            <a:rPr lang="en-US" sz="1100" baseline="0">
              <a:solidFill>
                <a:schemeClr val="dk1"/>
              </a:solidFill>
              <a:effectLst/>
              <a:latin typeface="+mn-lt"/>
              <a:ea typeface="+mn-ea"/>
              <a:cs typeface="+mn-cs"/>
            </a:rPr>
            <a:t> 4) Instructions and notes for each worksheet are shown at the top of the worksheet.</a:t>
          </a:r>
          <a:endParaRPr lang="en-US">
            <a:effectLst/>
          </a:endParaRPr>
        </a:p>
        <a:p>
          <a:r>
            <a:rPr lang="en-US" sz="1100" baseline="0">
              <a:solidFill>
                <a:schemeClr val="dk1"/>
              </a:solidFill>
              <a:effectLst/>
              <a:latin typeface="+mn-lt"/>
              <a:ea typeface="+mn-ea"/>
              <a:cs typeface="+mn-cs"/>
            </a:rPr>
            <a:t> </a:t>
          </a:r>
          <a:endParaRPr lang="en-US">
            <a:effectLst/>
          </a:endParaRPr>
        </a:p>
        <a:p>
          <a:r>
            <a:rPr lang="en-US" sz="1100" b="1" baseline="0">
              <a:solidFill>
                <a:schemeClr val="dk1"/>
              </a:solidFill>
              <a:effectLst/>
              <a:latin typeface="+mn-lt"/>
              <a:ea typeface="+mn-ea"/>
              <a:cs typeface="+mn-cs"/>
            </a:rPr>
            <a:t>Steps for completing Attachment C2:</a:t>
          </a:r>
          <a:endParaRPr lang="en-US">
            <a:effectLst/>
          </a:endParaRPr>
        </a:p>
        <a:p>
          <a:r>
            <a:rPr lang="en-US" sz="1100" baseline="0">
              <a:solidFill>
                <a:schemeClr val="dk1"/>
              </a:solidFill>
              <a:effectLst/>
              <a:latin typeface="+mn-lt"/>
              <a:ea typeface="+mn-ea"/>
              <a:cs typeface="+mn-cs"/>
            </a:rPr>
            <a:t>1) Complete ALL required information in the</a:t>
          </a:r>
        </a:p>
        <a:p>
          <a:pPr marL="548640" indent="-171450">
            <a:buFont typeface="Arial" panose="020B0604020202020204" pitchFamily="34" charset="0"/>
            <a:buChar char="•"/>
          </a:pPr>
          <a:r>
            <a:rPr lang="en-US" sz="1100" baseline="0">
              <a:solidFill>
                <a:schemeClr val="dk1"/>
              </a:solidFill>
              <a:effectLst/>
              <a:latin typeface="+mn-lt"/>
              <a:ea typeface="+mn-ea"/>
              <a:cs typeface="+mn-cs"/>
            </a:rPr>
            <a:t>System Specification worksheet</a:t>
          </a:r>
        </a:p>
        <a:p>
          <a:pPr marL="548640" indent="-171450">
            <a:buFont typeface="Arial" panose="020B0604020202020204" pitchFamily="34" charset="0"/>
            <a:buChar char="•"/>
          </a:pPr>
          <a:r>
            <a:rPr lang="en-US" sz="1100" strike="sngStrike" baseline="0">
              <a:solidFill>
                <a:srgbClr val="FF0000"/>
              </a:solidFill>
              <a:effectLst/>
              <a:latin typeface="+mn-lt"/>
              <a:ea typeface="+mn-ea"/>
              <a:cs typeface="+mn-cs"/>
            </a:rPr>
            <a:t>BESS Savings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PeGu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Microgrid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Solar + Storage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Solar-Only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Contract Early Termination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Summary &amp; Signature worksheet</a:t>
          </a:r>
        </a:p>
        <a:p>
          <a:r>
            <a:rPr lang="en-US" sz="1100" baseline="0">
              <a:solidFill>
                <a:schemeClr val="dk1"/>
              </a:solidFill>
              <a:effectLst/>
              <a:latin typeface="+mn-lt"/>
              <a:ea typeface="+mn-ea"/>
              <a:cs typeface="+mn-cs"/>
            </a:rPr>
            <a:t>2) Provide all information on the Summary &amp; Signature worksheet. Proposers are responsible for ensuring that all information is correct on the Overview and Signature worksheet. If corrections need to be made, go back to appropriate worksheet to make those corrections.</a:t>
          </a:r>
          <a:endParaRPr lang="en-US">
            <a:effectLst/>
          </a:endParaRPr>
        </a:p>
        <a:p>
          <a:r>
            <a:rPr lang="en-US" sz="1100" baseline="0">
              <a:solidFill>
                <a:schemeClr val="dk1"/>
              </a:solidFill>
              <a:effectLst/>
              <a:latin typeface="+mn-lt"/>
              <a:ea typeface="+mn-ea"/>
              <a:cs typeface="+mn-cs"/>
            </a:rPr>
            <a:t>3) Once all information has been verified as correct on the Overview and Signature worksheet, create a .pdf file of the </a:t>
          </a:r>
          <a:r>
            <a:rPr lang="en-US" sz="1100">
              <a:solidFill>
                <a:schemeClr val="dk1"/>
              </a:solidFill>
              <a:effectLst/>
              <a:latin typeface="+mn-lt"/>
              <a:ea typeface="+mn-ea"/>
              <a:cs typeface="+mn-cs"/>
            </a:rPr>
            <a:t>Overview and Signature worksheet and electronically sign and include in your proposal submittal.</a:t>
          </a:r>
          <a:r>
            <a:rPr lang="en-US" sz="1100" baseline="0">
              <a:solidFill>
                <a:schemeClr val="dk1"/>
              </a:solidFill>
              <a:effectLst/>
              <a:latin typeface="+mn-lt"/>
              <a:ea typeface="+mn-ea"/>
              <a:cs typeface="+mn-cs"/>
            </a:rPr>
            <a:t>     </a:t>
          </a:r>
        </a:p>
        <a:p>
          <a:endParaRPr lang="en-US">
            <a:effectLst/>
          </a:endParaRPr>
        </a:p>
        <a:p>
          <a:r>
            <a:rPr lang="en-US" sz="1100" b="1" baseline="0">
              <a:solidFill>
                <a:schemeClr val="dk1"/>
              </a:solidFill>
              <a:effectLst/>
              <a:latin typeface="+mn-lt"/>
              <a:ea typeface="+mn-ea"/>
              <a:cs typeface="+mn-cs"/>
            </a:rPr>
            <a:t>Questions regarding completing Attachment C2, the Project, or the RFP:</a:t>
          </a:r>
          <a:endParaRPr lang="en-US">
            <a:effectLst/>
          </a:endParaRPr>
        </a:p>
        <a:p>
          <a:r>
            <a:rPr lang="en-US" sz="1100">
              <a:solidFill>
                <a:schemeClr val="dk1"/>
              </a:solidFill>
              <a:effectLst/>
              <a:latin typeface="+mn-lt"/>
              <a:ea typeface="+mn-ea"/>
              <a:cs typeface="+mn-cs"/>
            </a:rPr>
            <a:t>Questions concerning how to fill out Attachment C2 or those that pertain generally to the Project, RFP, or Proposal must be emailed to the address specified in the RFP, BEFORE the due date and time for RFP questions submission. Questions submitted after the published due date and time may not be answered, however, if at any time you find some part of the spreadsheet is not working properly please notify the Judicial Council through the channels outlined in the RFP. The spreadsheet is locked. Attempts to unlock the spreadsheet or modify its functions are grounds for disqualification of the Proposer.</a:t>
          </a:r>
          <a:endParaRPr lang="en-US">
            <a:effectLst/>
          </a:endParaRPr>
        </a:p>
      </xdr:txBody>
    </xdr:sp>
    <xdr:clientData/>
  </xdr:twoCellAnchor>
  <xdr:twoCellAnchor editAs="oneCell">
    <xdr:from>
      <xdr:col>1</xdr:col>
      <xdr:colOff>26670</xdr:colOff>
      <xdr:row>0</xdr:row>
      <xdr:rowOff>57150</xdr:rowOff>
    </xdr:from>
    <xdr:to>
      <xdr:col>2</xdr:col>
      <xdr:colOff>314100</xdr:colOff>
      <xdr:row>5</xdr:row>
      <xdr:rowOff>140970</xdr:rowOff>
    </xdr:to>
    <xdr:pic>
      <xdr:nvPicPr>
        <xdr:cNvPr id="6" name="Picture 5">
          <a:extLst>
            <a:ext uri="{FF2B5EF4-FFF2-40B4-BE49-F238E27FC236}">
              <a16:creationId xmlns:a16="http://schemas.microsoft.com/office/drawing/2014/main" id="{AB2BEA76-41BF-40F0-8E66-259F4A1C2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 y="57150"/>
          <a:ext cx="1087530"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E13"/>
  <sheetViews>
    <sheetView showGridLines="0" tabSelected="1" topLeftCell="A3" workbookViewId="0">
      <selection activeCell="N20" sqref="N20"/>
    </sheetView>
  </sheetViews>
  <sheetFormatPr defaultColWidth="8.69140625" defaultRowHeight="15.5" x14ac:dyDescent="0.35"/>
  <cols>
    <col min="1" max="1" width="3.23046875" customWidth="1"/>
    <col min="2" max="2" width="9.53515625" customWidth="1"/>
  </cols>
  <sheetData>
    <row r="2" spans="2:5" x14ac:dyDescent="0.35">
      <c r="B2" s="26"/>
    </row>
    <row r="4" spans="2:5" ht="20" x14ac:dyDescent="0.4">
      <c r="E4" s="209" t="s">
        <v>0</v>
      </c>
    </row>
    <row r="7" spans="2:5" x14ac:dyDescent="0.35">
      <c r="B7" s="26" t="s">
        <v>1</v>
      </c>
    </row>
    <row r="8" spans="2:5" x14ac:dyDescent="0.35">
      <c r="B8" s="26"/>
    </row>
    <row r="9" spans="2:5" ht="16" customHeight="1" x14ac:dyDescent="0.35">
      <c r="B9" s="26" t="s">
        <v>2</v>
      </c>
      <c r="C9" s="26" t="s">
        <v>3</v>
      </c>
    </row>
    <row r="10" spans="2:5" ht="16" customHeight="1" x14ac:dyDescent="0.35">
      <c r="B10" s="26" t="s">
        <v>4</v>
      </c>
      <c r="C10" s="414"/>
      <c r="D10" s="414"/>
      <c r="E10" s="414"/>
    </row>
    <row r="11" spans="2:5" ht="16" customHeight="1" x14ac:dyDescent="0.35">
      <c r="B11" s="26"/>
    </row>
    <row r="12" spans="2:5" ht="16" customHeight="1" x14ac:dyDescent="0.35"/>
    <row r="13" spans="2:5" ht="16" customHeight="1" x14ac:dyDescent="0.35"/>
  </sheetData>
  <sheetProtection sheet="1" objects="1" formatColumns="0" formatRows="0"/>
  <mergeCells count="1">
    <mergeCell ref="C10:E10"/>
  </mergeCells>
  <phoneticPr fontId="15" type="noConversion"/>
  <pageMargins left="0.7" right="0.7" top="0.75" bottom="0.75" header="0.3" footer="0.3"/>
  <pageSetup scale="80" orientation="landscape" r:id="rId1"/>
  <headerFooter>
    <oddFooter>&amp;L&amp;K000000&amp;D&amp;R&amp;10&amp;K000000&amp;A |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EEF6-9D83-41BC-84EF-0B7A90C9B0EE}">
  <dimension ref="A3:AZ237"/>
  <sheetViews>
    <sheetView showGridLines="0" topLeftCell="F1" workbookViewId="0">
      <selection activeCell="F1" sqref="F1"/>
    </sheetView>
  </sheetViews>
  <sheetFormatPr defaultColWidth="8.765625" defaultRowHeight="14.5" outlineLevelCol="1" x14ac:dyDescent="0.35"/>
  <cols>
    <col min="1" max="1" width="5.23046875" style="251" hidden="1" customWidth="1" outlineLevel="1"/>
    <col min="2" max="3" width="8.765625" style="251" hidden="1" customWidth="1" outlineLevel="1"/>
    <col min="4" max="5" width="32.765625" style="251" hidden="1" customWidth="1" outlineLevel="1"/>
    <col min="6" max="6" width="21.4609375" style="251" customWidth="1" collapsed="1"/>
    <col min="7" max="7" width="16.53515625" style="251" customWidth="1"/>
    <col min="8" max="8" width="19" style="251" bestFit="1" customWidth="1"/>
    <col min="9" max="9" width="10.53515625" style="251" customWidth="1"/>
    <col min="10" max="10" width="21.4609375" style="251" customWidth="1"/>
    <col min="11" max="11" width="16.53515625" style="251" customWidth="1"/>
    <col min="12" max="12" width="19" style="251" bestFit="1" customWidth="1"/>
    <col min="13" max="14" width="10.53515625" style="251" customWidth="1"/>
    <col min="15" max="17" width="19.07421875" style="251" customWidth="1"/>
    <col min="18" max="19" width="10.53515625" style="251" customWidth="1"/>
    <col min="20" max="22" width="19.07421875" style="251" customWidth="1"/>
    <col min="23" max="24" width="10.53515625" style="251" customWidth="1"/>
    <col min="25" max="26" width="19.07421875" style="251" customWidth="1"/>
    <col min="27" max="28" width="10.53515625" style="251" customWidth="1"/>
    <col min="29" max="29" width="19.07421875" style="251" customWidth="1"/>
    <col min="30" max="31" width="10.53515625" style="251" customWidth="1"/>
    <col min="32" max="32" width="19.07421875" style="251" customWidth="1"/>
    <col min="33" max="34" width="10.53515625" style="251" customWidth="1"/>
    <col min="35" max="35" width="19.07421875" style="251" customWidth="1"/>
    <col min="36" max="37" width="10.53515625" style="251" customWidth="1"/>
    <col min="38" max="40" width="19.07421875" style="251" customWidth="1"/>
    <col min="41" max="41" width="8.765625" style="251"/>
    <col min="42" max="42" width="10.53515625" style="251" customWidth="1"/>
    <col min="43" max="44" width="19.07421875" style="251" customWidth="1"/>
    <col min="45" max="45" width="8.765625" style="251"/>
    <col min="46" max="46" width="10.53515625" style="251" customWidth="1"/>
    <col min="47" max="48" width="19.07421875" style="251" customWidth="1"/>
    <col min="49" max="49" width="8.765625" style="251"/>
    <col min="50" max="50" width="10.53515625" style="251" customWidth="1"/>
    <col min="51" max="52" width="19.07421875" style="251" customWidth="1"/>
    <col min="53" max="16384" width="8.765625" style="251"/>
  </cols>
  <sheetData>
    <row r="3" spans="1:52" ht="28.5" x14ac:dyDescent="0.35">
      <c r="F3" s="233" t="s">
        <v>230</v>
      </c>
      <c r="G3" s="31"/>
    </row>
    <row r="4" spans="1:52" ht="21" x14ac:dyDescent="0.35">
      <c r="F4" s="32" t="str">
        <f>Instructions!$B$7</f>
        <v>Proposed Price Form</v>
      </c>
      <c r="G4" s="31"/>
    </row>
    <row r="5" spans="1:52" ht="21" x14ac:dyDescent="0.35">
      <c r="F5" s="253" t="str">
        <f>Instructions!$B$9</f>
        <v>Region:</v>
      </c>
      <c r="G5" s="254" t="str">
        <f>Instructions!$C$9</f>
        <v>SRO2</v>
      </c>
    </row>
    <row r="6" spans="1:52" ht="21" x14ac:dyDescent="0.35">
      <c r="F6" s="254" t="str">
        <f>Instructions!B10</f>
        <v>Proposer:</v>
      </c>
      <c r="G6" s="254">
        <f>Instructions!C10</f>
        <v>0</v>
      </c>
    </row>
    <row r="7" spans="1:52" ht="15" thickBot="1" x14ac:dyDescent="0.4"/>
    <row r="8" spans="1:52" x14ac:dyDescent="0.35">
      <c r="F8" s="255" t="s">
        <v>9</v>
      </c>
      <c r="G8" s="522">
        <v>1</v>
      </c>
      <c r="H8" s="523"/>
    </row>
    <row r="9" spans="1:52" x14ac:dyDescent="0.35">
      <c r="F9" s="256" t="s">
        <v>10</v>
      </c>
      <c r="G9" s="524" t="str">
        <f>INDEX(Site_Data_Table,MATCH(G8,'Site Data'!$A$6:$A$13,0),MATCH(F9,Site_Data_Column_Names,0))</f>
        <v>Imperial County Courthouse</v>
      </c>
      <c r="H9" s="525"/>
    </row>
    <row r="10" spans="1:52" x14ac:dyDescent="0.35">
      <c r="F10" s="256" t="s">
        <v>11</v>
      </c>
      <c r="G10" s="526" t="str">
        <f>INDEX(Site_Data_Table,MATCH(G8,'Site Data'!$A$6:$A$13,0),MATCH(F10,Site_Data_Column_Names,0))</f>
        <v>13-A1</v>
      </c>
      <c r="H10" s="527"/>
    </row>
    <row r="11" spans="1:52" ht="15.65" customHeight="1" thickBot="1" x14ac:dyDescent="0.4">
      <c r="F11" s="257" t="s">
        <v>26</v>
      </c>
      <c r="G11" s="531" t="str">
        <f>INDEX(Site_Data_Table,MATCH(G8,'Site Data'!$A$6:$A$13,0),MATCH(F11,Site_Data_Column_Names,0))</f>
        <v>SPPA</v>
      </c>
      <c r="H11" s="532"/>
    </row>
    <row r="13" spans="1:52" ht="15.65" customHeight="1" thickBot="1" x14ac:dyDescent="0.4">
      <c r="A13" s="301" t="s">
        <v>11</v>
      </c>
      <c r="B13" s="301" t="s">
        <v>26</v>
      </c>
      <c r="C13" s="301" t="s">
        <v>231</v>
      </c>
      <c r="D13" s="301" t="s">
        <v>232</v>
      </c>
      <c r="E13" s="301" t="s">
        <v>233</v>
      </c>
    </row>
    <row r="14" spans="1:52" ht="15" thickBot="1" x14ac:dyDescent="0.4">
      <c r="A14" s="251" t="str">
        <f>G10</f>
        <v>13-A1</v>
      </c>
      <c r="B14" s="251" t="str">
        <f>G11</f>
        <v>SPPA</v>
      </c>
      <c r="C14" s="251">
        <f>INDEX('Site Data'!$S$7:$S$13,MATCH($A14,'Site Data'!$C$7:$C$13,0))</f>
        <v>20</v>
      </c>
      <c r="F14" s="502" t="s">
        <v>234</v>
      </c>
      <c r="G14" s="503"/>
      <c r="H14" s="504"/>
      <c r="J14" s="502" t="s">
        <v>235</v>
      </c>
      <c r="K14" s="503"/>
      <c r="L14" s="504"/>
      <c r="N14" s="513" t="s">
        <v>236</v>
      </c>
      <c r="O14" s="514"/>
      <c r="P14" s="514"/>
      <c r="Q14" s="515"/>
      <c r="S14" s="528" t="s">
        <v>236</v>
      </c>
      <c r="T14" s="529"/>
      <c r="U14" s="529"/>
      <c r="V14" s="530"/>
      <c r="X14" s="516" t="s">
        <v>236</v>
      </c>
      <c r="Y14" s="517"/>
      <c r="Z14" s="518"/>
      <c r="AB14" s="513" t="str">
        <f>IF($B14="SPPA","Attachment E","Attachment N2")</f>
        <v>Attachment E</v>
      </c>
      <c r="AC14" s="515"/>
      <c r="AE14" s="513" t="str">
        <f>IF($B14="SPPA","Attachment E","Attachment N2")</f>
        <v>Attachment E</v>
      </c>
      <c r="AF14" s="515"/>
      <c r="AH14" s="513" t="str">
        <f>IF($B14="SPPA","Attachment E","Attachment N2")</f>
        <v>Attachment E</v>
      </c>
      <c r="AI14" s="515"/>
      <c r="AK14" s="519" t="s">
        <v>237</v>
      </c>
      <c r="AL14" s="520"/>
      <c r="AM14" s="520"/>
      <c r="AN14" s="521"/>
      <c r="AP14" s="541" t="s">
        <v>235</v>
      </c>
      <c r="AQ14" s="542"/>
      <c r="AR14" s="543"/>
      <c r="AT14" s="541" t="s">
        <v>235</v>
      </c>
      <c r="AU14" s="542"/>
      <c r="AV14" s="543"/>
      <c r="AX14" s="541" t="s">
        <v>235</v>
      </c>
      <c r="AY14" s="542"/>
      <c r="AZ14" s="543"/>
    </row>
    <row r="15" spans="1:52" ht="14.65" customHeight="1" thickBot="1" x14ac:dyDescent="0.4">
      <c r="A15" s="251" t="str">
        <f>A14</f>
        <v>13-A1</v>
      </c>
      <c r="B15" s="251" t="str">
        <f>B14</f>
        <v>SPPA</v>
      </c>
      <c r="C15" s="251">
        <f>INDEX('Site Data'!$S$7:$S$13,MATCH($A15,'Site Data'!$C$7:$C$13,0))</f>
        <v>20</v>
      </c>
      <c r="F15" s="505" t="s">
        <v>46</v>
      </c>
      <c r="G15" s="506"/>
      <c r="H15" s="507"/>
      <c r="J15" s="502" t="s">
        <v>238</v>
      </c>
      <c r="K15" s="503"/>
      <c r="L15" s="504"/>
      <c r="N15" s="508" t="s">
        <v>239</v>
      </c>
      <c r="O15" s="509"/>
      <c r="P15" s="509"/>
      <c r="Q15" s="510"/>
      <c r="S15" s="508" t="s">
        <v>240</v>
      </c>
      <c r="T15" s="509"/>
      <c r="U15" s="509"/>
      <c r="V15" s="510"/>
      <c r="W15" s="252"/>
      <c r="X15" s="508" t="s">
        <v>241</v>
      </c>
      <c r="Y15" s="509"/>
      <c r="Z15" s="510"/>
      <c r="AB15" s="511" t="s">
        <v>242</v>
      </c>
      <c r="AC15" s="512"/>
      <c r="AE15" s="511" t="s">
        <v>243</v>
      </c>
      <c r="AF15" s="512"/>
      <c r="AH15" s="511" t="s">
        <v>244</v>
      </c>
      <c r="AI15" s="512"/>
      <c r="AK15" s="538" t="s">
        <v>245</v>
      </c>
      <c r="AL15" s="539"/>
      <c r="AM15" s="539"/>
      <c r="AN15" s="540"/>
      <c r="AP15" s="544" t="s">
        <v>246</v>
      </c>
      <c r="AQ15" s="545"/>
      <c r="AR15" s="546"/>
      <c r="AT15" s="544" t="s">
        <v>247</v>
      </c>
      <c r="AU15" s="545"/>
      <c r="AV15" s="546"/>
      <c r="AX15" s="544" t="s">
        <v>248</v>
      </c>
      <c r="AY15" s="545"/>
      <c r="AZ15" s="546"/>
    </row>
    <row r="16" spans="1:52" ht="15" thickBot="1" x14ac:dyDescent="0.4">
      <c r="A16" s="251" t="str">
        <f t="shared" ref="A16:A39" si="0">A15</f>
        <v>13-A1</v>
      </c>
      <c r="B16" s="251" t="str">
        <f t="shared" ref="B16:B39" si="1">B15</f>
        <v>SPPA</v>
      </c>
      <c r="C16" s="251">
        <f>INDEX('Site Data'!$S$7:$S$13,MATCH($A16,'Site Data'!$C$7:$C$13,0))</f>
        <v>20</v>
      </c>
      <c r="D16" s="251" t="s">
        <v>27</v>
      </c>
      <c r="E16" s="251" t="s">
        <v>27</v>
      </c>
      <c r="F16" s="258" t="s">
        <v>249</v>
      </c>
      <c r="G16" s="259">
        <f>IF($B16="SEL","N/A - SEL",INDEX(Site_Data_Table,MATCH($A16,'Site Data'!$C$6:$C$13,0),MATCH($D16,Site_Data_Column_Names,0)))</f>
        <v>20</v>
      </c>
      <c r="H16" s="260" t="s">
        <v>250</v>
      </c>
      <c r="J16" s="266" t="s">
        <v>251</v>
      </c>
      <c r="K16" s="285" t="str">
        <f>IF($B16="SPPA","N/A - SPPA",INDEX(Site_Data_Table,MATCH($A16,'Site Data'!$C$6:$C$13,0),MATCH($E16,Site_Data_Column_Names,0)))</f>
        <v>N/A - SPPA</v>
      </c>
      <c r="L16" s="268" t="s">
        <v>250</v>
      </c>
      <c r="N16" s="535" t="s">
        <v>252</v>
      </c>
      <c r="O16" s="536"/>
      <c r="P16" s="536"/>
      <c r="Q16" s="537"/>
      <c r="S16" s="535" t="s">
        <v>252</v>
      </c>
      <c r="T16" s="536"/>
      <c r="U16" s="536"/>
      <c r="V16" s="537"/>
      <c r="X16" s="535" t="s">
        <v>253</v>
      </c>
      <c r="Y16" s="536"/>
      <c r="Z16" s="537"/>
      <c r="AB16" s="533" t="s">
        <v>254</v>
      </c>
      <c r="AC16" s="534"/>
      <c r="AE16" s="533" t="s">
        <v>254</v>
      </c>
      <c r="AF16" s="534"/>
      <c r="AH16" s="533" t="s">
        <v>254</v>
      </c>
      <c r="AI16" s="534"/>
      <c r="AK16" s="550" t="s">
        <v>255</v>
      </c>
      <c r="AL16" s="551"/>
      <c r="AM16" s="551"/>
      <c r="AN16" s="552"/>
      <c r="AP16" s="547" t="s">
        <v>256</v>
      </c>
      <c r="AQ16" s="548"/>
      <c r="AR16" s="549"/>
      <c r="AT16" s="547" t="s">
        <v>256</v>
      </c>
      <c r="AU16" s="548"/>
      <c r="AV16" s="549"/>
      <c r="AX16" s="547" t="s">
        <v>256</v>
      </c>
      <c r="AY16" s="548"/>
      <c r="AZ16" s="549"/>
    </row>
    <row r="17" spans="1:52" ht="29.5" thickBot="1" x14ac:dyDescent="0.4">
      <c r="A17" s="251" t="str">
        <f t="shared" si="0"/>
        <v>13-A1</v>
      </c>
      <c r="B17" s="251" t="str">
        <f t="shared" si="1"/>
        <v>SPPA</v>
      </c>
      <c r="C17" s="251">
        <f>INDEX('Site Data'!$S$7:$S$13,MATCH($A17,'Site Data'!$C$7:$C$13,0))</f>
        <v>20</v>
      </c>
      <c r="F17" s="505" t="s">
        <v>257</v>
      </c>
      <c r="G17" s="506"/>
      <c r="H17" s="507"/>
      <c r="J17" s="519" t="s">
        <v>258</v>
      </c>
      <c r="K17" s="520"/>
      <c r="L17" s="521"/>
      <c r="N17" s="332" t="s">
        <v>259</v>
      </c>
      <c r="O17" s="333" t="s">
        <v>260</v>
      </c>
      <c r="P17" s="333" t="s">
        <v>261</v>
      </c>
      <c r="Q17" s="334" t="s">
        <v>262</v>
      </c>
      <c r="S17" s="329" t="s">
        <v>259</v>
      </c>
      <c r="T17" s="330" t="s">
        <v>260</v>
      </c>
      <c r="U17" s="330" t="s">
        <v>261</v>
      </c>
      <c r="V17" s="331" t="s">
        <v>262</v>
      </c>
      <c r="X17" s="332" t="s">
        <v>134</v>
      </c>
      <c r="Y17" s="333" t="s">
        <v>263</v>
      </c>
      <c r="Z17" s="334" t="s">
        <v>264</v>
      </c>
      <c r="AB17" s="332" t="s">
        <v>265</v>
      </c>
      <c r="AC17" s="334" t="s">
        <v>266</v>
      </c>
      <c r="AE17" s="332" t="s">
        <v>265</v>
      </c>
      <c r="AF17" s="334" t="s">
        <v>266</v>
      </c>
      <c r="AH17" s="332" t="s">
        <v>265</v>
      </c>
      <c r="AI17" s="334" t="s">
        <v>266</v>
      </c>
      <c r="AK17" s="289" t="s">
        <v>267</v>
      </c>
      <c r="AL17" s="290" t="s">
        <v>268</v>
      </c>
      <c r="AM17" s="290" t="s">
        <v>269</v>
      </c>
      <c r="AN17" s="291" t="s">
        <v>270</v>
      </c>
      <c r="AP17" s="289" t="s">
        <v>134</v>
      </c>
      <c r="AQ17" s="290" t="s">
        <v>271</v>
      </c>
      <c r="AR17" s="291" t="s">
        <v>272</v>
      </c>
      <c r="AT17" s="289" t="s">
        <v>134</v>
      </c>
      <c r="AU17" s="290" t="s">
        <v>271</v>
      </c>
      <c r="AV17" s="291" t="s">
        <v>272</v>
      </c>
      <c r="AX17" s="289" t="s">
        <v>134</v>
      </c>
      <c r="AY17" s="290" t="s">
        <v>271</v>
      </c>
      <c r="AZ17" s="291" t="s">
        <v>272</v>
      </c>
    </row>
    <row r="18" spans="1:52" ht="15" thickBot="1" x14ac:dyDescent="0.4">
      <c r="A18" s="251" t="str">
        <f t="shared" si="0"/>
        <v>13-A1</v>
      </c>
      <c r="B18" s="251" t="str">
        <f t="shared" si="1"/>
        <v>SPPA</v>
      </c>
      <c r="C18" s="251">
        <f>INDEX('Site Data'!$S$7:$S$13,MATCH($A18,'Site Data'!$C$7:$C$13,0))</f>
        <v>20</v>
      </c>
      <c r="E18" s="251" t="s">
        <v>165</v>
      </c>
      <c r="F18" s="258" t="s">
        <v>273</v>
      </c>
      <c r="G18" s="259">
        <f>G16</f>
        <v>20</v>
      </c>
      <c r="H18" s="260" t="s">
        <v>250</v>
      </c>
      <c r="J18" s="261" t="s">
        <v>274</v>
      </c>
      <c r="K18" s="303" t="str">
        <f>IF($B18="SPPA","N/A - SPPA",INDEX('Microgrid Proposal'!$A$32:$X$38,MATCH($A18,'Microgrid Proposal'!$D$32:$D$38,0),MATCH($E18,'Microgrid Proposal'!$A$31:$X$31,0)))</f>
        <v>N/A - SPPA</v>
      </c>
      <c r="L18" s="304" t="s">
        <v>275</v>
      </c>
      <c r="N18" s="262">
        <v>1</v>
      </c>
      <c r="O18" s="293">
        <f>IF($B18="SEL","N/A - SEL",INDEX(Prod_Yr_1,MATCH($A18,'System Specification'!$D$14:$D$20,0)))</f>
        <v>0</v>
      </c>
      <c r="P18" s="293" t="str" cm="1">
        <f t="array" ref="P18">INDEX(PeGu!$B$24:$H$43,$S18,MATCH($A16,_xlfn.ANCHORARRAY(PeGu!$B$20),0))</f>
        <v/>
      </c>
      <c r="Q18" s="294">
        <f>IF($B18="SEL","N/A - SEL",PeGu!$E$14*POWER(1+PeGu!$E$15,$S18-1))</f>
        <v>0.05</v>
      </c>
      <c r="S18" s="261">
        <v>1</v>
      </c>
      <c r="T18" s="296">
        <f>IF($B16="SEL","N/A -SEL",INDEX(Prod_Yr_1_PV_Only,MATCH($A16,'System Specification'!$D$14:$D$20,0)))</f>
        <v>0</v>
      </c>
      <c r="U18" s="296" t="str" cm="1">
        <f t="array" ref="U18">INDEX(PeGu!$B$52:$H$71,$S18,MATCH($A16,_xlfn.ANCHORARRAY(PeGu!$B$48),0))</f>
        <v/>
      </c>
      <c r="V18" s="297">
        <f>IF($B18="SEL","N/A - SEL",PeGu!$E$14*POWER(1+PeGu!$E$15,$S18-1))</f>
        <v>0.05</v>
      </c>
      <c r="X18" s="262">
        <v>1</v>
      </c>
      <c r="Y18" s="293" t="str" cm="1">
        <f t="array" ref="Y18">IF($B18="SEL","N/A - SEL",INDEX(PeGu!$B$78:$H$97,$X18,MATCH($A16,PeGu!$B$76:$H$76,0)))</f>
        <v/>
      </c>
      <c r="Z18" s="294">
        <f>IF($B18="SEL","N/A - SEL",PeGu!$K$12*POWER(1+PeGu!$K$13,$X18-1))</f>
        <v>0</v>
      </c>
      <c r="AB18" s="263">
        <v>1</v>
      </c>
      <c r="AC18" s="264" cm="1">
        <f t="array" ref="AC18">INDEX('Contract Early Termination'!$B$14:$H$33,$AB18,MATCH($A16,_xlfn.ANCHORARRAY('Contract Early Termination'!$B$10),0))</f>
        <v>0</v>
      </c>
      <c r="AE18" s="263">
        <v>1</v>
      </c>
      <c r="AF18" s="264" cm="1">
        <f t="array" ref="AF18">INDEX('Contract Early Termination'!$B$41:$H$60,$AE18,MATCH($A16,_xlfn.ANCHORARRAY('Contract Early Termination'!$B$37),0))</f>
        <v>0</v>
      </c>
      <c r="AH18" s="263">
        <v>1</v>
      </c>
      <c r="AI18" s="264" cm="1">
        <f t="array" ref="AI18">INDEX('Contract Early Termination'!$B$68:$H$87,$AB18,MATCH($A16,_xlfn.ANCHORARRAY('Contract Early Termination'!$B$64),0))</f>
        <v>0</v>
      </c>
      <c r="AK18" s="263">
        <v>1</v>
      </c>
      <c r="AL18" s="293" t="str">
        <f>IF($B18="SPPA","N/A - SPPA", INDEX(Prod_Yr_1,MATCH($A16,'System Specification'!$D$14:$D$20,0)))</f>
        <v>N/A - SPPA</v>
      </c>
      <c r="AM18" s="293" t="str">
        <f>IF($B18="SPPA","N/A - SPPA", INDEX('System Specification'!$P$14:$P$20,MATCH($A16,'System Specification'!$D$14:$D$20,0)))</f>
        <v>N/A - SPPA</v>
      </c>
      <c r="AN18" s="298" t="str" cm="1">
        <f t="array" ref="AN18">IF($B18="SPPA","N/A - SPPA",INDEX(PeGu!$B$78:$H$97,$AK18,MATCH($A16,PeGu!$B$76:$H$76,0)))</f>
        <v>N/A - SPPA</v>
      </c>
      <c r="AP18" s="262">
        <v>1</v>
      </c>
      <c r="AQ18" s="269" t="str">
        <f>IF($B18="SPPA","N/A - SPPA", INDEX('Microgrid Proposal'!$N$32:$N$38,MATCH($A18,'Microgrid Proposal'!$D$32:$D$38,0))*IF(AP18&lt;=$C18,1,0))</f>
        <v>N/A - SPPA</v>
      </c>
      <c r="AR18" s="264" t="str">
        <f>IF($B18="SPPA","N/A - SPPA",AQ18*12)</f>
        <v>N/A - SPPA</v>
      </c>
      <c r="AT18" s="262">
        <v>1</v>
      </c>
      <c r="AU18" s="269" t="str">
        <f>IF($B18="SPPA","N/A - SPPA", INDEX('Solar+Storage Proposal'!$N$32:$N$38,MATCH($A18,'Solar+Storage Proposal'!$D$32:$D$38,0))*IF(AT18&lt;=$C18,1,0))</f>
        <v>N/A - SPPA</v>
      </c>
      <c r="AV18" s="264" t="str">
        <f>IF($B18="SPPA","N/A - SPPA",AU18*12)</f>
        <v>N/A - SPPA</v>
      </c>
      <c r="AX18" s="262">
        <v>1</v>
      </c>
      <c r="AY18" s="269" t="str">
        <f>IF($B18="SPPA","N/A - SPPA", INDEX('Solar-Only Proposal'!$M$32:$M$38,MATCH($A18,'Solar-Only Proposal'!$D$32:$D$38,0))*IF(AX18&lt;=$C18,1,0))</f>
        <v>N/A - SPPA</v>
      </c>
      <c r="AZ18" s="264" t="str">
        <f>IF($B18="SPPA","N/A - SPPA",AY18*12)</f>
        <v>N/A - SPPA</v>
      </c>
    </row>
    <row r="19" spans="1:52" ht="15" thickBot="1" x14ac:dyDescent="0.4">
      <c r="A19" s="251" t="str">
        <f t="shared" si="0"/>
        <v>13-A1</v>
      </c>
      <c r="B19" s="251" t="str">
        <f t="shared" si="1"/>
        <v>SPPA</v>
      </c>
      <c r="C19" s="251">
        <f>INDEX('Site Data'!$S$7:$S$13,MATCH($A19,'Site Data'!$C$7:$C$13,0))</f>
        <v>20</v>
      </c>
      <c r="E19" s="251" t="s">
        <v>192</v>
      </c>
      <c r="F19" s="502" t="s">
        <v>276</v>
      </c>
      <c r="G19" s="503"/>
      <c r="H19" s="504"/>
      <c r="J19" s="262" t="s">
        <v>277</v>
      </c>
      <c r="K19" s="269" t="str">
        <f>IF($B19="SPPA","N/A - SPPA",INDEX('Microgrid Proposal'!$A$32:$X$38,MATCH($A19,'Microgrid Proposal'!$D$32:$D$38,0),MATCH($E19,'Microgrid Proposal'!$A$31:$X$31,0)))</f>
        <v>N/A - SPPA</v>
      </c>
      <c r="L19" s="270" t="s">
        <v>278</v>
      </c>
      <c r="N19" s="262">
        <v>2</v>
      </c>
      <c r="O19" s="293">
        <f>IF($B19="SEL","N/A - SEL",O18*(1-'System Specification'!$D$10)*IF(N19&lt;=$C19,1,0))</f>
        <v>0</v>
      </c>
      <c r="P19" s="293" t="str" cm="1">
        <f t="array" ref="P19">INDEX(PeGu!$B$24:$H$43,$S19,MATCH($A17,_xlfn.ANCHORARRAY(PeGu!$B$20),0))</f>
        <v/>
      </c>
      <c r="Q19" s="294">
        <f>IF($B19="SEL","N/A - SEL",PeGu!$E$14*POWER(1+PeGu!$E$15,$S19-1))</f>
        <v>5.1500000000000004E-2</v>
      </c>
      <c r="S19" s="262">
        <v>2</v>
      </c>
      <c r="T19" s="293">
        <f>IF($B19="SEL","N/A - SEL",T18*(1-'System Specification'!$D$10)*IF(S19&lt;=$C19,1,0))</f>
        <v>0</v>
      </c>
      <c r="U19" s="293" t="str" cm="1">
        <f t="array" ref="U19">INDEX(PeGu!$B$52:$H$71,$S19,MATCH($A17,_xlfn.ANCHORARRAY(PeGu!$B$48),0))</f>
        <v/>
      </c>
      <c r="V19" s="294">
        <f>IF($B19="SEL","N/A - SEL",PeGu!$E$14*POWER(1+PeGu!$E$15,$S19-1))</f>
        <v>5.1500000000000004E-2</v>
      </c>
      <c r="X19" s="262">
        <v>2</v>
      </c>
      <c r="Y19" s="293" t="str" cm="1">
        <f t="array" ref="Y19">IF($B19="SEL","N/A - SEL",INDEX(PeGu!$B$78:$H$97,$X19,MATCH($A17,PeGu!$B$76:$H$76,0)))</f>
        <v/>
      </c>
      <c r="Z19" s="294">
        <f>IF($B19="SEL","N/A - SEL",PeGu!$K$12*POWER(1+PeGu!$K$13,$X19-1))</f>
        <v>0</v>
      </c>
      <c r="AB19" s="263">
        <v>2</v>
      </c>
      <c r="AC19" s="264" cm="1">
        <f t="array" ref="AC19">INDEX('Contract Early Termination'!$B$14:$H$33,$AB19,MATCH($A17,_xlfn.ANCHORARRAY('Contract Early Termination'!$B$10),0))</f>
        <v>0</v>
      </c>
      <c r="AE19" s="263">
        <v>2</v>
      </c>
      <c r="AF19" s="264" cm="1">
        <f t="array" ref="AF19">INDEX('Contract Early Termination'!$B$41:$H$60,$AE19,MATCH($A17,_xlfn.ANCHORARRAY('Contract Early Termination'!$B$37),0))</f>
        <v>0</v>
      </c>
      <c r="AH19" s="263">
        <v>2</v>
      </c>
      <c r="AI19" s="264" cm="1">
        <f t="array" ref="AI19">INDEX('Contract Early Termination'!$B$68:$H$87,$AB19,MATCH($A17,_xlfn.ANCHORARRAY('Contract Early Termination'!$B$64),0))</f>
        <v>0</v>
      </c>
      <c r="AK19" s="263">
        <v>2</v>
      </c>
      <c r="AL19" s="293" t="str">
        <f>IF($B19="SPPA","N/A - SPPA",AL18*(1-'System Specification'!$D$10)*IF(AK19&lt;=$C19,1,0))</f>
        <v>N/A - SPPA</v>
      </c>
      <c r="AM19" s="293" t="str">
        <f>IF($B19="SPPA","N/A - SPPA",AM18*(1-INDEX('System Specification'!$Q$14:$Q$20,MATCH($A19,'System Specification'!$D$14:$D$20,0)))*IF(AK19&lt;=$C19,1,0))</f>
        <v>N/A - SPPA</v>
      </c>
      <c r="AN19" s="298" t="str" cm="1">
        <f t="array" ref="AN19">IF($B19="SPPA","N/A - SPPA",INDEX(PeGu!$B$78:$H$97,$AK19,MATCH($A17,PeGu!$B$76:$H$76,0)))</f>
        <v>N/A - SPPA</v>
      </c>
      <c r="AP19" s="262">
        <v>2</v>
      </c>
      <c r="AQ19" s="269" t="str">
        <f>IF($B19="SPPA","N/A - SPPA", INDEX('Microgrid Proposal'!$N$32:$N$38,MATCH($A19,'Microgrid Proposal'!$D$32:$D$38,0))*IF(AP19&lt;=$C19,1,0))</f>
        <v>N/A - SPPA</v>
      </c>
      <c r="AR19" s="264" t="str">
        <f t="shared" ref="AR19:AR37" si="2">IF($B19="SPPA","N/A - SPPA",AQ19*12)</f>
        <v>N/A - SPPA</v>
      </c>
      <c r="AT19" s="262">
        <v>2</v>
      </c>
      <c r="AU19" s="269" t="str">
        <f>IF($B19="SPPA","N/A - SPPA", INDEX('Solar+Storage Proposal'!$N$32:$N$38,MATCH($A19,'Solar+Storage Proposal'!$D$32:$D$38,0))*IF(AT19&lt;=$C19,1,0))</f>
        <v>N/A - SPPA</v>
      </c>
      <c r="AV19" s="264" t="str">
        <f t="shared" ref="AV19:AV37" si="3">IF($B19="SPPA","N/A - SPPA",AU19*12)</f>
        <v>N/A - SPPA</v>
      </c>
      <c r="AX19" s="262">
        <v>2</v>
      </c>
      <c r="AY19" s="269" t="str">
        <f>IF($B19="SPPA","N/A - SPPA", INDEX('Solar-Only Proposal'!$M$32:$M$38,MATCH($A19,'Solar-Only Proposal'!$D$32:$D$38,0))*IF(AX19&lt;=$C19,1,0))</f>
        <v>N/A - SPPA</v>
      </c>
      <c r="AZ19" s="264" t="str">
        <f t="shared" ref="AZ19:AZ37" si="4">IF($B19="SPPA","N/A - SPPA",AY19*12)</f>
        <v>N/A - SPPA</v>
      </c>
    </row>
    <row r="20" spans="1:52" ht="15" thickBot="1" x14ac:dyDescent="0.4">
      <c r="A20" s="251" t="str">
        <f t="shared" si="0"/>
        <v>13-A1</v>
      </c>
      <c r="B20" s="251" t="str">
        <f t="shared" si="1"/>
        <v>SPPA</v>
      </c>
      <c r="C20" s="251">
        <f>INDEX('Site Data'!$S$7:$S$13,MATCH($A20,'Site Data'!$C$7:$C$13,0))</f>
        <v>20</v>
      </c>
      <c r="D20" s="251" t="s">
        <v>188</v>
      </c>
      <c r="E20" s="251" t="s">
        <v>193</v>
      </c>
      <c r="F20" s="266" t="s">
        <v>279</v>
      </c>
      <c r="G20" s="267">
        <f>IF($B20="SEL","N/A - SEL",INDEX('Microgrid Proposal'!$A$32:$X$38,MATCH($A20,'Microgrid Proposal'!$D$32:$D$38,0),MATCH($D20,'Microgrid Proposal'!$A$31:$X$31,0)))</f>
        <v>0</v>
      </c>
      <c r="H20" s="268" t="s">
        <v>280</v>
      </c>
      <c r="J20" s="258" t="s">
        <v>277</v>
      </c>
      <c r="K20" s="300" t="str">
        <f>IF($B20="SPPA","N/A - SPPA",INDEX('Microgrid Proposal'!$A$32:$X$38,MATCH($A20,'Microgrid Proposal'!$D$32:$D$38,0),MATCH($E20,'Microgrid Proposal'!$A$31:$X$31,0)))</f>
        <v>N/A - SPPA</v>
      </c>
      <c r="L20" s="260" t="s">
        <v>281</v>
      </c>
      <c r="N20" s="262">
        <v>3</v>
      </c>
      <c r="O20" s="293">
        <f>IF($B20="SEL","N/A - SEL",O19*(1-'System Specification'!$D$10)*IF(N20&lt;=$C20,1,0))</f>
        <v>0</v>
      </c>
      <c r="P20" s="293" t="str" cm="1">
        <f t="array" ref="P20">INDEX(PeGu!$B$24:$H$43,$S20,MATCH($A18,_xlfn.ANCHORARRAY(PeGu!$B$20),0))</f>
        <v/>
      </c>
      <c r="Q20" s="294">
        <f>IF($B20="SEL","N/A - SEL",PeGu!$E$14*POWER(1+PeGu!$E$15,$S20-1))</f>
        <v>5.3045000000000002E-2</v>
      </c>
      <c r="S20" s="262">
        <v>3</v>
      </c>
      <c r="T20" s="293">
        <f>IF($B20="SEL","N/A - SEL",T19*(1-'System Specification'!$D$10)*IF(S20&lt;=$C20,1,0))</f>
        <v>0</v>
      </c>
      <c r="U20" s="293" t="str" cm="1">
        <f t="array" ref="U20">INDEX(PeGu!$B$52:$H$71,$S20,MATCH($A18,_xlfn.ANCHORARRAY(PeGu!$B$48),0))</f>
        <v/>
      </c>
      <c r="V20" s="294">
        <f>IF($B20="SEL","N/A - SEL",PeGu!$E$14*POWER(1+PeGu!$E$15,$S20-1))</f>
        <v>5.3045000000000002E-2</v>
      </c>
      <c r="X20" s="262">
        <v>3</v>
      </c>
      <c r="Y20" s="293" t="str" cm="1">
        <f t="array" ref="Y20">IF($B20="SEL","N/A - SEL",INDEX(PeGu!$B$78:$H$97,$X20,MATCH($A18,PeGu!$B$76:$H$76,0)))</f>
        <v/>
      </c>
      <c r="Z20" s="294">
        <f>IF($B20="SEL","N/A - SEL",PeGu!$K$12*POWER(1+PeGu!$K$13,$X20-1))</f>
        <v>0</v>
      </c>
      <c r="AB20" s="263">
        <v>3</v>
      </c>
      <c r="AC20" s="264" cm="1">
        <f t="array" ref="AC20">INDEX('Contract Early Termination'!$B$14:$H$33,$AB20,MATCH($A18,_xlfn.ANCHORARRAY('Contract Early Termination'!$B$10),0))</f>
        <v>0</v>
      </c>
      <c r="AE20" s="263">
        <v>3</v>
      </c>
      <c r="AF20" s="264" cm="1">
        <f t="array" ref="AF20">INDEX('Contract Early Termination'!$B$41:$H$60,$AE20,MATCH($A18,_xlfn.ANCHORARRAY('Contract Early Termination'!$B$37),0))</f>
        <v>0</v>
      </c>
      <c r="AH20" s="263">
        <v>3</v>
      </c>
      <c r="AI20" s="264" cm="1">
        <f t="array" ref="AI20">INDEX('Contract Early Termination'!$B$68:$H$87,$AB20,MATCH($A18,_xlfn.ANCHORARRAY('Contract Early Termination'!$B$64),0))</f>
        <v>0</v>
      </c>
      <c r="AK20" s="263">
        <v>3</v>
      </c>
      <c r="AL20" s="293" t="str">
        <f>IF($B20="SPPA","N/A - SPPA",AL19*(1-'System Specification'!$D$10)*IF(AK20&lt;=$C20,1,0))</f>
        <v>N/A - SPPA</v>
      </c>
      <c r="AM20" s="293" t="str">
        <f>IF($B20="SPPA","N/A - SPPA",AM19*(1-INDEX('System Specification'!$Q$14:$Q$20,MATCH($A20,'System Specification'!$D$14:$D$20,0)))*IF(AK20&lt;=$C20,1,0))</f>
        <v>N/A - SPPA</v>
      </c>
      <c r="AN20" s="298" t="str" cm="1">
        <f t="array" ref="AN20">IF($B20="SPPA","N/A - SPPA",INDEX(PeGu!$B$78:$H$97,$AK20,MATCH($A18,PeGu!$B$76:$H$76,0)))</f>
        <v>N/A - SPPA</v>
      </c>
      <c r="AP20" s="262">
        <v>3</v>
      </c>
      <c r="AQ20" s="269" t="str">
        <f>IF($B20="SPPA","N/A - SPPA", INDEX('Microgrid Proposal'!$N$32:$N$38,MATCH($A20,'Microgrid Proposal'!$D$32:$D$38,0))*IF(AP20&lt;=$C20,1,0))</f>
        <v>N/A - SPPA</v>
      </c>
      <c r="AR20" s="264" t="str">
        <f t="shared" si="2"/>
        <v>N/A - SPPA</v>
      </c>
      <c r="AT20" s="262">
        <v>3</v>
      </c>
      <c r="AU20" s="269" t="str">
        <f>IF($B20="SPPA","N/A - SPPA", INDEX('Solar+Storage Proposal'!$N$32:$N$38,MATCH($A20,'Solar+Storage Proposal'!$D$32:$D$38,0))*IF(AT20&lt;=$C20,1,0))</f>
        <v>N/A - SPPA</v>
      </c>
      <c r="AV20" s="264" t="str">
        <f t="shared" si="3"/>
        <v>N/A - SPPA</v>
      </c>
      <c r="AX20" s="262">
        <v>3</v>
      </c>
      <c r="AY20" s="269" t="str">
        <f>IF($B20="SPPA","N/A - SPPA", INDEX('Solar-Only Proposal'!$M$32:$M$38,MATCH($A20,'Solar-Only Proposal'!$D$32:$D$38,0))*IF(AX20&lt;=$C20,1,0))</f>
        <v>N/A - SPPA</v>
      </c>
      <c r="AZ20" s="264" t="str">
        <f t="shared" si="4"/>
        <v>N/A - SPPA</v>
      </c>
    </row>
    <row r="21" spans="1:52" ht="15" thickBot="1" x14ac:dyDescent="0.4">
      <c r="A21" s="251" t="str">
        <f t="shared" si="0"/>
        <v>13-A1</v>
      </c>
      <c r="B21" s="251" t="str">
        <f t="shared" si="1"/>
        <v>SPPA</v>
      </c>
      <c r="C21" s="251">
        <f>INDEX('Site Data'!$S$7:$S$13,MATCH($A21,'Site Data'!$C$7:$C$13,0))</f>
        <v>20</v>
      </c>
      <c r="D21" s="251" t="s">
        <v>165</v>
      </c>
      <c r="F21" s="262" t="s">
        <v>282</v>
      </c>
      <c r="G21" s="269">
        <f>IF($B21="SEL","N/A - SEL",INDEX('Microgrid Proposal'!$A$32:$X$38,MATCH($A21,'Microgrid Proposal'!$D$32:$D$38,0),MATCH($D21,'Microgrid Proposal'!$A$31:$X$31,0)))</f>
        <v>0</v>
      </c>
      <c r="H21" s="270" t="s">
        <v>275</v>
      </c>
      <c r="J21" s="519" t="s">
        <v>283</v>
      </c>
      <c r="K21" s="520"/>
      <c r="L21" s="521"/>
      <c r="N21" s="262">
        <v>4</v>
      </c>
      <c r="O21" s="293">
        <f>IF($B21="SEL","N/A - SEL",O20*(1-'System Specification'!$D$10)*IF(N21&lt;=$C21,1,0))</f>
        <v>0</v>
      </c>
      <c r="P21" s="293" t="str" cm="1">
        <f t="array" ref="P21">INDEX(PeGu!$B$24:$H$43,$S21,MATCH($A19,_xlfn.ANCHORARRAY(PeGu!$B$20),0))</f>
        <v/>
      </c>
      <c r="Q21" s="294">
        <f>IF($B21="SEL","N/A - SEL",PeGu!$E$14*POWER(1+PeGu!$E$15,$S21-1))</f>
        <v>5.463635E-2</v>
      </c>
      <c r="S21" s="262">
        <v>4</v>
      </c>
      <c r="T21" s="293">
        <f>IF($B21="SEL","N/A - SEL",T20*(1-'System Specification'!$D$10)*IF(S21&lt;=$C21,1,0))</f>
        <v>0</v>
      </c>
      <c r="U21" s="293" t="str" cm="1">
        <f t="array" ref="U21">INDEX(PeGu!$B$52:$H$71,$S21,MATCH($A19,_xlfn.ANCHORARRAY(PeGu!$B$48),0))</f>
        <v/>
      </c>
      <c r="V21" s="294">
        <f>IF($B21="SEL","N/A - SEL",PeGu!$E$14*POWER(1+PeGu!$E$15,$S21-1))</f>
        <v>5.463635E-2</v>
      </c>
      <c r="X21" s="262">
        <v>4</v>
      </c>
      <c r="Y21" s="293" t="str" cm="1">
        <f t="array" ref="Y21">IF($B21="SEL","N/A - SEL",INDEX(PeGu!$B$78:$H$97,$X21,MATCH($A19,PeGu!$B$76:$H$76,0)))</f>
        <v/>
      </c>
      <c r="Z21" s="294">
        <f>IF($B21="SEL","N/A - SEL",PeGu!$K$12*POWER(1+PeGu!$K$13,$X21-1))</f>
        <v>0</v>
      </c>
      <c r="AB21" s="263">
        <v>4</v>
      </c>
      <c r="AC21" s="264" cm="1">
        <f t="array" ref="AC21">INDEX('Contract Early Termination'!$B$14:$H$33,$AB21,MATCH($A19,_xlfn.ANCHORARRAY('Contract Early Termination'!$B$10),0))</f>
        <v>0</v>
      </c>
      <c r="AE21" s="263">
        <v>4</v>
      </c>
      <c r="AF21" s="264" cm="1">
        <f t="array" ref="AF21">INDEX('Contract Early Termination'!$B$41:$H$60,$AE21,MATCH($A19,_xlfn.ANCHORARRAY('Contract Early Termination'!$B$37),0))</f>
        <v>0</v>
      </c>
      <c r="AH21" s="263">
        <v>4</v>
      </c>
      <c r="AI21" s="264" cm="1">
        <f t="array" ref="AI21">INDEX('Contract Early Termination'!$B$68:$H$87,$AB21,MATCH($A19,_xlfn.ANCHORARRAY('Contract Early Termination'!$B$64),0))</f>
        <v>0</v>
      </c>
      <c r="AK21" s="263">
        <v>4</v>
      </c>
      <c r="AL21" s="293" t="str">
        <f>IF($B21="SPPA","N/A - SPPA",AL20*(1-'System Specification'!$D$10)*IF(AK21&lt;=$C21,1,0))</f>
        <v>N/A - SPPA</v>
      </c>
      <c r="AM21" s="293" t="str">
        <f>IF($B21="SPPA","N/A - SPPA",AM20*(1-INDEX('System Specification'!$Q$14:$Q$20,MATCH($A21,'System Specification'!$D$14:$D$20,0)))*IF(AK21&lt;=$C21,1,0))</f>
        <v>N/A - SPPA</v>
      </c>
      <c r="AN21" s="298" t="str" cm="1">
        <f t="array" ref="AN21">IF($B21="SPPA","N/A - SPPA",INDEX(PeGu!$B$78:$H$97,$AK21,MATCH($A19,PeGu!$B$76:$H$76,0)))</f>
        <v>N/A - SPPA</v>
      </c>
      <c r="AP21" s="262">
        <v>4</v>
      </c>
      <c r="AQ21" s="269" t="str">
        <f>IF($B21="SPPA","N/A - SPPA", INDEX('Microgrid Proposal'!$N$32:$N$38,MATCH($A21,'Microgrid Proposal'!$D$32:$D$38,0))*IF(AP21&lt;=$C21,1,0))</f>
        <v>N/A - SPPA</v>
      </c>
      <c r="AR21" s="264" t="str">
        <f t="shared" si="2"/>
        <v>N/A - SPPA</v>
      </c>
      <c r="AT21" s="262">
        <v>4</v>
      </c>
      <c r="AU21" s="269" t="str">
        <f>IF($B21="SPPA","N/A - SPPA", INDEX('Solar+Storage Proposal'!$N$32:$N$38,MATCH($A21,'Solar+Storage Proposal'!$D$32:$D$38,0))*IF(AT21&lt;=$C21,1,0))</f>
        <v>N/A - SPPA</v>
      </c>
      <c r="AV21" s="264" t="str">
        <f t="shared" si="3"/>
        <v>N/A - SPPA</v>
      </c>
      <c r="AX21" s="262">
        <v>4</v>
      </c>
      <c r="AY21" s="269" t="str">
        <f>IF($B21="SPPA","N/A - SPPA", INDEX('Solar-Only Proposal'!$M$32:$M$38,MATCH($A21,'Solar-Only Proposal'!$D$32:$D$38,0))*IF(AX21&lt;=$C21,1,0))</f>
        <v>N/A - SPPA</v>
      </c>
      <c r="AZ21" s="264" t="str">
        <f t="shared" si="4"/>
        <v>N/A - SPPA</v>
      </c>
    </row>
    <row r="22" spans="1:52" x14ac:dyDescent="0.35">
      <c r="A22" s="251" t="str">
        <f t="shared" si="0"/>
        <v>13-A1</v>
      </c>
      <c r="B22" s="251" t="str">
        <f t="shared" si="1"/>
        <v>SPPA</v>
      </c>
      <c r="C22" s="251">
        <f>INDEX('Site Data'!$S$7:$S$13,MATCH($A22,'Site Data'!$C$7:$C$13,0))</f>
        <v>20</v>
      </c>
      <c r="D22" s="251" t="s">
        <v>189</v>
      </c>
      <c r="E22" s="251" t="s">
        <v>165</v>
      </c>
      <c r="F22" s="262" t="s">
        <v>284</v>
      </c>
      <c r="G22" s="271">
        <f>IF($B22="SEL","N/A - SEL",INDEX('Microgrid Proposal'!$A$32:$X$38,MATCH($A22,'Microgrid Proposal'!$D$32:$D$38,0),MATCH($D22,'Microgrid Proposal'!$A$31:$X$31,0)))</f>
        <v>0</v>
      </c>
      <c r="H22" s="270" t="s">
        <v>285</v>
      </c>
      <c r="J22" s="261" t="s">
        <v>274</v>
      </c>
      <c r="K22" s="303" t="str">
        <f>IF($B22="SPPA","N/A - SPPA",INDEX('Solar+Storage Proposal'!$A$32:$X$38,MATCH($A22,'Solar+Storage Proposal'!$D$32:$D$38,0),MATCH($E22,'Solar+Storage Proposal'!$A$31:$X$31,0)))</f>
        <v>N/A - SPPA</v>
      </c>
      <c r="L22" s="304" t="s">
        <v>275</v>
      </c>
      <c r="N22" s="262">
        <v>5</v>
      </c>
      <c r="O22" s="293">
        <f>IF($B22="SEL","N/A - SEL",O21*(1-'System Specification'!$D$10)*IF(N22&lt;=$C22,1,0))</f>
        <v>0</v>
      </c>
      <c r="P22" s="293" t="str" cm="1">
        <f t="array" ref="P22">INDEX(PeGu!$B$24:$H$43,$S22,MATCH($A20,_xlfn.ANCHORARRAY(PeGu!$B$20),0))</f>
        <v/>
      </c>
      <c r="Q22" s="294">
        <f>IF($B22="SEL","N/A - SEL",PeGu!$E$14*POWER(1+PeGu!$E$15,$S22-1))</f>
        <v>5.6275440499999996E-2</v>
      </c>
      <c r="S22" s="262">
        <v>5</v>
      </c>
      <c r="T22" s="293">
        <f>IF($B22="SEL","N/A - SEL",T21*(1-'System Specification'!$D$10)*IF(S22&lt;=$C22,1,0))</f>
        <v>0</v>
      </c>
      <c r="U22" s="293" t="str" cm="1">
        <f t="array" ref="U22">INDEX(PeGu!$B$52:$H$71,$S22,MATCH($A20,_xlfn.ANCHORARRAY(PeGu!$B$48),0))</f>
        <v/>
      </c>
      <c r="V22" s="294">
        <f>IF($B22="SEL","N/A - SEL",PeGu!$E$14*POWER(1+PeGu!$E$15,$S22-1))</f>
        <v>5.6275440499999996E-2</v>
      </c>
      <c r="X22" s="262">
        <v>5</v>
      </c>
      <c r="Y22" s="293" t="str" cm="1">
        <f t="array" ref="Y22">IF($B22="SEL","N/A - SEL",INDEX(PeGu!$B$78:$H$97,$X22,MATCH($A20,PeGu!$B$76:$H$76,0)))</f>
        <v/>
      </c>
      <c r="Z22" s="294">
        <f>IF($B22="SEL","N/A - SEL",PeGu!$K$12*POWER(1+PeGu!$K$13,$X22-1))</f>
        <v>0</v>
      </c>
      <c r="AB22" s="263">
        <v>5</v>
      </c>
      <c r="AC22" s="264" cm="1">
        <f t="array" ref="AC22">INDEX('Contract Early Termination'!$B$14:$H$33,$AB22,MATCH($A20,_xlfn.ANCHORARRAY('Contract Early Termination'!$B$10),0))</f>
        <v>0</v>
      </c>
      <c r="AE22" s="263">
        <v>5</v>
      </c>
      <c r="AF22" s="264" cm="1">
        <f t="array" ref="AF22">INDEX('Contract Early Termination'!$B$41:$H$60,$AE22,MATCH($A20,_xlfn.ANCHORARRAY('Contract Early Termination'!$B$37),0))</f>
        <v>0</v>
      </c>
      <c r="AH22" s="263">
        <v>5</v>
      </c>
      <c r="AI22" s="264" cm="1">
        <f t="array" ref="AI22">INDEX('Contract Early Termination'!$B$68:$H$87,$AB22,MATCH($A20,_xlfn.ANCHORARRAY('Contract Early Termination'!$B$64),0))</f>
        <v>0</v>
      </c>
      <c r="AK22" s="263">
        <v>5</v>
      </c>
      <c r="AL22" s="293" t="str">
        <f>IF($B22="SPPA","N/A - SPPA",AL21*(1-'System Specification'!$D$10)*IF(AK22&lt;=$C22,1,0))</f>
        <v>N/A - SPPA</v>
      </c>
      <c r="AM22" s="293" t="str">
        <f>IF($B22="SPPA","N/A - SPPA",AM21*(1-INDEX('System Specification'!$Q$14:$Q$20,MATCH($A22,'System Specification'!$D$14:$D$20,0)))*IF(AK22&lt;=$C22,1,0))</f>
        <v>N/A - SPPA</v>
      </c>
      <c r="AN22" s="298" t="str" cm="1">
        <f t="array" ref="AN22">IF($B22="SPPA","N/A - SPPA",INDEX(PeGu!$B$78:$H$97,$AK22,MATCH($A20,PeGu!$B$76:$H$76,0)))</f>
        <v>N/A - SPPA</v>
      </c>
      <c r="AP22" s="262">
        <v>5</v>
      </c>
      <c r="AQ22" s="269" t="str">
        <f>IF($B22="SPPA","N/A - SPPA", INDEX('Microgrid Proposal'!$N$32:$N$38,MATCH($A22,'Microgrid Proposal'!$D$32:$D$38,0))*IF(AP22&lt;=$C22,1,0))</f>
        <v>N/A - SPPA</v>
      </c>
      <c r="AR22" s="264" t="str">
        <f t="shared" si="2"/>
        <v>N/A - SPPA</v>
      </c>
      <c r="AT22" s="262">
        <v>5</v>
      </c>
      <c r="AU22" s="269" t="str">
        <f>IF($B22="SPPA","N/A - SPPA", INDEX('Solar+Storage Proposal'!$N$32:$N$38,MATCH($A22,'Solar+Storage Proposal'!$D$32:$D$38,0))*IF(AT22&lt;=$C22,1,0))</f>
        <v>N/A - SPPA</v>
      </c>
      <c r="AV22" s="264" t="str">
        <f t="shared" si="3"/>
        <v>N/A - SPPA</v>
      </c>
      <c r="AX22" s="262">
        <v>5</v>
      </c>
      <c r="AY22" s="269" t="str">
        <f>IF($B22="SPPA","N/A - SPPA", INDEX('Solar-Only Proposal'!$M$32:$M$38,MATCH($A22,'Solar-Only Proposal'!$D$32:$D$38,0))*IF(AX22&lt;=$C22,1,0))</f>
        <v>N/A - SPPA</v>
      </c>
      <c r="AZ22" s="264" t="str">
        <f t="shared" si="4"/>
        <v>N/A - SPPA</v>
      </c>
    </row>
    <row r="23" spans="1:52" ht="15" thickBot="1" x14ac:dyDescent="0.4">
      <c r="A23" s="251" t="str">
        <f t="shared" si="0"/>
        <v>13-A1</v>
      </c>
      <c r="B23" s="251" t="str">
        <f t="shared" si="1"/>
        <v>SPPA</v>
      </c>
      <c r="C23" s="251">
        <f>INDEX('Site Data'!$S$7:$S$13,MATCH($A23,'Site Data'!$C$7:$C$13,0))</f>
        <v>20</v>
      </c>
      <c r="D23" s="251" t="s">
        <v>190</v>
      </c>
      <c r="E23" s="251" t="s">
        <v>192</v>
      </c>
      <c r="F23" s="258" t="s">
        <v>284</v>
      </c>
      <c r="G23" s="272">
        <f>IF($B23="SEL","N/A - SEL",INDEX('Microgrid Proposal'!$A$32:$X$38,MATCH($A23,'Microgrid Proposal'!$D$32:$D$38,0),MATCH($D23,'Microgrid Proposal'!$A$31:$X$31,0)))</f>
        <v>0</v>
      </c>
      <c r="H23" s="260" t="s">
        <v>286</v>
      </c>
      <c r="J23" s="262" t="s">
        <v>277</v>
      </c>
      <c r="K23" s="269" t="str">
        <f>IF($B23="SPPA","N/A - SPPA",INDEX('Solar+Storage Proposal'!$A$32:$X$38,MATCH($A23,'Solar+Storage Proposal'!$D$32:$D$38,0),MATCH($E23,'Solar+Storage Proposal'!$A$31:$X$31,0)))</f>
        <v>N/A - SPPA</v>
      </c>
      <c r="L23" s="270" t="s">
        <v>278</v>
      </c>
      <c r="N23" s="262">
        <v>6</v>
      </c>
      <c r="O23" s="293">
        <f>IF($B23="SEL","N/A - SEL",O22*(1-'System Specification'!$D$10)*IF(N23&lt;=$C23,1,0))</f>
        <v>0</v>
      </c>
      <c r="P23" s="293" t="str" cm="1">
        <f t="array" ref="P23">INDEX(PeGu!$B$24:$H$43,$S23,MATCH($A21,_xlfn.ANCHORARRAY(PeGu!$B$20),0))</f>
        <v/>
      </c>
      <c r="Q23" s="294">
        <f>IF($B23="SEL","N/A - SEL",PeGu!$E$14*POWER(1+PeGu!$E$15,$S23-1))</f>
        <v>5.7963703714999995E-2</v>
      </c>
      <c r="S23" s="262">
        <v>6</v>
      </c>
      <c r="T23" s="293">
        <f>IF($B23="SEL","N/A - SEL",T22*(1-'System Specification'!$D$10)*IF(S23&lt;=$C23,1,0))</f>
        <v>0</v>
      </c>
      <c r="U23" s="293" t="str" cm="1">
        <f t="array" ref="U23">INDEX(PeGu!$B$52:$H$71,$S23,MATCH($A21,_xlfn.ANCHORARRAY(PeGu!$B$48),0))</f>
        <v/>
      </c>
      <c r="V23" s="294">
        <f>IF($B23="SEL","N/A - SEL",PeGu!$E$14*POWER(1+PeGu!$E$15,$S23-1))</f>
        <v>5.7963703714999995E-2</v>
      </c>
      <c r="X23" s="262">
        <v>6</v>
      </c>
      <c r="Y23" s="293" t="str" cm="1">
        <f t="array" ref="Y23">IF($B23="SEL","N/A - SEL",INDEX(PeGu!$B$78:$H$97,$X23,MATCH($A21,PeGu!$B$76:$H$76,0)))</f>
        <v/>
      </c>
      <c r="Z23" s="294">
        <f>IF($B23="SEL","N/A - SEL",PeGu!$K$12*POWER(1+PeGu!$K$13,$X23-1))</f>
        <v>0</v>
      </c>
      <c r="AB23" s="263">
        <v>6</v>
      </c>
      <c r="AC23" s="264" cm="1">
        <f t="array" ref="AC23">INDEX('Contract Early Termination'!$B$14:$H$33,$AB23,MATCH($A21,_xlfn.ANCHORARRAY('Contract Early Termination'!$B$10),0))</f>
        <v>0</v>
      </c>
      <c r="AE23" s="263">
        <v>6</v>
      </c>
      <c r="AF23" s="264" cm="1">
        <f t="array" ref="AF23">INDEX('Contract Early Termination'!$B$41:$H$60,$AE23,MATCH($A21,_xlfn.ANCHORARRAY('Contract Early Termination'!$B$37),0))</f>
        <v>0</v>
      </c>
      <c r="AH23" s="263">
        <v>6</v>
      </c>
      <c r="AI23" s="264" cm="1">
        <f t="array" ref="AI23">INDEX('Contract Early Termination'!$B$68:$H$87,$AB23,MATCH($A21,_xlfn.ANCHORARRAY('Contract Early Termination'!$B$64),0))</f>
        <v>0</v>
      </c>
      <c r="AK23" s="263">
        <v>6</v>
      </c>
      <c r="AL23" s="293" t="str">
        <f>IF($B23="SPPA","N/A - SPPA",AL22*(1-'System Specification'!$D$10)*IF(AK23&lt;=$C23,1,0))</f>
        <v>N/A - SPPA</v>
      </c>
      <c r="AM23" s="293" t="str">
        <f>IF($B23="SPPA","N/A - SPPA",AM22*(1-INDEX('System Specification'!$Q$14:$Q$20,MATCH($A23,'System Specification'!$D$14:$D$20,0)))*IF(AK23&lt;=$C23,1,0))</f>
        <v>N/A - SPPA</v>
      </c>
      <c r="AN23" s="298" t="str" cm="1">
        <f t="array" ref="AN23">IF($B23="SPPA","N/A - SPPA",INDEX(PeGu!$B$78:$H$97,$AK23,MATCH($A21,PeGu!$B$76:$H$76,0)))</f>
        <v>N/A - SPPA</v>
      </c>
      <c r="AP23" s="262">
        <v>6</v>
      </c>
      <c r="AQ23" s="269" t="str">
        <f>IF($B23="SPPA","N/A - SPPA", INDEX('Microgrid Proposal'!$N$32:$N$38,MATCH($A23,'Microgrid Proposal'!$D$32:$D$38,0))*IF(AP23&lt;=$C23,1,0))</f>
        <v>N/A - SPPA</v>
      </c>
      <c r="AR23" s="264" t="str">
        <f t="shared" si="2"/>
        <v>N/A - SPPA</v>
      </c>
      <c r="AT23" s="262">
        <v>6</v>
      </c>
      <c r="AU23" s="269" t="str">
        <f>IF($B23="SPPA","N/A - SPPA", INDEX('Solar+Storage Proposal'!$N$32:$N$38,MATCH($A23,'Solar+Storage Proposal'!$D$32:$D$38,0))*IF(AT23&lt;=$C23,1,0))</f>
        <v>N/A - SPPA</v>
      </c>
      <c r="AV23" s="264" t="str">
        <f t="shared" si="3"/>
        <v>N/A - SPPA</v>
      </c>
      <c r="AX23" s="262">
        <v>6</v>
      </c>
      <c r="AY23" s="269" t="str">
        <f>IF($B23="SPPA","N/A - SPPA", INDEX('Solar-Only Proposal'!$M$32:$M$38,MATCH($A23,'Solar-Only Proposal'!$D$32:$D$38,0))*IF(AX23&lt;=$C23,1,0))</f>
        <v>N/A - SPPA</v>
      </c>
      <c r="AZ23" s="264" t="str">
        <f t="shared" si="4"/>
        <v>N/A - SPPA</v>
      </c>
    </row>
    <row r="24" spans="1:52" ht="15" thickBot="1" x14ac:dyDescent="0.4">
      <c r="A24" s="251" t="str">
        <f t="shared" si="0"/>
        <v>13-A1</v>
      </c>
      <c r="B24" s="251" t="str">
        <f t="shared" si="1"/>
        <v>SPPA</v>
      </c>
      <c r="C24" s="251">
        <f>INDEX('Site Data'!$S$7:$S$13,MATCH($A24,'Site Data'!$C$7:$C$13,0))</f>
        <v>20</v>
      </c>
      <c r="E24" s="251" t="s">
        <v>193</v>
      </c>
      <c r="F24" s="538" t="s">
        <v>287</v>
      </c>
      <c r="G24" s="539"/>
      <c r="H24" s="540"/>
      <c r="J24" s="258" t="s">
        <v>277</v>
      </c>
      <c r="K24" s="300" t="str">
        <f>IF($B24="SPPA","N/A - SPPA",INDEX('Solar+Storage Proposal'!$A$32:$X$38,MATCH($A24,'Solar+Storage Proposal'!$D$32:$D$38,0),MATCH($E24,'Solar+Storage Proposal'!$A$31:$X$31,0)))</f>
        <v>N/A - SPPA</v>
      </c>
      <c r="L24" s="260" t="s">
        <v>281</v>
      </c>
      <c r="N24" s="262">
        <v>7</v>
      </c>
      <c r="O24" s="293">
        <f>IF($B24="SEL","N/A - SEL",O23*(1-'System Specification'!$D$10)*IF(N24&lt;=$C24,1,0))</f>
        <v>0</v>
      </c>
      <c r="P24" s="293" t="str" cm="1">
        <f t="array" ref="P24">INDEX(PeGu!$B$24:$H$43,$S24,MATCH($A22,_xlfn.ANCHORARRAY(PeGu!$B$20),0))</f>
        <v/>
      </c>
      <c r="Q24" s="294">
        <f>IF($B24="SEL","N/A - SEL",PeGu!$E$14*POWER(1+PeGu!$E$15,$S24-1))</f>
        <v>5.970261482645E-2</v>
      </c>
      <c r="S24" s="262">
        <v>7</v>
      </c>
      <c r="T24" s="293">
        <f>IF($B24="SEL","N/A - SEL",T23*(1-'System Specification'!$D$10)*IF(S24&lt;=$C24,1,0))</f>
        <v>0</v>
      </c>
      <c r="U24" s="293" t="str" cm="1">
        <f t="array" ref="U24">INDEX(PeGu!$B$52:$H$71,$S24,MATCH($A22,_xlfn.ANCHORARRAY(PeGu!$B$48),0))</f>
        <v/>
      </c>
      <c r="V24" s="294">
        <f>IF($B24="SEL","N/A - SEL",PeGu!$E$14*POWER(1+PeGu!$E$15,$S24-1))</f>
        <v>5.970261482645E-2</v>
      </c>
      <c r="X24" s="262">
        <v>7</v>
      </c>
      <c r="Y24" s="293" t="str" cm="1">
        <f t="array" ref="Y24">IF($B24="SEL","N/A - SEL",INDEX(PeGu!$B$78:$H$97,$X24,MATCH($A22,PeGu!$B$76:$H$76,0)))</f>
        <v/>
      </c>
      <c r="Z24" s="294">
        <f>IF($B24="SEL","N/A - SEL",PeGu!$K$12*POWER(1+PeGu!$K$13,$X24-1))</f>
        <v>0</v>
      </c>
      <c r="AB24" s="263">
        <v>7</v>
      </c>
      <c r="AC24" s="264" cm="1">
        <f t="array" ref="AC24">INDEX('Contract Early Termination'!$B$14:$H$33,$AB24,MATCH($A22,_xlfn.ANCHORARRAY('Contract Early Termination'!$B$10),0))</f>
        <v>0</v>
      </c>
      <c r="AE24" s="263">
        <v>7</v>
      </c>
      <c r="AF24" s="264" cm="1">
        <f t="array" ref="AF24">INDEX('Contract Early Termination'!$B$41:$H$60,$AE24,MATCH($A22,_xlfn.ANCHORARRAY('Contract Early Termination'!$B$37),0))</f>
        <v>0</v>
      </c>
      <c r="AH24" s="263">
        <v>7</v>
      </c>
      <c r="AI24" s="264" cm="1">
        <f t="array" ref="AI24">INDEX('Contract Early Termination'!$B$68:$H$87,$AB24,MATCH($A22,_xlfn.ANCHORARRAY('Contract Early Termination'!$B$64),0))</f>
        <v>0</v>
      </c>
      <c r="AK24" s="263">
        <v>7</v>
      </c>
      <c r="AL24" s="293" t="str">
        <f>IF($B24="SPPA","N/A - SPPA",AL23*(1-'System Specification'!$D$10)*IF(AK24&lt;=$C24,1,0))</f>
        <v>N/A - SPPA</v>
      </c>
      <c r="AM24" s="293" t="str">
        <f>IF($B24="SPPA","N/A - SPPA",AM23*(1-INDEX('System Specification'!$Q$14:$Q$20,MATCH($A24,'System Specification'!$D$14:$D$20,0)))*IF(AK24&lt;=$C24,1,0))</f>
        <v>N/A - SPPA</v>
      </c>
      <c r="AN24" s="298" t="str" cm="1">
        <f t="array" ref="AN24">IF($B24="SPPA","N/A - SPPA",INDEX(PeGu!$B$78:$H$97,$AK24,MATCH($A22,PeGu!$B$76:$H$76,0)))</f>
        <v>N/A - SPPA</v>
      </c>
      <c r="AP24" s="262">
        <v>7</v>
      </c>
      <c r="AQ24" s="269" t="str">
        <f>IF($B24="SPPA","N/A - SPPA", INDEX('Microgrid Proposal'!$N$32:$N$38,MATCH($A24,'Microgrid Proposal'!$D$32:$D$38,0))*IF(AP24&lt;=$C24,1,0))</f>
        <v>N/A - SPPA</v>
      </c>
      <c r="AR24" s="264" t="str">
        <f t="shared" si="2"/>
        <v>N/A - SPPA</v>
      </c>
      <c r="AT24" s="262">
        <v>7</v>
      </c>
      <c r="AU24" s="269" t="str">
        <f>IF($B24="SPPA","N/A - SPPA", INDEX('Solar+Storage Proposal'!$N$32:$N$38,MATCH($A24,'Solar+Storage Proposal'!$D$32:$D$38,0))*IF(AT24&lt;=$C24,1,0))</f>
        <v>N/A - SPPA</v>
      </c>
      <c r="AV24" s="264" t="str">
        <f t="shared" si="3"/>
        <v>N/A - SPPA</v>
      </c>
      <c r="AX24" s="262">
        <v>7</v>
      </c>
      <c r="AY24" s="269" t="str">
        <f>IF($B24="SPPA","N/A - SPPA", INDEX('Solar-Only Proposal'!$M$32:$M$38,MATCH($A24,'Solar-Only Proposal'!$D$32:$D$38,0))*IF(AX24&lt;=$C24,1,0))</f>
        <v>N/A - SPPA</v>
      </c>
      <c r="AZ24" s="264" t="str">
        <f t="shared" si="4"/>
        <v>N/A - SPPA</v>
      </c>
    </row>
    <row r="25" spans="1:52" ht="15" thickBot="1" x14ac:dyDescent="0.4">
      <c r="A25" s="251" t="str">
        <f t="shared" si="0"/>
        <v>13-A1</v>
      </c>
      <c r="B25" s="251" t="str">
        <f t="shared" si="1"/>
        <v>SPPA</v>
      </c>
      <c r="C25" s="251">
        <f>INDEX('Site Data'!$S$7:$S$13,MATCH($A25,'Site Data'!$C$7:$C$13,0))</f>
        <v>20</v>
      </c>
      <c r="D25" s="251" t="s">
        <v>188</v>
      </c>
      <c r="F25" s="266" t="s">
        <v>279</v>
      </c>
      <c r="G25" s="267">
        <f>IF($B25="SEL","N/A - SEL",INDEX('Solar+Storage Proposal'!$A$32:$X$38,MATCH($A25,'Solar+Storage Proposal'!$D$32:$D$38,0),MATCH($D25,'Solar+Storage Proposal'!$A$31:$X$31,0)))</f>
        <v>0</v>
      </c>
      <c r="H25" s="268" t="s">
        <v>280</v>
      </c>
      <c r="J25" s="519" t="s">
        <v>288</v>
      </c>
      <c r="K25" s="520"/>
      <c r="L25" s="521"/>
      <c r="N25" s="262">
        <v>8</v>
      </c>
      <c r="O25" s="293">
        <f>IF($B25="SEL","N/A - SEL",O24*(1-'System Specification'!$D$10)*IF(N25&lt;=$C25,1,0))</f>
        <v>0</v>
      </c>
      <c r="P25" s="293" t="str" cm="1">
        <f t="array" ref="P25">INDEX(PeGu!$B$24:$H$43,$S25,MATCH($A23,_xlfn.ANCHORARRAY(PeGu!$B$20),0))</f>
        <v/>
      </c>
      <c r="Q25" s="294">
        <f>IF($B25="SEL","N/A - SEL",PeGu!$E$14*POWER(1+PeGu!$E$15,$S25-1))</f>
        <v>6.1493693271243502E-2</v>
      </c>
      <c r="S25" s="262">
        <v>8</v>
      </c>
      <c r="T25" s="293">
        <f>IF($B25="SEL","N/A - SEL",T24*(1-'System Specification'!$D$10)*IF(S25&lt;=$C25,1,0))</f>
        <v>0</v>
      </c>
      <c r="U25" s="293" t="str" cm="1">
        <f t="array" ref="U25">INDEX(PeGu!$B$52:$H$71,$S25,MATCH($A23,_xlfn.ANCHORARRAY(PeGu!$B$48),0))</f>
        <v/>
      </c>
      <c r="V25" s="294">
        <f>IF($B25="SEL","N/A - SEL",PeGu!$E$14*POWER(1+PeGu!$E$15,$S25-1))</f>
        <v>6.1493693271243502E-2</v>
      </c>
      <c r="X25" s="262">
        <v>8</v>
      </c>
      <c r="Y25" s="293" t="str" cm="1">
        <f t="array" ref="Y25">IF($B25="SEL","N/A - SEL",INDEX(PeGu!$B$78:$H$97,$X25,MATCH($A23,PeGu!$B$76:$H$76,0)))</f>
        <v/>
      </c>
      <c r="Z25" s="294">
        <f>IF($B25="SEL","N/A - SEL",PeGu!$K$12*POWER(1+PeGu!$K$13,$X25-1))</f>
        <v>0</v>
      </c>
      <c r="AB25" s="263">
        <v>8</v>
      </c>
      <c r="AC25" s="264" cm="1">
        <f t="array" ref="AC25">INDEX('Contract Early Termination'!$B$14:$H$33,$AB25,MATCH($A23,_xlfn.ANCHORARRAY('Contract Early Termination'!$B$10),0))</f>
        <v>0</v>
      </c>
      <c r="AE25" s="263">
        <v>8</v>
      </c>
      <c r="AF25" s="264" cm="1">
        <f t="array" ref="AF25">INDEX('Contract Early Termination'!$B$41:$H$60,$AE25,MATCH($A23,_xlfn.ANCHORARRAY('Contract Early Termination'!$B$37),0))</f>
        <v>0</v>
      </c>
      <c r="AH25" s="263">
        <v>8</v>
      </c>
      <c r="AI25" s="264" cm="1">
        <f t="array" ref="AI25">INDEX('Contract Early Termination'!$B$68:$H$87,$AB25,MATCH($A23,_xlfn.ANCHORARRAY('Contract Early Termination'!$B$64),0))</f>
        <v>0</v>
      </c>
      <c r="AK25" s="263">
        <v>8</v>
      </c>
      <c r="AL25" s="293" t="str">
        <f>IF($B25="SPPA","N/A - SPPA",AL24*(1-'System Specification'!$D$10)*IF(AK25&lt;=$C25,1,0))</f>
        <v>N/A - SPPA</v>
      </c>
      <c r="AM25" s="293" t="str">
        <f>IF($B25="SPPA","N/A - SPPA",AM24*(1-INDEX('System Specification'!$Q$14:$Q$20,MATCH($A25,'System Specification'!$D$14:$D$20,0)))*IF(AK25&lt;=$C25,1,0))</f>
        <v>N/A - SPPA</v>
      </c>
      <c r="AN25" s="298" t="str" cm="1">
        <f t="array" ref="AN25">IF($B25="SPPA","N/A - SPPA",INDEX(PeGu!$B$78:$H$97,$AK25,MATCH($A23,PeGu!$B$76:$H$76,0)))</f>
        <v>N/A - SPPA</v>
      </c>
      <c r="AP25" s="262">
        <v>8</v>
      </c>
      <c r="AQ25" s="269" t="str">
        <f>IF($B25="SPPA","N/A - SPPA", INDEX('Microgrid Proposal'!$N$32:$N$38,MATCH($A25,'Microgrid Proposal'!$D$32:$D$38,0))*IF(AP25&lt;=$C25,1,0))</f>
        <v>N/A - SPPA</v>
      </c>
      <c r="AR25" s="264" t="str">
        <f t="shared" si="2"/>
        <v>N/A - SPPA</v>
      </c>
      <c r="AT25" s="262">
        <v>8</v>
      </c>
      <c r="AU25" s="269" t="str">
        <f>IF($B25="SPPA","N/A - SPPA", INDEX('Solar+Storage Proposal'!$N$32:$N$38,MATCH($A25,'Solar+Storage Proposal'!$D$32:$D$38,0))*IF(AT25&lt;=$C25,1,0))</f>
        <v>N/A - SPPA</v>
      </c>
      <c r="AV25" s="264" t="str">
        <f t="shared" si="3"/>
        <v>N/A - SPPA</v>
      </c>
      <c r="AX25" s="262">
        <v>8</v>
      </c>
      <c r="AY25" s="269" t="str">
        <f>IF($B25="SPPA","N/A - SPPA", INDEX('Solar-Only Proposal'!$M$32:$M$38,MATCH($A25,'Solar-Only Proposal'!$D$32:$D$38,0))*IF(AX25&lt;=$C25,1,0))</f>
        <v>N/A - SPPA</v>
      </c>
      <c r="AZ25" s="264" t="str">
        <f t="shared" si="4"/>
        <v>N/A - SPPA</v>
      </c>
    </row>
    <row r="26" spans="1:52" x14ac:dyDescent="0.35">
      <c r="A26" s="251" t="str">
        <f t="shared" si="0"/>
        <v>13-A1</v>
      </c>
      <c r="B26" s="251" t="str">
        <f t="shared" si="1"/>
        <v>SPPA</v>
      </c>
      <c r="C26" s="251">
        <f>INDEX('Site Data'!$S$7:$S$13,MATCH($A26,'Site Data'!$C$7:$C$13,0))</f>
        <v>20</v>
      </c>
      <c r="D26" s="251" t="s">
        <v>165</v>
      </c>
      <c r="E26" s="251" t="s">
        <v>165</v>
      </c>
      <c r="F26" s="262" t="s">
        <v>282</v>
      </c>
      <c r="G26" s="269">
        <f>IF($B26="SEL","N/A - SEL",INDEX('Solar+Storage Proposal'!$A$32:$X$38,MATCH($A26,'Solar+Storage Proposal'!$D$32:$D$38,0),MATCH($D26,'Solar+Storage Proposal'!$A$31:$X$31,0)))</f>
        <v>0</v>
      </c>
      <c r="H26" s="270" t="s">
        <v>275</v>
      </c>
      <c r="J26" s="261" t="s">
        <v>274</v>
      </c>
      <c r="K26" s="303" t="str">
        <f>IF($B26="SPPA","N/A - SPPA",INDEX('Solar-Only Proposal'!$A$32:$W$38,MATCH($A26,'Solar-Only Proposal'!$D$32:$D$38,0),MATCH($E26,'Solar-Only Proposal'!$A$31:$W$31,0)))</f>
        <v>N/A - SPPA</v>
      </c>
      <c r="L26" s="304" t="s">
        <v>275</v>
      </c>
      <c r="N26" s="262">
        <v>9</v>
      </c>
      <c r="O26" s="293">
        <f>IF($B26="SEL","N/A - SEL",O25*(1-'System Specification'!$D$10)*IF(N26&lt;=$C26,1,0))</f>
        <v>0</v>
      </c>
      <c r="P26" s="293" t="str" cm="1">
        <f t="array" ref="P26">INDEX(PeGu!$B$24:$H$43,$S26,MATCH($A24,_xlfn.ANCHORARRAY(PeGu!$B$20),0))</f>
        <v/>
      </c>
      <c r="Q26" s="294">
        <f>IF($B26="SEL","N/A - SEL",PeGu!$E$14*POWER(1+PeGu!$E$15,$S26-1))</f>
        <v>6.3338504069380797E-2</v>
      </c>
      <c r="S26" s="262">
        <v>9</v>
      </c>
      <c r="T26" s="293">
        <f>IF($B26="SEL","N/A - SEL",T25*(1-'System Specification'!$D$10)*IF(S26&lt;=$C26,1,0))</f>
        <v>0</v>
      </c>
      <c r="U26" s="293" t="str" cm="1">
        <f t="array" ref="U26">INDEX(PeGu!$B$52:$H$71,$S26,MATCH($A24,_xlfn.ANCHORARRAY(PeGu!$B$48),0))</f>
        <v/>
      </c>
      <c r="V26" s="294">
        <f>IF($B26="SEL","N/A - SEL",PeGu!$E$14*POWER(1+PeGu!$E$15,$S26-1))</f>
        <v>6.3338504069380797E-2</v>
      </c>
      <c r="X26" s="262">
        <v>9</v>
      </c>
      <c r="Y26" s="293" t="str" cm="1">
        <f t="array" ref="Y26">IF($B26="SEL","N/A - SEL",INDEX(PeGu!$B$78:$H$97,$X26,MATCH($A24,PeGu!$B$76:$H$76,0)))</f>
        <v/>
      </c>
      <c r="Z26" s="294">
        <f>IF($B26="SEL","N/A - SEL",PeGu!$K$12*POWER(1+PeGu!$K$13,$X26-1))</f>
        <v>0</v>
      </c>
      <c r="AB26" s="263">
        <v>9</v>
      </c>
      <c r="AC26" s="264" cm="1">
        <f t="array" ref="AC26">INDEX('Contract Early Termination'!$B$14:$H$33,$AB26,MATCH($A24,_xlfn.ANCHORARRAY('Contract Early Termination'!$B$10),0))</f>
        <v>0</v>
      </c>
      <c r="AE26" s="263">
        <v>9</v>
      </c>
      <c r="AF26" s="264" cm="1">
        <f t="array" ref="AF26">INDEX('Contract Early Termination'!$B$41:$H$60,$AE26,MATCH($A24,_xlfn.ANCHORARRAY('Contract Early Termination'!$B$37),0))</f>
        <v>0</v>
      </c>
      <c r="AH26" s="263">
        <v>9</v>
      </c>
      <c r="AI26" s="264" cm="1">
        <f t="array" ref="AI26">INDEX('Contract Early Termination'!$B$68:$H$87,$AB26,MATCH($A24,_xlfn.ANCHORARRAY('Contract Early Termination'!$B$64),0))</f>
        <v>0</v>
      </c>
      <c r="AK26" s="263">
        <v>9</v>
      </c>
      <c r="AL26" s="293" t="str">
        <f>IF($B26="SPPA","N/A - SPPA",AL25*(1-'System Specification'!$D$10)*IF(AK26&lt;=$C26,1,0))</f>
        <v>N/A - SPPA</v>
      </c>
      <c r="AM26" s="293" t="str">
        <f>IF($B26="SPPA","N/A - SPPA",AM25*(1-INDEX('System Specification'!$Q$14:$Q$20,MATCH($A26,'System Specification'!$D$14:$D$20,0)))*IF(AK26&lt;=$C26,1,0))</f>
        <v>N/A - SPPA</v>
      </c>
      <c r="AN26" s="298" t="str" cm="1">
        <f t="array" ref="AN26">IF($B26="SPPA","N/A - SPPA",INDEX(PeGu!$B$78:$H$97,$AK26,MATCH($A24,PeGu!$B$76:$H$76,0)))</f>
        <v>N/A - SPPA</v>
      </c>
      <c r="AP26" s="262">
        <v>9</v>
      </c>
      <c r="AQ26" s="269" t="str">
        <f>IF($B26="SPPA","N/A - SPPA", INDEX('Microgrid Proposal'!$N$32:$N$38,MATCH($A26,'Microgrid Proposal'!$D$32:$D$38,0))*IF(AP26&lt;=$C26,1,0))</f>
        <v>N/A - SPPA</v>
      </c>
      <c r="AR26" s="264" t="str">
        <f t="shared" si="2"/>
        <v>N/A - SPPA</v>
      </c>
      <c r="AT26" s="262">
        <v>9</v>
      </c>
      <c r="AU26" s="269" t="str">
        <f>IF($B26="SPPA","N/A - SPPA", INDEX('Solar+Storage Proposal'!$N$32:$N$38,MATCH($A26,'Solar+Storage Proposal'!$D$32:$D$38,0))*IF(AT26&lt;=$C26,1,0))</f>
        <v>N/A - SPPA</v>
      </c>
      <c r="AV26" s="264" t="str">
        <f t="shared" si="3"/>
        <v>N/A - SPPA</v>
      </c>
      <c r="AX26" s="262">
        <v>9</v>
      </c>
      <c r="AY26" s="269" t="str">
        <f>IF($B26="SPPA","N/A - SPPA", INDEX('Solar-Only Proposal'!$M$32:$M$38,MATCH($A26,'Solar-Only Proposal'!$D$32:$D$38,0))*IF(AX26&lt;=$C26,1,0))</f>
        <v>N/A - SPPA</v>
      </c>
      <c r="AZ26" s="264" t="str">
        <f t="shared" si="4"/>
        <v>N/A - SPPA</v>
      </c>
    </row>
    <row r="27" spans="1:52" x14ac:dyDescent="0.35">
      <c r="A27" s="251" t="str">
        <f t="shared" si="0"/>
        <v>13-A1</v>
      </c>
      <c r="B27" s="251" t="str">
        <f t="shared" si="1"/>
        <v>SPPA</v>
      </c>
      <c r="C27" s="251">
        <f>INDEX('Site Data'!$S$7:$S$13,MATCH($A27,'Site Data'!$C$7:$C$13,0))</f>
        <v>20</v>
      </c>
      <c r="D27" s="251" t="s">
        <v>189</v>
      </c>
      <c r="E27" s="251" t="s">
        <v>192</v>
      </c>
      <c r="F27" s="262" t="s">
        <v>284</v>
      </c>
      <c r="G27" s="271">
        <f>IF($B27="SEL","N/A - SEL",INDEX('Solar+Storage Proposal'!$A$32:$X$38,MATCH($A27,'Solar+Storage Proposal'!$D$32:$D$38,0),MATCH($D27,'Solar+Storage Proposal'!$A$31:$X$31,0)))</f>
        <v>0</v>
      </c>
      <c r="H27" s="270" t="s">
        <v>285</v>
      </c>
      <c r="J27" s="262" t="s">
        <v>277</v>
      </c>
      <c r="K27" s="269" t="str">
        <f>IF($B27="SPPA","N/A - SPPA",INDEX('Solar-Only Proposal'!$A$32:$W$38,MATCH($A27,'Solar-Only Proposal'!$D$32:$D$38,0),MATCH($E27,'Solar-Only Proposal'!$A$31:$W$31,0)))</f>
        <v>N/A - SPPA</v>
      </c>
      <c r="L27" s="270" t="s">
        <v>278</v>
      </c>
      <c r="N27" s="262">
        <v>10</v>
      </c>
      <c r="O27" s="293">
        <f>IF($B27="SEL","N/A - SEL",O26*(1-'System Specification'!$D$10)*IF(N27&lt;=$C27,1,0))</f>
        <v>0</v>
      </c>
      <c r="P27" s="293" t="str" cm="1">
        <f t="array" ref="P27">INDEX(PeGu!$B$24:$H$43,$S27,MATCH($A25,_xlfn.ANCHORARRAY(PeGu!$B$20),0))</f>
        <v/>
      </c>
      <c r="Q27" s="294">
        <f>IF($B27="SEL","N/A - SEL",PeGu!$E$14*POWER(1+PeGu!$E$15,$S27-1))</f>
        <v>6.5238659191462225E-2</v>
      </c>
      <c r="S27" s="262">
        <v>10</v>
      </c>
      <c r="T27" s="293">
        <f>IF($B27="SEL","N/A - SEL",T26*(1-'System Specification'!$D$10)*IF(S27&lt;=$C27,1,0))</f>
        <v>0</v>
      </c>
      <c r="U27" s="293" t="str" cm="1">
        <f t="array" ref="U27">INDEX(PeGu!$B$52:$H$71,$S27,MATCH($A25,_xlfn.ANCHORARRAY(PeGu!$B$48),0))</f>
        <v/>
      </c>
      <c r="V27" s="294">
        <f>IF($B27="SEL","N/A - SEL",PeGu!$E$14*POWER(1+PeGu!$E$15,$S27-1))</f>
        <v>6.5238659191462225E-2</v>
      </c>
      <c r="X27" s="262">
        <v>10</v>
      </c>
      <c r="Y27" s="293" t="str" cm="1">
        <f t="array" ref="Y27">IF($B27="SEL","N/A - SEL",INDEX(PeGu!$B$78:$H$97,$X27,MATCH($A25,PeGu!$B$76:$H$76,0)))</f>
        <v/>
      </c>
      <c r="Z27" s="294">
        <f>IF($B27="SEL","N/A - SEL",PeGu!$K$12*POWER(1+PeGu!$K$13,$X27-1))</f>
        <v>0</v>
      </c>
      <c r="AB27" s="263">
        <v>10</v>
      </c>
      <c r="AC27" s="264" cm="1">
        <f t="array" ref="AC27">INDEX('Contract Early Termination'!$B$14:$H$33,$AB27,MATCH($A25,_xlfn.ANCHORARRAY('Contract Early Termination'!$B$10),0))</f>
        <v>0</v>
      </c>
      <c r="AE27" s="263">
        <v>10</v>
      </c>
      <c r="AF27" s="264" cm="1">
        <f t="array" ref="AF27">INDEX('Contract Early Termination'!$B$41:$H$60,$AE27,MATCH($A25,_xlfn.ANCHORARRAY('Contract Early Termination'!$B$37),0))</f>
        <v>0</v>
      </c>
      <c r="AH27" s="263">
        <v>10</v>
      </c>
      <c r="AI27" s="264" cm="1">
        <f t="array" ref="AI27">INDEX('Contract Early Termination'!$B$68:$H$87,$AB27,MATCH($A25,_xlfn.ANCHORARRAY('Contract Early Termination'!$B$64),0))</f>
        <v>0</v>
      </c>
      <c r="AK27" s="263">
        <v>10</v>
      </c>
      <c r="AL27" s="293" t="str">
        <f>IF($B27="SPPA","N/A - SPPA",AL26*(1-'System Specification'!$D$10)*IF(AK27&lt;=$C27,1,0))</f>
        <v>N/A - SPPA</v>
      </c>
      <c r="AM27" s="293" t="str">
        <f>IF($B27="SPPA","N/A - SPPA",AM26*(1-INDEX('System Specification'!$Q$14:$Q$20,MATCH($A27,'System Specification'!$D$14:$D$20,0)))*IF(AK27&lt;=$C27,1,0))</f>
        <v>N/A - SPPA</v>
      </c>
      <c r="AN27" s="298" t="str" cm="1">
        <f t="array" ref="AN27">IF($B27="SPPA","N/A - SPPA",INDEX(PeGu!$B$78:$H$97,$AK27,MATCH($A25,PeGu!$B$76:$H$76,0)))</f>
        <v>N/A - SPPA</v>
      </c>
      <c r="AP27" s="262">
        <v>10</v>
      </c>
      <c r="AQ27" s="269" t="str">
        <f>IF($B27="SPPA","N/A - SPPA", INDEX('Microgrid Proposal'!$N$32:$N$38,MATCH($A27,'Microgrid Proposal'!$D$32:$D$38,0))*IF(AP27&lt;=$C27,1,0))</f>
        <v>N/A - SPPA</v>
      </c>
      <c r="AR27" s="264" t="str">
        <f t="shared" si="2"/>
        <v>N/A - SPPA</v>
      </c>
      <c r="AT27" s="262">
        <v>10</v>
      </c>
      <c r="AU27" s="269" t="str">
        <f>IF($B27="SPPA","N/A - SPPA", INDEX('Solar+Storage Proposal'!$N$32:$N$38,MATCH($A27,'Solar+Storage Proposal'!$D$32:$D$38,0))*IF(AT27&lt;=$C27,1,0))</f>
        <v>N/A - SPPA</v>
      </c>
      <c r="AV27" s="264" t="str">
        <f t="shared" si="3"/>
        <v>N/A - SPPA</v>
      </c>
      <c r="AX27" s="262">
        <v>10</v>
      </c>
      <c r="AY27" s="269" t="str">
        <f>IF($B27="SPPA","N/A - SPPA", INDEX('Solar-Only Proposal'!$M$32:$M$38,MATCH($A27,'Solar-Only Proposal'!$D$32:$D$38,0))*IF(AX27&lt;=$C27,1,0))</f>
        <v>N/A - SPPA</v>
      </c>
      <c r="AZ27" s="264" t="str">
        <f t="shared" si="4"/>
        <v>N/A - SPPA</v>
      </c>
    </row>
    <row r="28" spans="1:52" ht="15" thickBot="1" x14ac:dyDescent="0.4">
      <c r="A28" s="251" t="str">
        <f t="shared" si="0"/>
        <v>13-A1</v>
      </c>
      <c r="B28" s="251" t="str">
        <f t="shared" si="1"/>
        <v>SPPA</v>
      </c>
      <c r="C28" s="251">
        <f>INDEX('Site Data'!$S$7:$S$13,MATCH($A28,'Site Data'!$C$7:$C$13,0))</f>
        <v>20</v>
      </c>
      <c r="D28" s="251" t="s">
        <v>190</v>
      </c>
      <c r="E28" s="251" t="s">
        <v>193</v>
      </c>
      <c r="F28" s="258" t="s">
        <v>284</v>
      </c>
      <c r="G28" s="272">
        <f>IF($B28="SEL","N/A - SEL",INDEX('Solar+Storage Proposal'!$A$32:$X$38,MATCH($A28,'Solar+Storage Proposal'!$D$32:$D$38,0),MATCH($D28,'Solar+Storage Proposal'!$A$31:$X$31,0)))</f>
        <v>0</v>
      </c>
      <c r="H28" s="260" t="s">
        <v>286</v>
      </c>
      <c r="J28" s="258" t="s">
        <v>277</v>
      </c>
      <c r="K28" s="300" t="str">
        <f>IF($B28="SPPA","N/A - SPPA",INDEX('Solar-Only Proposal'!$A$32:$W$38,MATCH($A28,'Solar-Only Proposal'!$D$32:$D$38,0),MATCH($E28,'Solar-Only Proposal'!$A$31:$W$31,0)))</f>
        <v>N/A - SPPA</v>
      </c>
      <c r="L28" s="260" t="s">
        <v>281</v>
      </c>
      <c r="N28" s="262">
        <v>11</v>
      </c>
      <c r="O28" s="293">
        <f>IF($B28="SEL","N/A - SEL",O27*(1-'System Specification'!$D$10)*IF(N28&lt;=$C28,1,0))</f>
        <v>0</v>
      </c>
      <c r="P28" s="293" t="str" cm="1">
        <f t="array" ref="P28">INDEX(PeGu!$B$24:$H$43,$S28,MATCH($A26,_xlfn.ANCHORARRAY(PeGu!$B$20),0))</f>
        <v/>
      </c>
      <c r="Q28" s="294">
        <f>IF($B28="SEL","N/A - SEL",PeGu!$E$14*POWER(1+PeGu!$E$15,$S28-1))</f>
        <v>6.7195818967206097E-2</v>
      </c>
      <c r="S28" s="262">
        <v>11</v>
      </c>
      <c r="T28" s="293">
        <f>IF($B28="SEL","N/A - SEL",T27*(1-'System Specification'!$D$10)*IF(S28&lt;=$C28,1,0))</f>
        <v>0</v>
      </c>
      <c r="U28" s="293" t="str" cm="1">
        <f t="array" ref="U28">INDEX(PeGu!$B$52:$H$71,$S28,MATCH($A26,_xlfn.ANCHORARRAY(PeGu!$B$48),0))</f>
        <v/>
      </c>
      <c r="V28" s="294">
        <f>IF($B28="SEL","N/A - SEL",PeGu!$E$14*POWER(1+PeGu!$E$15,$S28-1))</f>
        <v>6.7195818967206097E-2</v>
      </c>
      <c r="X28" s="262">
        <v>11</v>
      </c>
      <c r="Y28" s="293" t="str" cm="1">
        <f t="array" ref="Y28">IF($B28="SEL","N/A - SEL",INDEX(PeGu!$B$78:$H$97,$X28,MATCH($A26,PeGu!$B$76:$H$76,0)))</f>
        <v/>
      </c>
      <c r="Z28" s="294">
        <f>IF($B28="SEL","N/A - SEL",PeGu!$K$12*POWER(1+PeGu!$K$13,$X28-1))</f>
        <v>0</v>
      </c>
      <c r="AB28" s="263">
        <v>11</v>
      </c>
      <c r="AC28" s="264" cm="1">
        <f t="array" ref="AC28">INDEX('Contract Early Termination'!$B$14:$H$33,$AB28,MATCH($A26,_xlfn.ANCHORARRAY('Contract Early Termination'!$B$10),0))</f>
        <v>0</v>
      </c>
      <c r="AE28" s="263">
        <v>11</v>
      </c>
      <c r="AF28" s="264" cm="1">
        <f t="array" ref="AF28">INDEX('Contract Early Termination'!$B$41:$H$60,$AE28,MATCH($A26,_xlfn.ANCHORARRAY('Contract Early Termination'!$B$37),0))</f>
        <v>0</v>
      </c>
      <c r="AH28" s="263">
        <v>11</v>
      </c>
      <c r="AI28" s="264" cm="1">
        <f t="array" ref="AI28">INDEX('Contract Early Termination'!$B$68:$H$87,$AB28,MATCH($A26,_xlfn.ANCHORARRAY('Contract Early Termination'!$B$64),0))</f>
        <v>0</v>
      </c>
      <c r="AK28" s="263">
        <v>11</v>
      </c>
      <c r="AL28" s="293" t="str">
        <f>IF($B28="SPPA","N/A - SPPA",AL27*(1-'System Specification'!$D$10)*IF(AK28&lt;=$C28,1,0))</f>
        <v>N/A - SPPA</v>
      </c>
      <c r="AM28" s="293" t="str">
        <f>IF($B28="SPPA","N/A - SPPA",AM27*(1-INDEX('System Specification'!$Q$14:$Q$20,MATCH($A28,'System Specification'!$D$14:$D$20,0)))*IF(AK28&lt;=$C28,1,0))</f>
        <v>N/A - SPPA</v>
      </c>
      <c r="AN28" s="298" t="str" cm="1">
        <f t="array" ref="AN28">IF($B28="SPPA","N/A - SPPA",INDEX(PeGu!$B$78:$H$97,$AK28,MATCH($A26,PeGu!$B$76:$H$76,0)))</f>
        <v>N/A - SPPA</v>
      </c>
      <c r="AP28" s="262">
        <v>11</v>
      </c>
      <c r="AQ28" s="269" t="str">
        <f>IF($B28="SPPA","N/A - SPPA", INDEX('Microgrid Proposal'!$N$32:$N$38,MATCH($A28,'Microgrid Proposal'!$D$32:$D$38,0))*IF(AP28&lt;=$C28,1,0))</f>
        <v>N/A - SPPA</v>
      </c>
      <c r="AR28" s="264" t="str">
        <f t="shared" si="2"/>
        <v>N/A - SPPA</v>
      </c>
      <c r="AT28" s="262">
        <v>11</v>
      </c>
      <c r="AU28" s="269" t="str">
        <f>IF($B28="SPPA","N/A - SPPA", INDEX('Solar+Storage Proposal'!$N$32:$N$38,MATCH($A28,'Solar+Storage Proposal'!$D$32:$D$38,0))*IF(AT28&lt;=$C28,1,0))</f>
        <v>N/A - SPPA</v>
      </c>
      <c r="AV28" s="264" t="str">
        <f t="shared" si="3"/>
        <v>N/A - SPPA</v>
      </c>
      <c r="AX28" s="262">
        <v>11</v>
      </c>
      <c r="AY28" s="269" t="str">
        <f>IF($B28="SPPA","N/A - SPPA", INDEX('Solar-Only Proposal'!$M$32:$M$38,MATCH($A28,'Solar-Only Proposal'!$D$32:$D$38,0))*IF(AX28&lt;=$C28,1,0))</f>
        <v>N/A - SPPA</v>
      </c>
      <c r="AZ28" s="264" t="str">
        <f t="shared" si="4"/>
        <v>N/A - SPPA</v>
      </c>
    </row>
    <row r="29" spans="1:52" ht="15" thickBot="1" x14ac:dyDescent="0.4">
      <c r="A29" s="251" t="str">
        <f t="shared" si="0"/>
        <v>13-A1</v>
      </c>
      <c r="B29" s="251" t="str">
        <f t="shared" si="1"/>
        <v>SPPA</v>
      </c>
      <c r="C29" s="251">
        <f>INDEX('Site Data'!$S$7:$S$13,MATCH($A29,'Site Data'!$C$7:$C$13,0))</f>
        <v>20</v>
      </c>
      <c r="F29" s="505" t="s">
        <v>289</v>
      </c>
      <c r="G29" s="506"/>
      <c r="H29" s="507"/>
      <c r="N29" s="262">
        <v>12</v>
      </c>
      <c r="O29" s="293">
        <f>IF($B29="SEL","N/A - SEL",O28*(1-'System Specification'!$D$10)*IF(N29&lt;=$C29,1,0))</f>
        <v>0</v>
      </c>
      <c r="P29" s="293" t="str" cm="1">
        <f t="array" ref="P29">INDEX(PeGu!$B$24:$H$43,$S29,MATCH($A27,_xlfn.ANCHORARRAY(PeGu!$B$20),0))</f>
        <v/>
      </c>
      <c r="Q29" s="294">
        <f>IF($B29="SEL","N/A - SEL",PeGu!$E$14*POWER(1+PeGu!$E$15,$S29-1))</f>
        <v>6.921169353622228E-2</v>
      </c>
      <c r="S29" s="262">
        <v>12</v>
      </c>
      <c r="T29" s="293">
        <f>IF($B29="SEL","N/A - SEL",T28*(1-'System Specification'!$D$10)*IF(S29&lt;=$C29,1,0))</f>
        <v>0</v>
      </c>
      <c r="U29" s="293" t="str" cm="1">
        <f t="array" ref="U29">INDEX(PeGu!$B$52:$H$71,$S29,MATCH($A27,_xlfn.ANCHORARRAY(PeGu!$B$48),0))</f>
        <v/>
      </c>
      <c r="V29" s="294">
        <f>IF($B29="SEL","N/A - SEL",PeGu!$E$14*POWER(1+PeGu!$E$15,$S29-1))</f>
        <v>6.921169353622228E-2</v>
      </c>
      <c r="X29" s="262">
        <v>12</v>
      </c>
      <c r="Y29" s="293" t="str" cm="1">
        <f t="array" ref="Y29">IF($B29="SEL","N/A - SEL",INDEX(PeGu!$B$78:$H$97,$X29,MATCH($A27,PeGu!$B$76:$H$76,0)))</f>
        <v/>
      </c>
      <c r="Z29" s="294">
        <f>IF($B29="SEL","N/A - SEL",PeGu!$K$12*POWER(1+PeGu!$K$13,$X29-1))</f>
        <v>0</v>
      </c>
      <c r="AB29" s="263">
        <v>12</v>
      </c>
      <c r="AC29" s="264" cm="1">
        <f t="array" ref="AC29">INDEX('Contract Early Termination'!$B$14:$H$33,$AB29,MATCH($A27,_xlfn.ANCHORARRAY('Contract Early Termination'!$B$10),0))</f>
        <v>0</v>
      </c>
      <c r="AE29" s="263">
        <v>12</v>
      </c>
      <c r="AF29" s="264" cm="1">
        <f t="array" ref="AF29">INDEX('Contract Early Termination'!$B$41:$H$60,$AE29,MATCH($A27,_xlfn.ANCHORARRAY('Contract Early Termination'!$B$37),0))</f>
        <v>0</v>
      </c>
      <c r="AH29" s="263">
        <v>12</v>
      </c>
      <c r="AI29" s="264" cm="1">
        <f t="array" ref="AI29">INDEX('Contract Early Termination'!$B$68:$H$87,$AB29,MATCH($A27,_xlfn.ANCHORARRAY('Contract Early Termination'!$B$64),0))</f>
        <v>0</v>
      </c>
      <c r="AK29" s="263">
        <v>12</v>
      </c>
      <c r="AL29" s="293" t="str">
        <f>IF($B29="SPPA","N/A - SPPA",AL28*(1-'System Specification'!$D$10)*IF(AK29&lt;=$C29,1,0))</f>
        <v>N/A - SPPA</v>
      </c>
      <c r="AM29" s="293" t="str">
        <f>IF($B29="SPPA","N/A - SPPA",AM28*(1-INDEX('System Specification'!$Q$14:$Q$20,MATCH($A29,'System Specification'!$D$14:$D$20,0)))*IF(AK29&lt;=$C29,1,0))</f>
        <v>N/A - SPPA</v>
      </c>
      <c r="AN29" s="298" t="str" cm="1">
        <f t="array" ref="AN29">IF($B29="SPPA","N/A - SPPA",INDEX(PeGu!$B$78:$H$97,$AK29,MATCH($A27,PeGu!$B$76:$H$76,0)))</f>
        <v>N/A - SPPA</v>
      </c>
      <c r="AP29" s="262">
        <v>12</v>
      </c>
      <c r="AQ29" s="269" t="str">
        <f>IF($B29="SPPA","N/A - SPPA", INDEX('Microgrid Proposal'!$N$32:$N$38,MATCH($A29,'Microgrid Proposal'!$D$32:$D$38,0))*IF(AP29&lt;=$C29,1,0))</f>
        <v>N/A - SPPA</v>
      </c>
      <c r="AR29" s="264" t="str">
        <f t="shared" si="2"/>
        <v>N/A - SPPA</v>
      </c>
      <c r="AT29" s="262">
        <v>12</v>
      </c>
      <c r="AU29" s="269" t="str">
        <f>IF($B29="SPPA","N/A - SPPA", INDEX('Solar+Storage Proposal'!$N$32:$N$38,MATCH($A29,'Solar+Storage Proposal'!$D$32:$D$38,0))*IF(AT29&lt;=$C29,1,0))</f>
        <v>N/A - SPPA</v>
      </c>
      <c r="AV29" s="264" t="str">
        <f t="shared" si="3"/>
        <v>N/A - SPPA</v>
      </c>
      <c r="AX29" s="262">
        <v>12</v>
      </c>
      <c r="AY29" s="269" t="str">
        <f>IF($B29="SPPA","N/A - SPPA", INDEX('Solar-Only Proposal'!$M$32:$M$38,MATCH($A29,'Solar-Only Proposal'!$D$32:$D$38,0))*IF(AX29&lt;=$C29,1,0))</f>
        <v>N/A - SPPA</v>
      </c>
      <c r="AZ29" s="264" t="str">
        <f t="shared" si="4"/>
        <v>N/A - SPPA</v>
      </c>
    </row>
    <row r="30" spans="1:52" x14ac:dyDescent="0.35">
      <c r="A30" s="251" t="str">
        <f t="shared" si="0"/>
        <v>13-A1</v>
      </c>
      <c r="B30" s="251" t="str">
        <f t="shared" si="1"/>
        <v>SPPA</v>
      </c>
      <c r="C30" s="251">
        <f>INDEX('Site Data'!$S$7:$S$13,MATCH($A30,'Site Data'!$C$7:$C$13,0))</f>
        <v>20</v>
      </c>
      <c r="D30" s="251" t="s">
        <v>188</v>
      </c>
      <c r="F30" s="266" t="s">
        <v>279</v>
      </c>
      <c r="G30" s="267">
        <f>IF($B30="SEL","N/A - SEL",INDEX('Solar-Only Proposal'!$A$32:$W$38,MATCH($A30,'Solar-Only Proposal'!$D$32:$D$38,0),MATCH($D30,'Solar-Only Proposal'!$A$31:$W$31,0)))</f>
        <v>0</v>
      </c>
      <c r="H30" s="268" t="s">
        <v>280</v>
      </c>
      <c r="N30" s="262">
        <v>13</v>
      </c>
      <c r="O30" s="293">
        <f>IF($B30="SEL","N/A - SEL",O29*(1-'System Specification'!$D$10)*IF(N30&lt;=$C30,1,0))</f>
        <v>0</v>
      </c>
      <c r="P30" s="293" t="str" cm="1">
        <f t="array" ref="P30">INDEX(PeGu!$B$24:$H$43,$S30,MATCH($A28,_xlfn.ANCHORARRAY(PeGu!$B$20),0))</f>
        <v/>
      </c>
      <c r="Q30" s="294">
        <f>IF($B30="SEL","N/A - SEL",PeGu!$E$14*POWER(1+PeGu!$E$15,$S30-1))</f>
        <v>7.128804434230894E-2</v>
      </c>
      <c r="S30" s="262">
        <v>13</v>
      </c>
      <c r="T30" s="293">
        <f>IF($B30="SEL","N/A - SEL",T29*(1-'System Specification'!$D$10)*IF(S30&lt;=$C30,1,0))</f>
        <v>0</v>
      </c>
      <c r="U30" s="293" t="str" cm="1">
        <f t="array" ref="U30">INDEX(PeGu!$B$52:$H$71,$S30,MATCH($A28,_xlfn.ANCHORARRAY(PeGu!$B$48),0))</f>
        <v/>
      </c>
      <c r="V30" s="294">
        <f>IF($B30="SEL","N/A - SEL",PeGu!$E$14*POWER(1+PeGu!$E$15,$S30-1))</f>
        <v>7.128804434230894E-2</v>
      </c>
      <c r="X30" s="262">
        <v>13</v>
      </c>
      <c r="Y30" s="293" t="str" cm="1">
        <f t="array" ref="Y30">IF($B30="SEL","N/A - SEL",INDEX(PeGu!$B$78:$H$97,$X30,MATCH($A28,PeGu!$B$76:$H$76,0)))</f>
        <v/>
      </c>
      <c r="Z30" s="294">
        <f>IF($B30="SEL","N/A - SEL",PeGu!$K$12*POWER(1+PeGu!$K$13,$X30-1))</f>
        <v>0</v>
      </c>
      <c r="AB30" s="263">
        <v>13</v>
      </c>
      <c r="AC30" s="264" cm="1">
        <f t="array" ref="AC30">INDEX('Contract Early Termination'!$B$14:$H$33,$AB30,MATCH($A28,_xlfn.ANCHORARRAY('Contract Early Termination'!$B$10),0))</f>
        <v>0</v>
      </c>
      <c r="AE30" s="263">
        <v>13</v>
      </c>
      <c r="AF30" s="264" cm="1">
        <f t="array" ref="AF30">INDEX('Contract Early Termination'!$B$41:$H$60,$AE30,MATCH($A28,_xlfn.ANCHORARRAY('Contract Early Termination'!$B$37),0))</f>
        <v>0</v>
      </c>
      <c r="AH30" s="263">
        <v>13</v>
      </c>
      <c r="AI30" s="264" cm="1">
        <f t="array" ref="AI30">INDEX('Contract Early Termination'!$B$68:$H$87,$AB30,MATCH($A28,_xlfn.ANCHORARRAY('Contract Early Termination'!$B$64),0))</f>
        <v>0</v>
      </c>
      <c r="AK30" s="263">
        <v>13</v>
      </c>
      <c r="AL30" s="293" t="str">
        <f>IF($B30="SPPA","N/A - SPPA",AL29*(1-'System Specification'!$D$10)*IF(AK30&lt;=$C30,1,0))</f>
        <v>N/A - SPPA</v>
      </c>
      <c r="AM30" s="293" t="str">
        <f>IF($B30="SPPA","N/A - SPPA",AM29*(1-INDEX('System Specification'!$Q$14:$Q$20,MATCH($A30,'System Specification'!$D$14:$D$20,0)))*IF(AK30&lt;=$C30,1,0))</f>
        <v>N/A - SPPA</v>
      </c>
      <c r="AN30" s="298" t="str" cm="1">
        <f t="array" ref="AN30">IF($B30="SPPA","N/A - SPPA",INDEX(PeGu!$B$78:$H$97,$AK30,MATCH($A28,PeGu!$B$76:$H$76,0)))</f>
        <v>N/A - SPPA</v>
      </c>
      <c r="AP30" s="262">
        <v>13</v>
      </c>
      <c r="AQ30" s="269" t="str">
        <f>IF($B30="SPPA","N/A - SPPA", INDEX('Microgrid Proposal'!$N$32:$N$38,MATCH($A30,'Microgrid Proposal'!$D$32:$D$38,0))*IF(AP30&lt;=$C30,1,0))</f>
        <v>N/A - SPPA</v>
      </c>
      <c r="AR30" s="264" t="str">
        <f t="shared" si="2"/>
        <v>N/A - SPPA</v>
      </c>
      <c r="AT30" s="262">
        <v>13</v>
      </c>
      <c r="AU30" s="269" t="str">
        <f>IF($B30="SPPA","N/A - SPPA", INDEX('Solar+Storage Proposal'!$N$32:$N$38,MATCH($A30,'Solar+Storage Proposal'!$D$32:$D$38,0))*IF(AT30&lt;=$C30,1,0))</f>
        <v>N/A - SPPA</v>
      </c>
      <c r="AV30" s="264" t="str">
        <f t="shared" si="3"/>
        <v>N/A - SPPA</v>
      </c>
      <c r="AX30" s="262">
        <v>13</v>
      </c>
      <c r="AY30" s="269" t="str">
        <f>IF($B30="SPPA","N/A - SPPA", INDEX('Solar-Only Proposal'!$M$32:$M$38,MATCH($A30,'Solar-Only Proposal'!$D$32:$D$38,0))*IF(AX30&lt;=$C30,1,0))</f>
        <v>N/A - SPPA</v>
      </c>
      <c r="AZ30" s="264" t="str">
        <f t="shared" si="4"/>
        <v>N/A - SPPA</v>
      </c>
    </row>
    <row r="31" spans="1:52" x14ac:dyDescent="0.35">
      <c r="A31" s="251" t="str">
        <f t="shared" si="0"/>
        <v>13-A1</v>
      </c>
      <c r="B31" s="251" t="str">
        <f t="shared" si="1"/>
        <v>SPPA</v>
      </c>
      <c r="C31" s="251">
        <f>INDEX('Site Data'!$S$7:$S$13,MATCH($A31,'Site Data'!$C$7:$C$13,0))</f>
        <v>20</v>
      </c>
      <c r="D31" s="251" t="s">
        <v>165</v>
      </c>
      <c r="F31" s="262" t="s">
        <v>282</v>
      </c>
      <c r="G31" s="269">
        <f>IF($B31="SEL","N/A - SEL",INDEX('Solar-Only Proposal'!$A$32:$W$38,MATCH($A31,'Solar-Only Proposal'!$D$32:$D$38,0),MATCH($D31,'Solar-Only Proposal'!$A$31:$W$31,0)))</f>
        <v>0</v>
      </c>
      <c r="H31" s="270" t="s">
        <v>275</v>
      </c>
      <c r="N31" s="262">
        <v>14</v>
      </c>
      <c r="O31" s="293">
        <f>IF($B31="SEL","N/A - SEL",O30*(1-'System Specification'!$D$10)*IF(N31&lt;=$C31,1,0))</f>
        <v>0</v>
      </c>
      <c r="P31" s="293" t="str" cm="1">
        <f t="array" ref="P31">INDEX(PeGu!$B$24:$H$43,$S31,MATCH($A29,_xlfn.ANCHORARRAY(PeGu!$B$20),0))</f>
        <v/>
      </c>
      <c r="Q31" s="294">
        <f>IF($B31="SEL","N/A - SEL",PeGu!$E$14*POWER(1+PeGu!$E$15,$S31-1))</f>
        <v>7.3426685672578193E-2</v>
      </c>
      <c r="S31" s="262">
        <v>14</v>
      </c>
      <c r="T31" s="293">
        <f>IF($B31="SEL","N/A - SEL",T30*(1-'System Specification'!$D$10)*IF(S31&lt;=$C31,1,0))</f>
        <v>0</v>
      </c>
      <c r="U31" s="293" t="str" cm="1">
        <f t="array" ref="U31">INDEX(PeGu!$B$52:$H$71,$S31,MATCH($A29,_xlfn.ANCHORARRAY(PeGu!$B$48),0))</f>
        <v/>
      </c>
      <c r="V31" s="294">
        <f>IF($B31="SEL","N/A - SEL",PeGu!$E$14*POWER(1+PeGu!$E$15,$S31-1))</f>
        <v>7.3426685672578193E-2</v>
      </c>
      <c r="X31" s="262">
        <v>14</v>
      </c>
      <c r="Y31" s="293" t="str" cm="1">
        <f t="array" ref="Y31">IF($B31="SEL","N/A - SEL",INDEX(PeGu!$B$78:$H$97,$X31,MATCH($A29,PeGu!$B$76:$H$76,0)))</f>
        <v/>
      </c>
      <c r="Z31" s="294">
        <f>IF($B31="SEL","N/A - SEL",PeGu!$K$12*POWER(1+PeGu!$K$13,$X31-1))</f>
        <v>0</v>
      </c>
      <c r="AB31" s="263">
        <v>14</v>
      </c>
      <c r="AC31" s="264" cm="1">
        <f t="array" ref="AC31">INDEX('Contract Early Termination'!$B$14:$H$33,$AB31,MATCH($A29,_xlfn.ANCHORARRAY('Contract Early Termination'!$B$10),0))</f>
        <v>0</v>
      </c>
      <c r="AE31" s="263">
        <v>14</v>
      </c>
      <c r="AF31" s="264" cm="1">
        <f t="array" ref="AF31">INDEX('Contract Early Termination'!$B$41:$H$60,$AE31,MATCH($A29,_xlfn.ANCHORARRAY('Contract Early Termination'!$B$37),0))</f>
        <v>0</v>
      </c>
      <c r="AH31" s="263">
        <v>14</v>
      </c>
      <c r="AI31" s="264" cm="1">
        <f t="array" ref="AI31">INDEX('Contract Early Termination'!$B$68:$H$87,$AB31,MATCH($A29,_xlfn.ANCHORARRAY('Contract Early Termination'!$B$64),0))</f>
        <v>0</v>
      </c>
      <c r="AK31" s="263">
        <v>14</v>
      </c>
      <c r="AL31" s="293" t="str">
        <f>IF($B31="SPPA","N/A - SPPA",AL30*(1-'System Specification'!$D$10)*IF(AK31&lt;=$C31,1,0))</f>
        <v>N/A - SPPA</v>
      </c>
      <c r="AM31" s="293" t="str">
        <f>IF($B31="SPPA","N/A - SPPA",AM30*(1-INDEX('System Specification'!$Q$14:$Q$20,MATCH($A31,'System Specification'!$D$14:$D$20,0)))*IF(AK31&lt;=$C31,1,0))</f>
        <v>N/A - SPPA</v>
      </c>
      <c r="AN31" s="298" t="str" cm="1">
        <f t="array" ref="AN31">IF($B31="SPPA","N/A - SPPA",INDEX(PeGu!$B$78:$H$97,$AK31,MATCH($A29,PeGu!$B$76:$H$76,0)))</f>
        <v>N/A - SPPA</v>
      </c>
      <c r="AP31" s="262">
        <v>14</v>
      </c>
      <c r="AQ31" s="269" t="str">
        <f>IF($B31="SPPA","N/A - SPPA", INDEX('Microgrid Proposal'!$N$32:$N$38,MATCH($A31,'Microgrid Proposal'!$D$32:$D$38,0))*IF(AP31&lt;=$C31,1,0))</f>
        <v>N/A - SPPA</v>
      </c>
      <c r="AR31" s="264" t="str">
        <f t="shared" si="2"/>
        <v>N/A - SPPA</v>
      </c>
      <c r="AT31" s="262">
        <v>14</v>
      </c>
      <c r="AU31" s="269" t="str">
        <f>IF($B31="SPPA","N/A - SPPA", INDEX('Solar+Storage Proposal'!$N$32:$N$38,MATCH($A31,'Solar+Storage Proposal'!$D$32:$D$38,0))*IF(AT31&lt;=$C31,1,0))</f>
        <v>N/A - SPPA</v>
      </c>
      <c r="AV31" s="264" t="str">
        <f t="shared" si="3"/>
        <v>N/A - SPPA</v>
      </c>
      <c r="AX31" s="262">
        <v>14</v>
      </c>
      <c r="AY31" s="269" t="str">
        <f>IF($B31="SPPA","N/A - SPPA", INDEX('Solar-Only Proposal'!$M$32:$M$38,MATCH($A31,'Solar-Only Proposal'!$D$32:$D$38,0))*IF(AX31&lt;=$C31,1,0))</f>
        <v>N/A - SPPA</v>
      </c>
      <c r="AZ31" s="264" t="str">
        <f t="shared" si="4"/>
        <v>N/A - SPPA</v>
      </c>
    </row>
    <row r="32" spans="1:52" x14ac:dyDescent="0.35">
      <c r="A32" s="251" t="str">
        <f t="shared" si="0"/>
        <v>13-A1</v>
      </c>
      <c r="B32" s="251" t="str">
        <f t="shared" si="1"/>
        <v>SPPA</v>
      </c>
      <c r="C32" s="251">
        <f>INDEX('Site Data'!$S$7:$S$13,MATCH($A32,'Site Data'!$C$7:$C$13,0))</f>
        <v>20</v>
      </c>
      <c r="D32" s="251" t="s">
        <v>189</v>
      </c>
      <c r="F32" s="262" t="s">
        <v>284</v>
      </c>
      <c r="G32" s="271">
        <f>IF($B32="SEL","N/A - SEL",INDEX('Solar-Only Proposal'!$A$32:$W$38,MATCH($A32,'Solar-Only Proposal'!$D$32:$D$38,0),MATCH($D32,'Solar-Only Proposal'!$A$31:$W$31,0)))</f>
        <v>0</v>
      </c>
      <c r="H32" s="270" t="s">
        <v>285</v>
      </c>
      <c r="N32" s="262">
        <v>15</v>
      </c>
      <c r="O32" s="293">
        <f>IF($B32="SEL","N/A - SEL",O31*(1-'System Specification'!$D$10)*IF(N32&lt;=$C32,1,0))</f>
        <v>0</v>
      </c>
      <c r="P32" s="293" t="str" cm="1">
        <f t="array" ref="P32">INDEX(PeGu!$B$24:$H$43,$S32,MATCH($A30,_xlfn.ANCHORARRAY(PeGu!$B$20),0))</f>
        <v/>
      </c>
      <c r="Q32" s="294">
        <f>IF($B32="SEL","N/A - SEL",PeGu!$E$14*POWER(1+PeGu!$E$15,$S32-1))</f>
        <v>7.5629486242755561E-2</v>
      </c>
      <c r="S32" s="262">
        <v>15</v>
      </c>
      <c r="T32" s="293">
        <f>IF($B32="SEL","N/A - SEL",T31*(1-'System Specification'!$D$10)*IF(S32&lt;=$C32,1,0))</f>
        <v>0</v>
      </c>
      <c r="U32" s="293" t="str" cm="1">
        <f t="array" ref="U32">INDEX(PeGu!$B$52:$H$71,$S32,MATCH($A30,_xlfn.ANCHORARRAY(PeGu!$B$48),0))</f>
        <v/>
      </c>
      <c r="V32" s="294">
        <f>IF($B32="SEL","N/A - SEL",PeGu!$E$14*POWER(1+PeGu!$E$15,$S32-1))</f>
        <v>7.5629486242755561E-2</v>
      </c>
      <c r="X32" s="262">
        <v>15</v>
      </c>
      <c r="Y32" s="293" t="str" cm="1">
        <f t="array" ref="Y32">IF($B32="SEL","N/A - SEL",INDEX(PeGu!$B$78:$H$97,$X32,MATCH($A30,PeGu!$B$76:$H$76,0)))</f>
        <v/>
      </c>
      <c r="Z32" s="294">
        <f>IF($B32="SEL","N/A - SEL",PeGu!$K$12*POWER(1+PeGu!$K$13,$X32-1))</f>
        <v>0</v>
      </c>
      <c r="AB32" s="263">
        <v>15</v>
      </c>
      <c r="AC32" s="264" cm="1">
        <f t="array" ref="AC32">INDEX('Contract Early Termination'!$B$14:$H$33,$AB32,MATCH($A30,_xlfn.ANCHORARRAY('Contract Early Termination'!$B$10),0))</f>
        <v>0</v>
      </c>
      <c r="AE32" s="263">
        <v>15</v>
      </c>
      <c r="AF32" s="264" cm="1">
        <f t="array" ref="AF32">INDEX('Contract Early Termination'!$B$41:$H$60,$AE32,MATCH($A30,_xlfn.ANCHORARRAY('Contract Early Termination'!$B$37),0))</f>
        <v>0</v>
      </c>
      <c r="AH32" s="263">
        <v>15</v>
      </c>
      <c r="AI32" s="264" cm="1">
        <f t="array" ref="AI32">INDEX('Contract Early Termination'!$B$68:$H$87,$AB32,MATCH($A30,_xlfn.ANCHORARRAY('Contract Early Termination'!$B$64),0))</f>
        <v>0</v>
      </c>
      <c r="AK32" s="263">
        <v>15</v>
      </c>
      <c r="AL32" s="293" t="str">
        <f>IF($B32="SPPA","N/A - SPPA",AL31*(1-'System Specification'!$D$10)*IF(AK32&lt;=$C32,1,0))</f>
        <v>N/A - SPPA</v>
      </c>
      <c r="AM32" s="293" t="str">
        <f>IF($B32="SPPA","N/A - SPPA",AM31*(1-INDEX('System Specification'!$Q$14:$Q$20,MATCH($A32,'System Specification'!$D$14:$D$20,0)))*IF(AK32&lt;=$C32,1,0))</f>
        <v>N/A - SPPA</v>
      </c>
      <c r="AN32" s="298" t="str" cm="1">
        <f t="array" ref="AN32">IF($B32="SPPA","N/A - SPPA",INDEX(PeGu!$B$78:$H$97,$AK32,MATCH($A30,PeGu!$B$76:$H$76,0)))</f>
        <v>N/A - SPPA</v>
      </c>
      <c r="AP32" s="262">
        <v>15</v>
      </c>
      <c r="AQ32" s="269" t="str">
        <f>IF($B32="SPPA","N/A - SPPA", INDEX('Microgrid Proposal'!$N$32:$N$38,MATCH($A32,'Microgrid Proposal'!$D$32:$D$38,0))*IF(AP32&lt;=$C32,1,0))</f>
        <v>N/A - SPPA</v>
      </c>
      <c r="AR32" s="264" t="str">
        <f t="shared" si="2"/>
        <v>N/A - SPPA</v>
      </c>
      <c r="AT32" s="262">
        <v>15</v>
      </c>
      <c r="AU32" s="269" t="str">
        <f>IF($B32="SPPA","N/A - SPPA", INDEX('Solar+Storage Proposal'!$N$32:$N$38,MATCH($A32,'Solar+Storage Proposal'!$D$32:$D$38,0))*IF(AT32&lt;=$C32,1,0))</f>
        <v>N/A - SPPA</v>
      </c>
      <c r="AV32" s="264" t="str">
        <f t="shared" si="3"/>
        <v>N/A - SPPA</v>
      </c>
      <c r="AX32" s="262">
        <v>15</v>
      </c>
      <c r="AY32" s="269" t="str">
        <f>IF($B32="SPPA","N/A - SPPA", INDEX('Solar-Only Proposal'!$M$32:$M$38,MATCH($A32,'Solar-Only Proposal'!$D$32:$D$38,0))*IF(AX32&lt;=$C32,1,0))</f>
        <v>N/A - SPPA</v>
      </c>
      <c r="AZ32" s="264" t="str">
        <f t="shared" si="4"/>
        <v>N/A - SPPA</v>
      </c>
    </row>
    <row r="33" spans="1:52" ht="15" thickBot="1" x14ac:dyDescent="0.4">
      <c r="A33" s="251" t="str">
        <f t="shared" si="0"/>
        <v>13-A1</v>
      </c>
      <c r="B33" s="251" t="str">
        <f t="shared" si="1"/>
        <v>SPPA</v>
      </c>
      <c r="C33" s="251">
        <f>INDEX('Site Data'!$S$7:$S$13,MATCH($A33,'Site Data'!$C$7:$C$13,0))</f>
        <v>20</v>
      </c>
      <c r="D33" s="251" t="s">
        <v>190</v>
      </c>
      <c r="F33" s="258" t="s">
        <v>284</v>
      </c>
      <c r="G33" s="272">
        <f>IF($B33="SEL","N/A - SEL",INDEX('Solar-Only Proposal'!$A$32:$W$38,MATCH($A33,'Solar-Only Proposal'!$D$32:$D$38,0),MATCH($D33,'Solar-Only Proposal'!$A$31:$W$31,0)))</f>
        <v>0</v>
      </c>
      <c r="H33" s="260" t="s">
        <v>286</v>
      </c>
      <c r="N33" s="262">
        <v>16</v>
      </c>
      <c r="O33" s="293">
        <f>IF($B33="SEL","N/A - SEL",O32*(1-'System Specification'!$D$10)*IF(N33&lt;=$C33,1,0))</f>
        <v>0</v>
      </c>
      <c r="P33" s="293" t="str" cm="1">
        <f t="array" ref="P33">INDEX(PeGu!$B$24:$H$43,$S33,MATCH($A31,_xlfn.ANCHORARRAY(PeGu!$B$20),0))</f>
        <v/>
      </c>
      <c r="Q33" s="294">
        <f>IF($B33="SEL","N/A - SEL",PeGu!$E$14*POWER(1+PeGu!$E$15,$S33-1))</f>
        <v>7.7898370830038227E-2</v>
      </c>
      <c r="S33" s="262">
        <v>16</v>
      </c>
      <c r="T33" s="293">
        <f>IF($B33="SEL","N/A - SEL",T32*(1-'System Specification'!$D$10)*IF(S33&lt;=$C33,1,0))</f>
        <v>0</v>
      </c>
      <c r="U33" s="293" t="str" cm="1">
        <f t="array" ref="U33">INDEX(PeGu!$B$52:$H$71,$S33,MATCH($A31,_xlfn.ANCHORARRAY(PeGu!$B$48),0))</f>
        <v/>
      </c>
      <c r="V33" s="294">
        <f>IF($B33="SEL","N/A - SEL",PeGu!$E$14*POWER(1+PeGu!$E$15,$S33-1))</f>
        <v>7.7898370830038227E-2</v>
      </c>
      <c r="X33" s="262">
        <v>16</v>
      </c>
      <c r="Y33" s="293" t="str" cm="1">
        <f t="array" ref="Y33">IF($B33="SEL","N/A - SEL",INDEX(PeGu!$B$78:$H$97,$X33,MATCH($A31,PeGu!$B$76:$H$76,0)))</f>
        <v/>
      </c>
      <c r="Z33" s="294">
        <f>IF($B33="SEL","N/A - SEL",PeGu!$K$12*POWER(1+PeGu!$K$13,$X33-1))</f>
        <v>0</v>
      </c>
      <c r="AB33" s="263">
        <v>16</v>
      </c>
      <c r="AC33" s="264" cm="1">
        <f t="array" ref="AC33">INDEX('Contract Early Termination'!$B$14:$H$33,$AB33,MATCH($A31,_xlfn.ANCHORARRAY('Contract Early Termination'!$B$10),0))</f>
        <v>0</v>
      </c>
      <c r="AE33" s="263">
        <v>16</v>
      </c>
      <c r="AF33" s="264" cm="1">
        <f t="array" ref="AF33">INDEX('Contract Early Termination'!$B$41:$H$60,$AE33,MATCH($A31,_xlfn.ANCHORARRAY('Contract Early Termination'!$B$37),0))</f>
        <v>0</v>
      </c>
      <c r="AH33" s="263">
        <v>16</v>
      </c>
      <c r="AI33" s="264" cm="1">
        <f t="array" ref="AI33">INDEX('Contract Early Termination'!$B$68:$H$87,$AB33,MATCH($A31,_xlfn.ANCHORARRAY('Contract Early Termination'!$B$64),0))</f>
        <v>0</v>
      </c>
      <c r="AK33" s="263">
        <v>16</v>
      </c>
      <c r="AL33" s="293" t="str">
        <f>IF($B33="SPPA","N/A - SPPA",AL32*(1-'System Specification'!$D$10)*IF(AK33&lt;=$C33,1,0))</f>
        <v>N/A - SPPA</v>
      </c>
      <c r="AM33" s="293" t="str">
        <f>IF($B33="SPPA","N/A - SPPA",AM32*(1-INDEX('System Specification'!$Q$14:$Q$20,MATCH($A33,'System Specification'!$D$14:$D$20,0)))*IF(AK33&lt;=$C33,1,0))</f>
        <v>N/A - SPPA</v>
      </c>
      <c r="AN33" s="298" t="str" cm="1">
        <f t="array" ref="AN33">IF($B33="SPPA","N/A - SPPA",INDEX(PeGu!$B$78:$H$97,$AK33,MATCH($A31,PeGu!$B$76:$H$76,0)))</f>
        <v>N/A - SPPA</v>
      </c>
      <c r="AP33" s="262">
        <v>16</v>
      </c>
      <c r="AQ33" s="269" t="str">
        <f>IF($B33="SPPA","N/A - SPPA", INDEX('Microgrid Proposal'!$N$32:$N$38,MATCH($A33,'Microgrid Proposal'!$D$32:$D$38,0))*IF(AP33&lt;=$C33,1,0))</f>
        <v>N/A - SPPA</v>
      </c>
      <c r="AR33" s="264" t="str">
        <f t="shared" si="2"/>
        <v>N/A - SPPA</v>
      </c>
      <c r="AT33" s="262">
        <v>16</v>
      </c>
      <c r="AU33" s="269" t="str">
        <f>IF($B33="SPPA","N/A - SPPA", INDEX('Solar+Storage Proposal'!$N$32:$N$38,MATCH($A33,'Solar+Storage Proposal'!$D$32:$D$38,0))*IF(AT33&lt;=$C33,1,0))</f>
        <v>N/A - SPPA</v>
      </c>
      <c r="AV33" s="264" t="str">
        <f t="shared" si="3"/>
        <v>N/A - SPPA</v>
      </c>
      <c r="AX33" s="262">
        <v>16</v>
      </c>
      <c r="AY33" s="269" t="str">
        <f>IF($B33="SPPA","N/A - SPPA", INDEX('Solar-Only Proposal'!$M$32:$M$38,MATCH($A33,'Solar-Only Proposal'!$D$32:$D$38,0))*IF(AX33&lt;=$C33,1,0))</f>
        <v>N/A - SPPA</v>
      </c>
      <c r="AZ33" s="264" t="str">
        <f t="shared" si="4"/>
        <v>N/A - SPPA</v>
      </c>
    </row>
    <row r="34" spans="1:52" ht="15" thickBot="1" x14ac:dyDescent="0.4">
      <c r="A34" s="251" t="str">
        <f t="shared" si="0"/>
        <v>13-A1</v>
      </c>
      <c r="B34" s="251" t="str">
        <f t="shared" si="1"/>
        <v>SPPA</v>
      </c>
      <c r="C34" s="251">
        <f>INDEX('Site Data'!$S$7:$S$13,MATCH($A34,'Site Data'!$C$7:$C$13,0))</f>
        <v>20</v>
      </c>
      <c r="N34" s="262">
        <v>17</v>
      </c>
      <c r="O34" s="293">
        <f>IF($B34="SEL","N/A - SEL",O33*(1-'System Specification'!$D$10)*IF(N34&lt;=$C34,1,0))</f>
        <v>0</v>
      </c>
      <c r="P34" s="293" t="str" cm="1">
        <f t="array" ref="P34">INDEX(PeGu!$B$24:$H$43,$S34,MATCH($A32,_xlfn.ANCHORARRAY(PeGu!$B$20),0))</f>
        <v/>
      </c>
      <c r="Q34" s="294">
        <f>IF($B34="SEL","N/A - SEL",PeGu!$E$14*POWER(1+PeGu!$E$15,$S34-1))</f>
        <v>8.0235321954939362E-2</v>
      </c>
      <c r="S34" s="262">
        <v>17</v>
      </c>
      <c r="T34" s="293">
        <f>IF($B34="SEL","N/A - SEL",T33*(1-'System Specification'!$D$10)*IF(S34&lt;=$C34,1,0))</f>
        <v>0</v>
      </c>
      <c r="U34" s="293" t="str" cm="1">
        <f t="array" ref="U34">INDEX(PeGu!$B$52:$H$71,$S34,MATCH($A32,_xlfn.ANCHORARRAY(PeGu!$B$48),0))</f>
        <v/>
      </c>
      <c r="V34" s="294">
        <f>IF($B34="SEL","N/A - SEL",PeGu!$E$14*POWER(1+PeGu!$E$15,$S34-1))</f>
        <v>8.0235321954939362E-2</v>
      </c>
      <c r="X34" s="262">
        <v>17</v>
      </c>
      <c r="Y34" s="293" t="str" cm="1">
        <f t="array" ref="Y34">IF($B34="SEL","N/A - SEL",INDEX(PeGu!$B$78:$H$97,$X34,MATCH($A32,PeGu!$B$76:$H$76,0)))</f>
        <v/>
      </c>
      <c r="Z34" s="294">
        <f>IF($B34="SEL","N/A - SEL",PeGu!$K$12*POWER(1+PeGu!$K$13,$X34-1))</f>
        <v>0</v>
      </c>
      <c r="AB34" s="263">
        <v>17</v>
      </c>
      <c r="AC34" s="264" cm="1">
        <f t="array" ref="AC34">INDEX('Contract Early Termination'!$B$14:$H$33,$AB34,MATCH($A32,_xlfn.ANCHORARRAY('Contract Early Termination'!$B$10),0))</f>
        <v>0</v>
      </c>
      <c r="AE34" s="263">
        <v>17</v>
      </c>
      <c r="AF34" s="264" cm="1">
        <f t="array" ref="AF34">INDEX('Contract Early Termination'!$B$41:$H$60,$AE34,MATCH($A32,_xlfn.ANCHORARRAY('Contract Early Termination'!$B$37),0))</f>
        <v>0</v>
      </c>
      <c r="AH34" s="263">
        <v>17</v>
      </c>
      <c r="AI34" s="264" cm="1">
        <f t="array" ref="AI34">INDEX('Contract Early Termination'!$B$68:$H$87,$AB34,MATCH($A32,_xlfn.ANCHORARRAY('Contract Early Termination'!$B$64),0))</f>
        <v>0</v>
      </c>
      <c r="AK34" s="263">
        <v>17</v>
      </c>
      <c r="AL34" s="293" t="str">
        <f>IF($B34="SPPA","N/A - SPPA",AL33*(1-'System Specification'!$D$10)*IF(AK34&lt;=$C34,1,0))</f>
        <v>N/A - SPPA</v>
      </c>
      <c r="AM34" s="293" t="str">
        <f>IF($B34="SPPA","N/A - SPPA",AM33*(1-INDEX('System Specification'!$Q$14:$Q$20,MATCH($A34,'System Specification'!$D$14:$D$20,0)))*IF(AK34&lt;=$C34,1,0))</f>
        <v>N/A - SPPA</v>
      </c>
      <c r="AN34" s="298" t="str" cm="1">
        <f t="array" ref="AN34">IF($B34="SPPA","N/A - SPPA",INDEX(PeGu!$B$78:$H$97,$AK34,MATCH($A32,PeGu!$B$76:$H$76,0)))</f>
        <v>N/A - SPPA</v>
      </c>
      <c r="AP34" s="262">
        <v>17</v>
      </c>
      <c r="AQ34" s="269" t="str">
        <f>IF($B34="SPPA","N/A - SPPA", INDEX('Microgrid Proposal'!$N$32:$N$38,MATCH($A34,'Microgrid Proposal'!$D$32:$D$38,0))*IF(AP34&lt;=$C34,1,0))</f>
        <v>N/A - SPPA</v>
      </c>
      <c r="AR34" s="264" t="str">
        <f t="shared" si="2"/>
        <v>N/A - SPPA</v>
      </c>
      <c r="AT34" s="262">
        <v>17</v>
      </c>
      <c r="AU34" s="269" t="str">
        <f>IF($B34="SPPA","N/A - SPPA", INDEX('Solar+Storage Proposal'!$N$32:$N$38,MATCH($A34,'Solar+Storage Proposal'!$D$32:$D$38,0))*IF(AT34&lt;=$C34,1,0))</f>
        <v>N/A - SPPA</v>
      </c>
      <c r="AV34" s="264" t="str">
        <f t="shared" si="3"/>
        <v>N/A - SPPA</v>
      </c>
      <c r="AX34" s="262">
        <v>17</v>
      </c>
      <c r="AY34" s="269" t="str">
        <f>IF($B34="SPPA","N/A - SPPA", INDEX('Solar-Only Proposal'!$M$32:$M$38,MATCH($A34,'Solar-Only Proposal'!$D$32:$D$38,0))*IF(AX34&lt;=$C34,1,0))</f>
        <v>N/A - SPPA</v>
      </c>
      <c r="AZ34" s="264" t="str">
        <f t="shared" si="4"/>
        <v>N/A - SPPA</v>
      </c>
    </row>
    <row r="35" spans="1:52" ht="15" thickBot="1" x14ac:dyDescent="0.4">
      <c r="A35" s="251" t="str">
        <f t="shared" si="0"/>
        <v>13-A1</v>
      </c>
      <c r="B35" s="251" t="str">
        <f t="shared" si="1"/>
        <v>SPPA</v>
      </c>
      <c r="C35" s="251">
        <f>INDEX('Site Data'!$S$7:$S$13,MATCH($A35,'Site Data'!$C$7:$C$13,0))</f>
        <v>20</v>
      </c>
      <c r="F35" s="502" t="s">
        <v>236</v>
      </c>
      <c r="G35" s="503"/>
      <c r="H35" s="504"/>
      <c r="J35" s="502" t="s">
        <v>237</v>
      </c>
      <c r="K35" s="503"/>
      <c r="L35" s="504"/>
      <c r="N35" s="262">
        <v>18</v>
      </c>
      <c r="O35" s="293">
        <f>IF($B35="SEL","N/A - SEL",O34*(1-'System Specification'!$D$10)*IF(N35&lt;=$C35,1,0))</f>
        <v>0</v>
      </c>
      <c r="P35" s="293" t="str" cm="1">
        <f t="array" ref="P35">INDEX(PeGu!$B$24:$H$43,$S35,MATCH($A33,_xlfn.ANCHORARRAY(PeGu!$B$20),0))</f>
        <v/>
      </c>
      <c r="Q35" s="294">
        <f>IF($B35="SEL","N/A - SEL",PeGu!$E$14*POWER(1+PeGu!$E$15,$S35-1))</f>
        <v>8.2642381613587543E-2</v>
      </c>
      <c r="S35" s="262">
        <v>18</v>
      </c>
      <c r="T35" s="293">
        <f>IF($B35="SEL","N/A - SEL",T34*(1-'System Specification'!$D$10)*IF(S35&lt;=$C35,1,0))</f>
        <v>0</v>
      </c>
      <c r="U35" s="293" t="str" cm="1">
        <f t="array" ref="U35">INDEX(PeGu!$B$52:$H$71,$S35,MATCH($A33,_xlfn.ANCHORARRAY(PeGu!$B$48),0))</f>
        <v/>
      </c>
      <c r="V35" s="294">
        <f>IF($B35="SEL","N/A - SEL",PeGu!$E$14*POWER(1+PeGu!$E$15,$S35-1))</f>
        <v>8.2642381613587543E-2</v>
      </c>
      <c r="X35" s="262">
        <v>18</v>
      </c>
      <c r="Y35" s="293" t="str" cm="1">
        <f t="array" ref="Y35">IF($B35="SEL","N/A - SEL",INDEX(PeGu!$B$78:$H$97,$X35,MATCH($A33,PeGu!$B$76:$H$76,0)))</f>
        <v/>
      </c>
      <c r="Z35" s="294">
        <f>IF($B35="SEL","N/A - SEL",PeGu!$K$12*POWER(1+PeGu!$K$13,$X35-1))</f>
        <v>0</v>
      </c>
      <c r="AB35" s="263">
        <v>18</v>
      </c>
      <c r="AC35" s="264" cm="1">
        <f t="array" ref="AC35">INDEX('Contract Early Termination'!$B$14:$H$33,$AB35,MATCH($A33,_xlfn.ANCHORARRAY('Contract Early Termination'!$B$10),0))</f>
        <v>0</v>
      </c>
      <c r="AE35" s="263">
        <v>18</v>
      </c>
      <c r="AF35" s="264" cm="1">
        <f t="array" ref="AF35">INDEX('Contract Early Termination'!$B$41:$H$60,$AE35,MATCH($A33,_xlfn.ANCHORARRAY('Contract Early Termination'!$B$37),0))</f>
        <v>0</v>
      </c>
      <c r="AH35" s="263">
        <v>18</v>
      </c>
      <c r="AI35" s="264" cm="1">
        <f t="array" ref="AI35">INDEX('Contract Early Termination'!$B$68:$H$87,$AB35,MATCH($A33,_xlfn.ANCHORARRAY('Contract Early Termination'!$B$64),0))</f>
        <v>0</v>
      </c>
      <c r="AK35" s="263">
        <v>18</v>
      </c>
      <c r="AL35" s="293" t="str">
        <f>IF($B35="SPPA","N/A - SPPA",AL34*(1-'System Specification'!$D$10)*IF(AK35&lt;=$C35,1,0))</f>
        <v>N/A - SPPA</v>
      </c>
      <c r="AM35" s="293" t="str">
        <f>IF($B35="SPPA","N/A - SPPA",AM34*(1-INDEX('System Specification'!$Q$14:$Q$20,MATCH($A35,'System Specification'!$D$14:$D$20,0)))*IF(AK35&lt;=$C35,1,0))</f>
        <v>N/A - SPPA</v>
      </c>
      <c r="AN35" s="298" t="str" cm="1">
        <f t="array" ref="AN35">IF($B35="SPPA","N/A - SPPA",INDEX(PeGu!$B$78:$H$97,$AK35,MATCH($A33,PeGu!$B$76:$H$76,0)))</f>
        <v>N/A - SPPA</v>
      </c>
      <c r="AP35" s="262">
        <v>18</v>
      </c>
      <c r="AQ35" s="269" t="str">
        <f>IF($B35="SPPA","N/A - SPPA", INDEX('Microgrid Proposal'!$N$32:$N$38,MATCH($A35,'Microgrid Proposal'!$D$32:$D$38,0))*IF(AP35&lt;=$C35,1,0))</f>
        <v>N/A - SPPA</v>
      </c>
      <c r="AR35" s="264" t="str">
        <f t="shared" si="2"/>
        <v>N/A - SPPA</v>
      </c>
      <c r="AT35" s="262">
        <v>18</v>
      </c>
      <c r="AU35" s="269" t="str">
        <f>IF($B35="SPPA","N/A - SPPA", INDEX('Solar+Storage Proposal'!$N$32:$N$38,MATCH($A35,'Solar+Storage Proposal'!$D$32:$D$38,0))*IF(AT35&lt;=$C35,1,0))</f>
        <v>N/A - SPPA</v>
      </c>
      <c r="AV35" s="264" t="str">
        <f t="shared" si="3"/>
        <v>N/A - SPPA</v>
      </c>
      <c r="AX35" s="262">
        <v>18</v>
      </c>
      <c r="AY35" s="269" t="str">
        <f>IF($B35="SPPA","N/A - SPPA", INDEX('Solar-Only Proposal'!$M$32:$M$38,MATCH($A35,'Solar-Only Proposal'!$D$32:$D$38,0))*IF(AX35&lt;=$C35,1,0))</f>
        <v>N/A - SPPA</v>
      </c>
      <c r="AZ35" s="264" t="str">
        <f t="shared" si="4"/>
        <v>N/A - SPPA</v>
      </c>
    </row>
    <row r="36" spans="1:52" ht="15" thickBot="1" x14ac:dyDescent="0.4">
      <c r="A36" s="251" t="str">
        <f t="shared" si="0"/>
        <v>13-A1</v>
      </c>
      <c r="B36" s="251" t="str">
        <f t="shared" si="1"/>
        <v>SPPA</v>
      </c>
      <c r="C36" s="251">
        <f>INDEX('Site Data'!$S$7:$S$13,MATCH($A36,'Site Data'!$C$7:$C$13,0))</f>
        <v>20</v>
      </c>
      <c r="F36" s="502" t="s">
        <v>290</v>
      </c>
      <c r="G36" s="503"/>
      <c r="H36" s="504"/>
      <c r="J36" s="502" t="s">
        <v>291</v>
      </c>
      <c r="K36" s="503"/>
      <c r="L36" s="504"/>
      <c r="N36" s="262">
        <v>19</v>
      </c>
      <c r="O36" s="293">
        <f>IF($B36="SEL","N/A - SEL",O35*(1-'System Specification'!$D$10)*IF(N36&lt;=$C36,1,0))</f>
        <v>0</v>
      </c>
      <c r="P36" s="293" t="str" cm="1">
        <f t="array" ref="P36">INDEX(PeGu!$B$24:$H$43,$S36,MATCH($A34,_xlfn.ANCHORARRAY(PeGu!$B$20),0))</f>
        <v/>
      </c>
      <c r="Q36" s="294">
        <f>IF($B36="SEL","N/A - SEL",PeGu!$E$14*POWER(1+PeGu!$E$15,$S36-1))</f>
        <v>8.5121653061995164E-2</v>
      </c>
      <c r="S36" s="262">
        <v>19</v>
      </c>
      <c r="T36" s="293">
        <f>IF($B36="SEL","N/A - SEL",T35*(1-'System Specification'!$D$10)*IF(S36&lt;=$C36,1,0))</f>
        <v>0</v>
      </c>
      <c r="U36" s="293" t="str" cm="1">
        <f t="array" ref="U36">INDEX(PeGu!$B$52:$H$71,$S36,MATCH($A34,_xlfn.ANCHORARRAY(PeGu!$B$48),0))</f>
        <v/>
      </c>
      <c r="V36" s="294">
        <f>IF($B36="SEL","N/A - SEL",PeGu!$E$14*POWER(1+PeGu!$E$15,$S36-1))</f>
        <v>8.5121653061995164E-2</v>
      </c>
      <c r="X36" s="262">
        <v>19</v>
      </c>
      <c r="Y36" s="293" t="str" cm="1">
        <f t="array" ref="Y36">IF($B36="SEL","N/A - SEL",INDEX(PeGu!$B$78:$H$97,$X36,MATCH($A34,PeGu!$B$76:$H$76,0)))</f>
        <v/>
      </c>
      <c r="Z36" s="294">
        <f>IF($B36="SEL","N/A - SEL",PeGu!$K$12*POWER(1+PeGu!$K$13,$X36-1))</f>
        <v>0</v>
      </c>
      <c r="AB36" s="263">
        <v>19</v>
      </c>
      <c r="AC36" s="264" cm="1">
        <f t="array" ref="AC36">INDEX('Contract Early Termination'!$B$14:$H$33,$AB36,MATCH($A34,_xlfn.ANCHORARRAY('Contract Early Termination'!$B$10),0))</f>
        <v>0</v>
      </c>
      <c r="AE36" s="263">
        <v>19</v>
      </c>
      <c r="AF36" s="264" cm="1">
        <f t="array" ref="AF36">INDEX('Contract Early Termination'!$B$41:$H$60,$AE36,MATCH($A34,_xlfn.ANCHORARRAY('Contract Early Termination'!$B$37),0))</f>
        <v>0</v>
      </c>
      <c r="AH36" s="263">
        <v>19</v>
      </c>
      <c r="AI36" s="264" cm="1">
        <f t="array" ref="AI36">INDEX('Contract Early Termination'!$B$68:$H$87,$AB36,MATCH($A34,_xlfn.ANCHORARRAY('Contract Early Termination'!$B$64),0))</f>
        <v>0</v>
      </c>
      <c r="AJ36" s="278"/>
      <c r="AK36" s="263">
        <v>19</v>
      </c>
      <c r="AL36" s="293" t="str">
        <f>IF($B36="SPPA","N/A - SPPA",AL35*(1-'System Specification'!$D$10)*IF(AK36&lt;=$C36,1,0))</f>
        <v>N/A - SPPA</v>
      </c>
      <c r="AM36" s="293" t="str">
        <f>IF($B36="SPPA","N/A - SPPA",AM35*(1-INDEX('System Specification'!$Q$14:$Q$20,MATCH($A36,'System Specification'!$D$14:$D$20,0)))*IF(AK36&lt;=$C36,1,0))</f>
        <v>N/A - SPPA</v>
      </c>
      <c r="AN36" s="298" t="str" cm="1">
        <f t="array" ref="AN36">IF($B36="SPPA","N/A - SPPA",INDEX(PeGu!$B$78:$H$97,$AK36,MATCH($A34,PeGu!$B$76:$H$76,0)))</f>
        <v>N/A - SPPA</v>
      </c>
      <c r="AP36" s="265">
        <v>19</v>
      </c>
      <c r="AQ36" s="269" t="str">
        <f>IF($B36="SPPA","N/A - SPPA", INDEX('Microgrid Proposal'!$N$32:$N$38,MATCH($A36,'Microgrid Proposal'!$D$32:$D$38,0))*IF(AP36&lt;=$C36,1,0))</f>
        <v>N/A - SPPA</v>
      </c>
      <c r="AR36" s="264" t="str">
        <f t="shared" si="2"/>
        <v>N/A - SPPA</v>
      </c>
      <c r="AT36" s="265">
        <v>19</v>
      </c>
      <c r="AU36" s="269" t="str">
        <f>IF($B36="SPPA","N/A - SPPA", INDEX('Solar+Storage Proposal'!$N$32:$N$38,MATCH($A36,'Solar+Storage Proposal'!$D$32:$D$38,0))*IF(AT36&lt;=$C36,1,0))</f>
        <v>N/A - SPPA</v>
      </c>
      <c r="AV36" s="264" t="str">
        <f t="shared" si="3"/>
        <v>N/A - SPPA</v>
      </c>
      <c r="AX36" s="265">
        <v>19</v>
      </c>
      <c r="AY36" s="269" t="str">
        <f>IF($B36="SPPA","N/A - SPPA", INDEX('Solar-Only Proposal'!$M$32:$M$38,MATCH($A36,'Solar-Only Proposal'!$D$32:$D$38,0))*IF(AX36&lt;=$C36,1,0))</f>
        <v>N/A - SPPA</v>
      </c>
      <c r="AZ36" s="264" t="str">
        <f t="shared" si="4"/>
        <v>N/A - SPPA</v>
      </c>
    </row>
    <row r="37" spans="1:52" ht="15" thickBot="1" x14ac:dyDescent="0.4">
      <c r="A37" s="251" t="str">
        <f t="shared" si="0"/>
        <v>13-A1</v>
      </c>
      <c r="B37" s="251" t="str">
        <f t="shared" si="1"/>
        <v>SPPA</v>
      </c>
      <c r="C37" s="251">
        <f>INDEX('Site Data'!$S$7:$S$13,MATCH($A37,'Site Data'!$C$7:$C$13,0))</f>
        <v>20</v>
      </c>
      <c r="F37" s="280" t="s">
        <v>292</v>
      </c>
      <c r="G37" s="281">
        <f>G16</f>
        <v>20</v>
      </c>
      <c r="H37" s="282" t="s">
        <v>250</v>
      </c>
      <c r="J37" s="266" t="s">
        <v>292</v>
      </c>
      <c r="K37" s="285" t="str">
        <f>K16</f>
        <v>N/A - SPPA</v>
      </c>
      <c r="L37" s="268" t="s">
        <v>250</v>
      </c>
      <c r="N37" s="258">
        <v>20</v>
      </c>
      <c r="O37" s="259">
        <f>IF($B37="SEL","N/A - SEL",O36*(1-'System Specification'!$D$10)*IF(N37&lt;=$C37,1,0))</f>
        <v>0</v>
      </c>
      <c r="P37" s="259" t="str" cm="1">
        <f t="array" ref="P37">INDEX(PeGu!$B$24:$H$43,$S37,MATCH($A35,_xlfn.ANCHORARRAY(PeGu!$B$20),0))</f>
        <v/>
      </c>
      <c r="Q37" s="295">
        <f>IF($B37="SEL","N/A - SEL",PeGu!$E$14*POWER(1+PeGu!$E$15,$S37-1))</f>
        <v>8.7675302653855022E-2</v>
      </c>
      <c r="S37" s="258">
        <v>20</v>
      </c>
      <c r="T37" s="259">
        <f>IF($B37="SEL","N/A - SEL",T36*(1-'System Specification'!$D$10)*IF(S37&lt;=$C37,1,0))</f>
        <v>0</v>
      </c>
      <c r="U37" s="259" t="str" cm="1">
        <f t="array" ref="U37">INDEX(PeGu!$B$52:$H$71,$S37,MATCH($A35,_xlfn.ANCHORARRAY(PeGu!$B$48),0))</f>
        <v/>
      </c>
      <c r="V37" s="295">
        <f>IF($B37="SEL","N/A - SEL",PeGu!$E$14*POWER(1+PeGu!$E$15,$S37-1))</f>
        <v>8.7675302653855022E-2</v>
      </c>
      <c r="X37" s="258">
        <v>20</v>
      </c>
      <c r="Y37" s="259" t="str" cm="1">
        <f t="array" ref="Y37">IF($B37="SEL","N/A - SEL",INDEX(PeGu!$B$78:$H$97,$X37,MATCH($A35,PeGu!$B$76:$H$76,0)))</f>
        <v/>
      </c>
      <c r="Z37" s="295">
        <f>IF($B37="SEL","N/A - SEL",PeGu!$K$12*POWER(1+PeGu!$K$13,$X37-1))</f>
        <v>0</v>
      </c>
      <c r="AB37" s="273">
        <v>20</v>
      </c>
      <c r="AC37" s="274" cm="1">
        <f t="array" ref="AC37">INDEX('Contract Early Termination'!$B$14:$H$33,$AB37,MATCH($A35,_xlfn.ANCHORARRAY('Contract Early Termination'!$B$10),0))</f>
        <v>0</v>
      </c>
      <c r="AD37" s="275"/>
      <c r="AE37" s="273">
        <v>20</v>
      </c>
      <c r="AF37" s="274" cm="1">
        <f t="array" ref="AF37">INDEX('Contract Early Termination'!$B$41:$H$60,$AE37,MATCH($A35,_xlfn.ANCHORARRAY('Contract Early Termination'!$B$37),0))</f>
        <v>0</v>
      </c>
      <c r="AG37" s="277"/>
      <c r="AH37" s="273">
        <v>20</v>
      </c>
      <c r="AI37" s="274" cm="1">
        <f t="array" ref="AI37">INDEX('Contract Early Termination'!$B$68:$H$87,$AB37,MATCH($A35,_xlfn.ANCHORARRAY('Contract Early Termination'!$B$64),0))</f>
        <v>0</v>
      </c>
      <c r="AJ37" s="278"/>
      <c r="AK37" s="273">
        <v>20</v>
      </c>
      <c r="AL37" s="259" t="str">
        <f>IF($B37="SPPA","N/A - SPPA",AL36*(1-'System Specification'!$D$10)*IF(AK37&lt;=$C37,1,0))</f>
        <v>N/A - SPPA</v>
      </c>
      <c r="AM37" s="259" t="str">
        <f>IF($B37="SPPA","N/A - SPPA",AM36*(1-INDEX('System Specification'!$Q$14:$Q$20,MATCH($A37,'System Specification'!$D$14:$D$20,0)))*IF(AK37&lt;=$C37,1,0))</f>
        <v>N/A - SPPA</v>
      </c>
      <c r="AN37" s="299" t="str" cm="1">
        <f t="array" ref="AN37">IF($B37="SPPA","N/A - SPPA",INDEX(PeGu!$B$78:$H$97,$AK37,MATCH($A35,PeGu!$B$76:$H$76,0)))</f>
        <v>N/A - SPPA</v>
      </c>
      <c r="AP37" s="276">
        <v>20</v>
      </c>
      <c r="AQ37" s="300" t="str">
        <f>IF($B37="SPPA","N/A - SPPA", INDEX('Microgrid Proposal'!$N$32:$N$38,MATCH($A37,'Microgrid Proposal'!$D$32:$D$38,0))*IF(AP37&lt;=$C37,1,0))</f>
        <v>N/A - SPPA</v>
      </c>
      <c r="AR37" s="274" t="str">
        <f t="shared" si="2"/>
        <v>N/A - SPPA</v>
      </c>
      <c r="AT37" s="276">
        <v>20</v>
      </c>
      <c r="AU37" s="300" t="str">
        <f>IF($B37="SPPA","N/A - SPPA", INDEX('Solar+Storage Proposal'!$N$32:$N$38,MATCH($A37,'Solar+Storage Proposal'!$D$32:$D$38,0))*IF(AT37&lt;=$C37,1,0))</f>
        <v>N/A - SPPA</v>
      </c>
      <c r="AV37" s="274" t="str">
        <f t="shared" si="3"/>
        <v>N/A - SPPA</v>
      </c>
      <c r="AX37" s="276">
        <v>20</v>
      </c>
      <c r="AY37" s="300" t="str">
        <f>IF($B37="SPPA","N/A - SPPA", INDEX('Solar-Only Proposal'!$M$32:$M$38,MATCH($A37,'Solar-Only Proposal'!$D$32:$D$38,0))*IF(AX37&lt;=$C37,1,0))</f>
        <v>N/A - SPPA</v>
      </c>
      <c r="AZ37" s="274" t="str">
        <f t="shared" si="4"/>
        <v>N/A - SPPA</v>
      </c>
    </row>
    <row r="38" spans="1:52" ht="15" thickBot="1" x14ac:dyDescent="0.4">
      <c r="A38" s="251" t="str">
        <f t="shared" si="0"/>
        <v>13-A1</v>
      </c>
      <c r="B38" s="251" t="str">
        <f t="shared" si="1"/>
        <v>SPPA</v>
      </c>
      <c r="C38" s="251">
        <f>INDEX('Site Data'!$S$7:$S$13,MATCH($A38,'Site Data'!$C$7:$C$13,0))</f>
        <v>20</v>
      </c>
      <c r="F38" s="502" t="s">
        <v>293</v>
      </c>
      <c r="G38" s="503"/>
      <c r="H38" s="504"/>
      <c r="J38" s="258" t="s">
        <v>294</v>
      </c>
      <c r="K38" s="302" t="str">
        <f>IF($B38="SPPA","N/A - SPPA",PeGu!$E$16)</f>
        <v>N/A - SPPA</v>
      </c>
      <c r="L38" s="260" t="s">
        <v>295</v>
      </c>
      <c r="T38" s="275"/>
      <c r="U38" s="275"/>
      <c r="V38" s="283"/>
      <c r="Y38" s="275"/>
      <c r="Z38" s="275"/>
      <c r="AA38" s="283"/>
      <c r="AD38" s="275"/>
      <c r="AE38" s="283"/>
      <c r="AG38" s="277"/>
      <c r="AH38" s="279"/>
      <c r="AJ38" s="278"/>
      <c r="AK38" s="279"/>
      <c r="AM38" s="278"/>
      <c r="AN38" s="279"/>
      <c r="AP38" s="278"/>
      <c r="AQ38" s="278"/>
      <c r="AR38" s="278"/>
      <c r="AT38" s="278"/>
      <c r="AU38" s="278"/>
      <c r="AV38" s="278"/>
      <c r="AX38" s="278"/>
      <c r="AY38" s="278"/>
      <c r="AZ38" s="278"/>
    </row>
    <row r="39" spans="1:52" ht="15" thickBot="1" x14ac:dyDescent="0.4">
      <c r="A39" s="251" t="str">
        <f t="shared" si="0"/>
        <v>13-A1</v>
      </c>
      <c r="B39" s="251" t="str">
        <f t="shared" si="1"/>
        <v>SPPA</v>
      </c>
      <c r="C39" s="251">
        <f>INDEX('Site Data'!$S$7:$S$13,MATCH($A39,'Site Data'!$C$7:$C$13,0))</f>
        <v>20</v>
      </c>
      <c r="F39" s="280" t="s">
        <v>296</v>
      </c>
      <c r="G39" s="284">
        <f>IF($B39="SEL","N/A - SEL",PeGu!$E$12)</f>
        <v>0</v>
      </c>
      <c r="H39" s="282" t="s">
        <v>295</v>
      </c>
      <c r="T39" s="275"/>
      <c r="U39" s="275"/>
      <c r="V39" s="283"/>
      <c r="Y39" s="275"/>
      <c r="Z39" s="275"/>
      <c r="AA39" s="283"/>
      <c r="AD39" s="275"/>
      <c r="AE39" s="283"/>
      <c r="AG39" s="277"/>
      <c r="AH39" s="279"/>
      <c r="AJ39" s="278"/>
      <c r="AK39" s="279"/>
      <c r="AM39" s="278"/>
      <c r="AN39" s="279"/>
      <c r="AP39" s="278"/>
      <c r="AQ39" s="278"/>
      <c r="AR39" s="278"/>
      <c r="AT39" s="278"/>
      <c r="AU39" s="278"/>
      <c r="AV39" s="278"/>
      <c r="AX39" s="278"/>
      <c r="AY39" s="278"/>
      <c r="AZ39" s="278"/>
    </row>
    <row r="40" spans="1:52" ht="15" thickBot="1" x14ac:dyDescent="0.4">
      <c r="T40" s="275"/>
      <c r="U40" s="275"/>
      <c r="V40" s="283"/>
      <c r="Y40" s="275"/>
      <c r="Z40" s="275"/>
      <c r="AA40" s="283"/>
      <c r="AD40" s="275"/>
      <c r="AE40" s="283"/>
      <c r="AG40" s="277"/>
      <c r="AH40" s="279"/>
      <c r="AJ40" s="278"/>
      <c r="AK40" s="279"/>
      <c r="AM40" s="278"/>
      <c r="AN40" s="279"/>
      <c r="AP40" s="278"/>
      <c r="AQ40" s="278"/>
      <c r="AR40" s="278"/>
      <c r="AT40" s="278"/>
      <c r="AU40" s="278"/>
      <c r="AV40" s="278"/>
      <c r="AX40" s="278"/>
      <c r="AY40" s="278"/>
      <c r="AZ40" s="278"/>
    </row>
    <row r="41" spans="1:52" x14ac:dyDescent="0.35">
      <c r="F41" s="255" t="s">
        <v>9</v>
      </c>
      <c r="G41" s="522">
        <f>G8+1</f>
        <v>2</v>
      </c>
      <c r="H41" s="523"/>
    </row>
    <row r="42" spans="1:52" x14ac:dyDescent="0.35">
      <c r="F42" s="256" t="s">
        <v>10</v>
      </c>
      <c r="G42" s="524" t="str">
        <f>INDEX(Site_Data_Table,MATCH(G41,'Site Data'!$A$6:$A$13,0),MATCH(F42,Site_Data_Column_Names,0))</f>
        <v>Pomona Courthouse South</v>
      </c>
      <c r="H42" s="525"/>
    </row>
    <row r="43" spans="1:52" x14ac:dyDescent="0.35">
      <c r="F43" s="256" t="s">
        <v>11</v>
      </c>
      <c r="G43" s="526" t="str">
        <f>INDEX(Site_Data_Table,MATCH(G41,'Site Data'!$A$6:$A$13,0),MATCH(F43,Site_Data_Column_Names,0))</f>
        <v>19-W1</v>
      </c>
      <c r="H43" s="527"/>
    </row>
    <row r="44" spans="1:52" ht="15.65" customHeight="1" thickBot="1" x14ac:dyDescent="0.4">
      <c r="F44" s="257" t="s">
        <v>26</v>
      </c>
      <c r="G44" s="531" t="str">
        <f>INDEX(Site_Data_Table,MATCH(G41,'Site Data'!$A$6:$A$13,0),MATCH(F44,Site_Data_Column_Names,0))</f>
        <v>SPPA</v>
      </c>
      <c r="H44" s="532"/>
    </row>
    <row r="46" spans="1:52" ht="15.65" customHeight="1" thickBot="1" x14ac:dyDescent="0.4">
      <c r="A46" s="301" t="s">
        <v>11</v>
      </c>
      <c r="B46" s="301" t="s">
        <v>26</v>
      </c>
      <c r="C46" s="301" t="s">
        <v>231</v>
      </c>
      <c r="D46" s="301" t="s">
        <v>232</v>
      </c>
      <c r="E46" s="301" t="s">
        <v>233</v>
      </c>
    </row>
    <row r="47" spans="1:52" ht="15" thickBot="1" x14ac:dyDescent="0.4">
      <c r="A47" s="251" t="str">
        <f>G43</f>
        <v>19-W1</v>
      </c>
      <c r="B47" s="251" t="str">
        <f>G44</f>
        <v>SPPA</v>
      </c>
      <c r="C47" s="251">
        <f>INDEX('Site Data'!$S$7:$S$13,MATCH($A47,'Site Data'!$C$7:$C$13,0))</f>
        <v>20</v>
      </c>
      <c r="F47" s="502" t="s">
        <v>234</v>
      </c>
      <c r="G47" s="503"/>
      <c r="H47" s="504"/>
      <c r="J47" s="502" t="s">
        <v>235</v>
      </c>
      <c r="K47" s="503"/>
      <c r="L47" s="504"/>
      <c r="N47" s="513" t="s">
        <v>236</v>
      </c>
      <c r="O47" s="514"/>
      <c r="P47" s="514"/>
      <c r="Q47" s="515"/>
      <c r="S47" s="528" t="s">
        <v>236</v>
      </c>
      <c r="T47" s="529"/>
      <c r="U47" s="529"/>
      <c r="V47" s="530"/>
      <c r="X47" s="516" t="s">
        <v>236</v>
      </c>
      <c r="Y47" s="517"/>
      <c r="Z47" s="518"/>
      <c r="AB47" s="513" t="str">
        <f>IF($B47="SPPA","Attachment E","Attachment N2")</f>
        <v>Attachment E</v>
      </c>
      <c r="AC47" s="515"/>
      <c r="AE47" s="513" t="str">
        <f>IF($B47="SPPA","Attachment E","Attachment N2")</f>
        <v>Attachment E</v>
      </c>
      <c r="AF47" s="515"/>
      <c r="AH47" s="513" t="str">
        <f>IF($B47="SPPA","Attachment E","Attachment N2")</f>
        <v>Attachment E</v>
      </c>
      <c r="AI47" s="515"/>
      <c r="AK47" s="519" t="s">
        <v>237</v>
      </c>
      <c r="AL47" s="520"/>
      <c r="AM47" s="520"/>
      <c r="AN47" s="521"/>
      <c r="AP47" s="541" t="s">
        <v>235</v>
      </c>
      <c r="AQ47" s="542"/>
      <c r="AR47" s="543"/>
      <c r="AT47" s="541" t="s">
        <v>235</v>
      </c>
      <c r="AU47" s="542"/>
      <c r="AV47" s="543"/>
      <c r="AX47" s="541" t="s">
        <v>235</v>
      </c>
      <c r="AY47" s="542"/>
      <c r="AZ47" s="543"/>
    </row>
    <row r="48" spans="1:52" ht="14.65" customHeight="1" thickBot="1" x14ac:dyDescent="0.4">
      <c r="A48" s="251" t="str">
        <f>A47</f>
        <v>19-W1</v>
      </c>
      <c r="B48" s="251" t="str">
        <f>B47</f>
        <v>SPPA</v>
      </c>
      <c r="C48" s="251">
        <f>INDEX('Site Data'!$S$7:$S$13,MATCH($A48,'Site Data'!$C$7:$C$13,0))</f>
        <v>20</v>
      </c>
      <c r="F48" s="505" t="s">
        <v>46</v>
      </c>
      <c r="G48" s="506"/>
      <c r="H48" s="507"/>
      <c r="J48" s="502" t="s">
        <v>238</v>
      </c>
      <c r="K48" s="503"/>
      <c r="L48" s="504"/>
      <c r="N48" s="508" t="s">
        <v>239</v>
      </c>
      <c r="O48" s="509"/>
      <c r="P48" s="509"/>
      <c r="Q48" s="510"/>
      <c r="S48" s="508" t="s">
        <v>240</v>
      </c>
      <c r="T48" s="509"/>
      <c r="U48" s="509"/>
      <c r="V48" s="510"/>
      <c r="W48" s="252"/>
      <c r="X48" s="508" t="s">
        <v>241</v>
      </c>
      <c r="Y48" s="509"/>
      <c r="Z48" s="510"/>
      <c r="AB48" s="511" t="s">
        <v>242</v>
      </c>
      <c r="AC48" s="512"/>
      <c r="AE48" s="511" t="s">
        <v>243</v>
      </c>
      <c r="AF48" s="512"/>
      <c r="AH48" s="511" t="s">
        <v>244</v>
      </c>
      <c r="AI48" s="512"/>
      <c r="AK48" s="538" t="s">
        <v>245</v>
      </c>
      <c r="AL48" s="539"/>
      <c r="AM48" s="539"/>
      <c r="AN48" s="540"/>
      <c r="AP48" s="544" t="s">
        <v>246</v>
      </c>
      <c r="AQ48" s="545"/>
      <c r="AR48" s="546"/>
      <c r="AT48" s="544" t="s">
        <v>247</v>
      </c>
      <c r="AU48" s="545"/>
      <c r="AV48" s="546"/>
      <c r="AX48" s="544" t="s">
        <v>248</v>
      </c>
      <c r="AY48" s="545"/>
      <c r="AZ48" s="546"/>
    </row>
    <row r="49" spans="1:52" ht="15" thickBot="1" x14ac:dyDescent="0.4">
      <c r="A49" s="251" t="str">
        <f t="shared" ref="A49:A72" si="5">A48</f>
        <v>19-W1</v>
      </c>
      <c r="B49" s="251" t="str">
        <f t="shared" ref="B49:B72" si="6">B48</f>
        <v>SPPA</v>
      </c>
      <c r="C49" s="251">
        <f>INDEX('Site Data'!$S$7:$S$13,MATCH($A49,'Site Data'!$C$7:$C$13,0))</f>
        <v>20</v>
      </c>
      <c r="D49" s="251" t="s">
        <v>27</v>
      </c>
      <c r="E49" s="251" t="s">
        <v>27</v>
      </c>
      <c r="F49" s="258" t="s">
        <v>249</v>
      </c>
      <c r="G49" s="259">
        <f>IF($B49="SEL","N/A - SEL",INDEX(Site_Data_Table,MATCH($A49,'Site Data'!$C$6:$C$13,0),MATCH($D49,Site_Data_Column_Names,0)))</f>
        <v>20</v>
      </c>
      <c r="H49" s="260" t="s">
        <v>250</v>
      </c>
      <c r="J49" s="266" t="s">
        <v>251</v>
      </c>
      <c r="K49" s="285" t="str">
        <f>IF($B49="SPPA","N/A - SPPA",INDEX(Site_Data_Table,MATCH($A49,'Site Data'!$C$6:$C$13,0),MATCH($E49,Site_Data_Column_Names,0)))</f>
        <v>N/A - SPPA</v>
      </c>
      <c r="L49" s="268" t="s">
        <v>250</v>
      </c>
      <c r="N49" s="535" t="s">
        <v>252</v>
      </c>
      <c r="O49" s="536"/>
      <c r="P49" s="536"/>
      <c r="Q49" s="537"/>
      <c r="S49" s="535" t="s">
        <v>252</v>
      </c>
      <c r="T49" s="536"/>
      <c r="U49" s="536"/>
      <c r="V49" s="537"/>
      <c r="X49" s="535" t="s">
        <v>253</v>
      </c>
      <c r="Y49" s="536"/>
      <c r="Z49" s="537"/>
      <c r="AB49" s="533" t="s">
        <v>254</v>
      </c>
      <c r="AC49" s="534"/>
      <c r="AE49" s="533" t="s">
        <v>254</v>
      </c>
      <c r="AF49" s="534"/>
      <c r="AH49" s="533" t="s">
        <v>254</v>
      </c>
      <c r="AI49" s="534"/>
      <c r="AK49" s="550" t="s">
        <v>255</v>
      </c>
      <c r="AL49" s="551"/>
      <c r="AM49" s="551"/>
      <c r="AN49" s="552"/>
      <c r="AP49" s="547" t="s">
        <v>256</v>
      </c>
      <c r="AQ49" s="548"/>
      <c r="AR49" s="549"/>
      <c r="AT49" s="547" t="s">
        <v>256</v>
      </c>
      <c r="AU49" s="548"/>
      <c r="AV49" s="549"/>
      <c r="AX49" s="547" t="s">
        <v>256</v>
      </c>
      <c r="AY49" s="548"/>
      <c r="AZ49" s="549"/>
    </row>
    <row r="50" spans="1:52" ht="29.5" thickBot="1" x14ac:dyDescent="0.4">
      <c r="A50" s="251" t="str">
        <f t="shared" si="5"/>
        <v>19-W1</v>
      </c>
      <c r="B50" s="251" t="str">
        <f t="shared" si="6"/>
        <v>SPPA</v>
      </c>
      <c r="C50" s="251">
        <f>INDEX('Site Data'!$S$7:$S$13,MATCH($A50,'Site Data'!$C$7:$C$13,0))</f>
        <v>20</v>
      </c>
      <c r="F50" s="505" t="s">
        <v>257</v>
      </c>
      <c r="G50" s="506"/>
      <c r="H50" s="507"/>
      <c r="J50" s="519" t="s">
        <v>258</v>
      </c>
      <c r="K50" s="520"/>
      <c r="L50" s="521"/>
      <c r="N50" s="332" t="s">
        <v>259</v>
      </c>
      <c r="O50" s="333" t="s">
        <v>260</v>
      </c>
      <c r="P50" s="333" t="s">
        <v>261</v>
      </c>
      <c r="Q50" s="334" t="s">
        <v>262</v>
      </c>
      <c r="S50" s="329" t="s">
        <v>259</v>
      </c>
      <c r="T50" s="330" t="s">
        <v>260</v>
      </c>
      <c r="U50" s="330" t="s">
        <v>261</v>
      </c>
      <c r="V50" s="331" t="s">
        <v>262</v>
      </c>
      <c r="X50" s="332" t="s">
        <v>134</v>
      </c>
      <c r="Y50" s="333" t="s">
        <v>263</v>
      </c>
      <c r="Z50" s="334" t="s">
        <v>264</v>
      </c>
      <c r="AB50" s="332" t="s">
        <v>265</v>
      </c>
      <c r="AC50" s="334" t="s">
        <v>266</v>
      </c>
      <c r="AE50" s="332" t="s">
        <v>265</v>
      </c>
      <c r="AF50" s="334" t="s">
        <v>266</v>
      </c>
      <c r="AH50" s="332" t="s">
        <v>265</v>
      </c>
      <c r="AI50" s="334" t="s">
        <v>266</v>
      </c>
      <c r="AK50" s="289" t="s">
        <v>267</v>
      </c>
      <c r="AL50" s="290" t="s">
        <v>268</v>
      </c>
      <c r="AM50" s="290" t="s">
        <v>269</v>
      </c>
      <c r="AN50" s="291" t="s">
        <v>270</v>
      </c>
      <c r="AP50" s="289" t="s">
        <v>134</v>
      </c>
      <c r="AQ50" s="290" t="s">
        <v>271</v>
      </c>
      <c r="AR50" s="291" t="s">
        <v>272</v>
      </c>
      <c r="AT50" s="289" t="s">
        <v>134</v>
      </c>
      <c r="AU50" s="290" t="s">
        <v>271</v>
      </c>
      <c r="AV50" s="291" t="s">
        <v>272</v>
      </c>
      <c r="AX50" s="289" t="s">
        <v>134</v>
      </c>
      <c r="AY50" s="290" t="s">
        <v>271</v>
      </c>
      <c r="AZ50" s="291" t="s">
        <v>272</v>
      </c>
    </row>
    <row r="51" spans="1:52" ht="15" thickBot="1" x14ac:dyDescent="0.4">
      <c r="A51" s="251" t="str">
        <f t="shared" si="5"/>
        <v>19-W1</v>
      </c>
      <c r="B51" s="251" t="str">
        <f t="shared" si="6"/>
        <v>SPPA</v>
      </c>
      <c r="C51" s="251">
        <f>INDEX('Site Data'!$S$7:$S$13,MATCH($A51,'Site Data'!$C$7:$C$13,0))</f>
        <v>20</v>
      </c>
      <c r="E51" s="251" t="s">
        <v>165</v>
      </c>
      <c r="F51" s="258" t="s">
        <v>273</v>
      </c>
      <c r="G51" s="259">
        <f>G49</f>
        <v>20</v>
      </c>
      <c r="H51" s="260" t="s">
        <v>250</v>
      </c>
      <c r="J51" s="261" t="s">
        <v>274</v>
      </c>
      <c r="K51" s="303" t="str">
        <f>IF($B51="SPPA","N/A - SPPA",INDEX('Microgrid Proposal'!$A$32:$X$38,MATCH($A51,'Microgrid Proposal'!$D$32:$D$38,0),MATCH($E51,'Microgrid Proposal'!$A$31:$X$31,0)))</f>
        <v>N/A - SPPA</v>
      </c>
      <c r="L51" s="304" t="s">
        <v>275</v>
      </c>
      <c r="N51" s="262">
        <v>1</v>
      </c>
      <c r="O51" s="293">
        <f>IF($B51="SEL","N/A - SEL",INDEX(Prod_Yr_1,MATCH($A51,'System Specification'!$D$14:$D$20,0)))</f>
        <v>0</v>
      </c>
      <c r="P51" s="293" t="str" cm="1">
        <f t="array" ref="P51">INDEX(PeGu!$B$24:$H$43,$S51,MATCH($A49,_xlfn.ANCHORARRAY(PeGu!$B$20),0))</f>
        <v/>
      </c>
      <c r="Q51" s="294">
        <f>IF($B51="SEL","N/A - SEL",PeGu!$E$14*POWER(1+PeGu!$E$15,$S51-1))</f>
        <v>0.05</v>
      </c>
      <c r="S51" s="261">
        <v>1</v>
      </c>
      <c r="T51" s="296">
        <f>IF($B49="SEL","N/A -SEL",INDEX(Prod_Yr_1_PV_Only,MATCH($A49,'System Specification'!$D$14:$D$20,0)))</f>
        <v>0</v>
      </c>
      <c r="U51" s="296" t="str" cm="1">
        <f t="array" ref="U51">INDEX(PeGu!$B$52:$H$71,$S51,MATCH($A49,_xlfn.ANCHORARRAY(PeGu!$B$48),0))</f>
        <v/>
      </c>
      <c r="V51" s="297">
        <f>IF($B51="SEL","N/A - SEL",PeGu!$E$14*POWER(1+PeGu!$E$15,$S51-1))</f>
        <v>0.05</v>
      </c>
      <c r="X51" s="262">
        <v>1</v>
      </c>
      <c r="Y51" s="293" t="str" cm="1">
        <f t="array" ref="Y51">IF($B51="SEL","N/A - SEL",INDEX(PeGu!$B$78:$H$97,$X51,MATCH($A49,PeGu!$B$76:$H$76,0)))</f>
        <v/>
      </c>
      <c r="Z51" s="294">
        <f>IF($B51="SEL","N/A - SEL",PeGu!$K$12*POWER(1+PeGu!$K$13,$X51-1))</f>
        <v>0</v>
      </c>
      <c r="AB51" s="263">
        <v>1</v>
      </c>
      <c r="AC51" s="264" cm="1">
        <f t="array" ref="AC51">INDEX('Contract Early Termination'!$B$14:$H$33,$AB51,MATCH($A49,_xlfn.ANCHORARRAY('Contract Early Termination'!$B$10),0))</f>
        <v>0</v>
      </c>
      <c r="AE51" s="263">
        <v>1</v>
      </c>
      <c r="AF51" s="264" cm="1">
        <f t="array" ref="AF51">INDEX('Contract Early Termination'!$B$41:$H$60,$AE51,MATCH($A49,_xlfn.ANCHORARRAY('Contract Early Termination'!$B$37),0))</f>
        <v>0</v>
      </c>
      <c r="AH51" s="263">
        <v>1</v>
      </c>
      <c r="AI51" s="264" cm="1">
        <f t="array" ref="AI51">INDEX('Contract Early Termination'!$B$68:$H$87,$AB51,MATCH($A49,_xlfn.ANCHORARRAY('Contract Early Termination'!$B$64),0))</f>
        <v>0</v>
      </c>
      <c r="AK51" s="263">
        <v>1</v>
      </c>
      <c r="AL51" s="293" t="str">
        <f>IF($B51="SPPA","N/A - SPPA", INDEX(Prod_Yr_1,MATCH($A49,'System Specification'!$D$14:$D$20,0)))</f>
        <v>N/A - SPPA</v>
      </c>
      <c r="AM51" s="293" t="str">
        <f>IF($B51="SPPA","N/A - SPPA", INDEX('System Specification'!$P$14:$P$20,MATCH($A49,'System Specification'!$D$14:$D$20,0)))</f>
        <v>N/A - SPPA</v>
      </c>
      <c r="AN51" s="298" t="str" cm="1">
        <f t="array" ref="AN51">IF($B51="SPPA","N/A - SPPA",INDEX(PeGu!$B$78:$H$97,$AK51,MATCH($A49,PeGu!$B$76:$H$76,0)))</f>
        <v>N/A - SPPA</v>
      </c>
      <c r="AP51" s="262">
        <v>1</v>
      </c>
      <c r="AQ51" s="269" t="str">
        <f>IF($B51="SPPA","N/A - SPPA", INDEX('Microgrid Proposal'!$N$32:$N$38,MATCH($A51,'Microgrid Proposal'!$D$32:$D$38,0))*IF(AP51&lt;=$C51,1,0))</f>
        <v>N/A - SPPA</v>
      </c>
      <c r="AR51" s="264" t="str">
        <f>IF($B51="SPPA","N/A - SPPA",AQ51*12)</f>
        <v>N/A - SPPA</v>
      </c>
      <c r="AT51" s="262">
        <v>1</v>
      </c>
      <c r="AU51" s="269" t="str">
        <f>IF($B51="SPPA","N/A - SPPA", INDEX('Solar+Storage Proposal'!$N$32:$N$38,MATCH($A51,'Solar+Storage Proposal'!$D$32:$D$38,0))*IF(AT51&lt;=$C51,1,0))</f>
        <v>N/A - SPPA</v>
      </c>
      <c r="AV51" s="264" t="str">
        <f>IF($B51="SPPA","N/A - SPPA",AU51*12)</f>
        <v>N/A - SPPA</v>
      </c>
      <c r="AX51" s="262">
        <v>1</v>
      </c>
      <c r="AY51" s="269" t="str">
        <f>IF($B51="SPPA","N/A - SPPA", INDEX('Solar-Only Proposal'!$M$32:$M$38,MATCH($A51,'Solar-Only Proposal'!$D$32:$D$38,0))*IF(AX51&lt;=$C51,1,0))</f>
        <v>N/A - SPPA</v>
      </c>
      <c r="AZ51" s="264" t="str">
        <f>IF($B51="SPPA","N/A - SPPA",AY51*12)</f>
        <v>N/A - SPPA</v>
      </c>
    </row>
    <row r="52" spans="1:52" ht="15" thickBot="1" x14ac:dyDescent="0.4">
      <c r="A52" s="251" t="str">
        <f t="shared" si="5"/>
        <v>19-W1</v>
      </c>
      <c r="B52" s="251" t="str">
        <f t="shared" si="6"/>
        <v>SPPA</v>
      </c>
      <c r="C52" s="251">
        <f>INDEX('Site Data'!$S$7:$S$13,MATCH($A52,'Site Data'!$C$7:$C$13,0))</f>
        <v>20</v>
      </c>
      <c r="E52" s="251" t="s">
        <v>192</v>
      </c>
      <c r="F52" s="502" t="s">
        <v>276</v>
      </c>
      <c r="G52" s="503"/>
      <c r="H52" s="504"/>
      <c r="J52" s="262" t="s">
        <v>277</v>
      </c>
      <c r="K52" s="269" t="str">
        <f>IF($B52="SPPA","N/A - SPPA",INDEX('Microgrid Proposal'!$A$32:$X$38,MATCH($A52,'Microgrid Proposal'!$D$32:$D$38,0),MATCH($E52,'Microgrid Proposal'!$A$31:$X$31,0)))</f>
        <v>N/A - SPPA</v>
      </c>
      <c r="L52" s="270" t="s">
        <v>278</v>
      </c>
      <c r="N52" s="262">
        <v>2</v>
      </c>
      <c r="O52" s="293">
        <f>IF($B52="SEL","N/A - SEL",O51*(1-'System Specification'!$D$10)*IF(N52&lt;=$C52,1,0))</f>
        <v>0</v>
      </c>
      <c r="P52" s="293" t="str" cm="1">
        <f t="array" ref="P52">INDEX(PeGu!$B$24:$H$43,$S52,MATCH($A50,_xlfn.ANCHORARRAY(PeGu!$B$20),0))</f>
        <v/>
      </c>
      <c r="Q52" s="294">
        <f>IF($B52="SEL","N/A - SEL",PeGu!$E$14*POWER(1+PeGu!$E$15,$S52-1))</f>
        <v>5.1500000000000004E-2</v>
      </c>
      <c r="S52" s="262">
        <v>2</v>
      </c>
      <c r="T52" s="293">
        <f>IF($B52="SEL","N/A - SEL",T51*(1-'System Specification'!$D$10)*IF(S52&lt;=$C52,1,0))</f>
        <v>0</v>
      </c>
      <c r="U52" s="293" t="str" cm="1">
        <f t="array" ref="U52">INDEX(PeGu!$B$52:$H$71,$S52,MATCH($A50,_xlfn.ANCHORARRAY(PeGu!$B$48),0))</f>
        <v/>
      </c>
      <c r="V52" s="294">
        <f>IF($B52="SEL","N/A - SEL",PeGu!$E$14*POWER(1+PeGu!$E$15,$S52-1))</f>
        <v>5.1500000000000004E-2</v>
      </c>
      <c r="X52" s="262">
        <v>2</v>
      </c>
      <c r="Y52" s="293" t="str" cm="1">
        <f t="array" ref="Y52">IF($B52="SEL","N/A - SEL",INDEX(PeGu!$B$78:$H$97,$X52,MATCH($A50,PeGu!$B$76:$H$76,0)))</f>
        <v/>
      </c>
      <c r="Z52" s="294">
        <f>IF($B52="SEL","N/A - SEL",PeGu!$K$12*POWER(1+PeGu!$K$13,$X52-1))</f>
        <v>0</v>
      </c>
      <c r="AB52" s="263">
        <v>2</v>
      </c>
      <c r="AC52" s="264" cm="1">
        <f t="array" ref="AC52">INDEX('Contract Early Termination'!$B$14:$H$33,$AB52,MATCH($A50,_xlfn.ANCHORARRAY('Contract Early Termination'!$B$10),0))</f>
        <v>0</v>
      </c>
      <c r="AE52" s="263">
        <v>2</v>
      </c>
      <c r="AF52" s="264" cm="1">
        <f t="array" ref="AF52">INDEX('Contract Early Termination'!$B$41:$H$60,$AE52,MATCH($A50,_xlfn.ANCHORARRAY('Contract Early Termination'!$B$37),0))</f>
        <v>0</v>
      </c>
      <c r="AH52" s="263">
        <v>2</v>
      </c>
      <c r="AI52" s="264" cm="1">
        <f t="array" ref="AI52">INDEX('Contract Early Termination'!$B$68:$H$87,$AB52,MATCH($A50,_xlfn.ANCHORARRAY('Contract Early Termination'!$B$64),0))</f>
        <v>0</v>
      </c>
      <c r="AK52" s="263">
        <v>2</v>
      </c>
      <c r="AL52" s="293" t="str">
        <f>IF($B52="SPPA","N/A - SPPA",AL51*(1-'System Specification'!$D$10)*IF(AK52&lt;=$C52,1,0))</f>
        <v>N/A - SPPA</v>
      </c>
      <c r="AM52" s="293" t="str">
        <f>IF($B52="SPPA","N/A - SPPA",AM51*(1-INDEX('System Specification'!$Q$14:$Q$20,MATCH($A52,'System Specification'!$D$14:$D$20,0)))*IF(AK52&lt;=$C52,1,0))</f>
        <v>N/A - SPPA</v>
      </c>
      <c r="AN52" s="298" t="str" cm="1">
        <f t="array" ref="AN52">IF($B52="SPPA","N/A - SPPA",INDEX(PeGu!$B$78:$H$97,$AK52,MATCH($A50,PeGu!$B$76:$H$76,0)))</f>
        <v>N/A - SPPA</v>
      </c>
      <c r="AP52" s="262">
        <v>2</v>
      </c>
      <c r="AQ52" s="269" t="str">
        <f>IF($B52="SPPA","N/A - SPPA", INDEX('Microgrid Proposal'!$N$32:$N$38,MATCH($A52,'Microgrid Proposal'!$D$32:$D$38,0))*IF(AP52&lt;=$C52,1,0))</f>
        <v>N/A - SPPA</v>
      </c>
      <c r="AR52" s="264" t="str">
        <f t="shared" ref="AR52:AR70" si="7">IF($B52="SPPA","N/A - SPPA",AQ52*12)</f>
        <v>N/A - SPPA</v>
      </c>
      <c r="AT52" s="262">
        <v>2</v>
      </c>
      <c r="AU52" s="269" t="str">
        <f>IF($B52="SPPA","N/A - SPPA", INDEX('Solar+Storage Proposal'!$N$32:$N$38,MATCH($A52,'Solar+Storage Proposal'!$D$32:$D$38,0))*IF(AT52&lt;=$C52,1,0))</f>
        <v>N/A - SPPA</v>
      </c>
      <c r="AV52" s="264" t="str">
        <f t="shared" ref="AV52:AV70" si="8">IF($B52="SPPA","N/A - SPPA",AU52*12)</f>
        <v>N/A - SPPA</v>
      </c>
      <c r="AX52" s="262">
        <v>2</v>
      </c>
      <c r="AY52" s="269" t="str">
        <f>IF($B52="SPPA","N/A - SPPA", INDEX('Solar-Only Proposal'!$M$32:$M$38,MATCH($A52,'Solar-Only Proposal'!$D$32:$D$38,0))*IF(AX52&lt;=$C52,1,0))</f>
        <v>N/A - SPPA</v>
      </c>
      <c r="AZ52" s="264" t="str">
        <f t="shared" ref="AZ52:AZ70" si="9">IF($B52="SPPA","N/A - SPPA",AY52*12)</f>
        <v>N/A - SPPA</v>
      </c>
    </row>
    <row r="53" spans="1:52" ht="15" thickBot="1" x14ac:dyDescent="0.4">
      <c r="A53" s="251" t="str">
        <f t="shared" si="5"/>
        <v>19-W1</v>
      </c>
      <c r="B53" s="251" t="str">
        <f t="shared" si="6"/>
        <v>SPPA</v>
      </c>
      <c r="C53" s="251">
        <f>INDEX('Site Data'!$S$7:$S$13,MATCH($A53,'Site Data'!$C$7:$C$13,0))</f>
        <v>20</v>
      </c>
      <c r="D53" s="251" t="s">
        <v>188</v>
      </c>
      <c r="E53" s="251" t="s">
        <v>193</v>
      </c>
      <c r="F53" s="266" t="s">
        <v>279</v>
      </c>
      <c r="G53" s="267">
        <f>IF($B53="SEL","N/A - SEL",INDEX('Microgrid Proposal'!$A$32:$X$38,MATCH($A53,'Microgrid Proposal'!$D$32:$D$38,0),MATCH($D53,'Microgrid Proposal'!$A$31:$X$31,0)))</f>
        <v>0</v>
      </c>
      <c r="H53" s="268" t="s">
        <v>280</v>
      </c>
      <c r="J53" s="258" t="s">
        <v>277</v>
      </c>
      <c r="K53" s="300" t="str">
        <f>IF($B53="SPPA","N/A - SPPA",INDEX('Microgrid Proposal'!$A$32:$X$38,MATCH($A53,'Microgrid Proposal'!$D$32:$D$38,0),MATCH($E53,'Microgrid Proposal'!$A$31:$X$31,0)))</f>
        <v>N/A - SPPA</v>
      </c>
      <c r="L53" s="260" t="s">
        <v>281</v>
      </c>
      <c r="N53" s="262">
        <v>3</v>
      </c>
      <c r="O53" s="293">
        <f>IF($B53="SEL","N/A - SEL",O52*(1-'System Specification'!$D$10)*IF(N53&lt;=$C53,1,0))</f>
        <v>0</v>
      </c>
      <c r="P53" s="293" t="str" cm="1">
        <f t="array" ref="P53">INDEX(PeGu!$B$24:$H$43,$S53,MATCH($A51,_xlfn.ANCHORARRAY(PeGu!$B$20),0))</f>
        <v/>
      </c>
      <c r="Q53" s="294">
        <f>IF($B53="SEL","N/A - SEL",PeGu!$E$14*POWER(1+PeGu!$E$15,$S53-1))</f>
        <v>5.3045000000000002E-2</v>
      </c>
      <c r="S53" s="262">
        <v>3</v>
      </c>
      <c r="T53" s="293">
        <f>IF($B53="SEL","N/A - SEL",T52*(1-'System Specification'!$D$10)*IF(S53&lt;=$C53,1,0))</f>
        <v>0</v>
      </c>
      <c r="U53" s="293" t="str" cm="1">
        <f t="array" ref="U53">INDEX(PeGu!$B$52:$H$71,$S53,MATCH($A51,_xlfn.ANCHORARRAY(PeGu!$B$48),0))</f>
        <v/>
      </c>
      <c r="V53" s="294">
        <f>IF($B53="SEL","N/A - SEL",PeGu!$E$14*POWER(1+PeGu!$E$15,$S53-1))</f>
        <v>5.3045000000000002E-2</v>
      </c>
      <c r="X53" s="262">
        <v>3</v>
      </c>
      <c r="Y53" s="293" t="str" cm="1">
        <f t="array" ref="Y53">IF($B53="SEL","N/A - SEL",INDEX(PeGu!$B$78:$H$97,$X53,MATCH($A51,PeGu!$B$76:$H$76,0)))</f>
        <v/>
      </c>
      <c r="Z53" s="294">
        <f>IF($B53="SEL","N/A - SEL",PeGu!$K$12*POWER(1+PeGu!$K$13,$X53-1))</f>
        <v>0</v>
      </c>
      <c r="AB53" s="263">
        <v>3</v>
      </c>
      <c r="AC53" s="264" cm="1">
        <f t="array" ref="AC53">INDEX('Contract Early Termination'!$B$14:$H$33,$AB53,MATCH($A51,_xlfn.ANCHORARRAY('Contract Early Termination'!$B$10),0))</f>
        <v>0</v>
      </c>
      <c r="AE53" s="263">
        <v>3</v>
      </c>
      <c r="AF53" s="264" cm="1">
        <f t="array" ref="AF53">INDEX('Contract Early Termination'!$B$41:$H$60,$AE53,MATCH($A51,_xlfn.ANCHORARRAY('Contract Early Termination'!$B$37),0))</f>
        <v>0</v>
      </c>
      <c r="AH53" s="263">
        <v>3</v>
      </c>
      <c r="AI53" s="264" cm="1">
        <f t="array" ref="AI53">INDEX('Contract Early Termination'!$B$68:$H$87,$AB53,MATCH($A51,_xlfn.ANCHORARRAY('Contract Early Termination'!$B$64),0))</f>
        <v>0</v>
      </c>
      <c r="AK53" s="263">
        <v>3</v>
      </c>
      <c r="AL53" s="293" t="str">
        <f>IF($B53="SPPA","N/A - SPPA",AL52*(1-'System Specification'!$D$10)*IF(AK53&lt;=$C53,1,0))</f>
        <v>N/A - SPPA</v>
      </c>
      <c r="AM53" s="293" t="str">
        <f>IF($B53="SPPA","N/A - SPPA",AM52*(1-INDEX('System Specification'!$Q$14:$Q$20,MATCH($A53,'System Specification'!$D$14:$D$20,0)))*IF(AK53&lt;=$C53,1,0))</f>
        <v>N/A - SPPA</v>
      </c>
      <c r="AN53" s="298" t="str" cm="1">
        <f t="array" ref="AN53">IF($B53="SPPA","N/A - SPPA",INDEX(PeGu!$B$78:$H$97,$AK53,MATCH($A51,PeGu!$B$76:$H$76,0)))</f>
        <v>N/A - SPPA</v>
      </c>
      <c r="AP53" s="262">
        <v>3</v>
      </c>
      <c r="AQ53" s="269" t="str">
        <f>IF($B53="SPPA","N/A - SPPA", INDEX('Microgrid Proposal'!$N$32:$N$38,MATCH($A53,'Microgrid Proposal'!$D$32:$D$38,0))*IF(AP53&lt;=$C53,1,0))</f>
        <v>N/A - SPPA</v>
      </c>
      <c r="AR53" s="264" t="str">
        <f t="shared" si="7"/>
        <v>N/A - SPPA</v>
      </c>
      <c r="AT53" s="262">
        <v>3</v>
      </c>
      <c r="AU53" s="269" t="str">
        <f>IF($B53="SPPA","N/A - SPPA", INDEX('Solar+Storage Proposal'!$N$32:$N$38,MATCH($A53,'Solar+Storage Proposal'!$D$32:$D$38,0))*IF(AT53&lt;=$C53,1,0))</f>
        <v>N/A - SPPA</v>
      </c>
      <c r="AV53" s="264" t="str">
        <f t="shared" si="8"/>
        <v>N/A - SPPA</v>
      </c>
      <c r="AX53" s="262">
        <v>3</v>
      </c>
      <c r="AY53" s="269" t="str">
        <f>IF($B53="SPPA","N/A - SPPA", INDEX('Solar-Only Proposal'!$M$32:$M$38,MATCH($A53,'Solar-Only Proposal'!$D$32:$D$38,0))*IF(AX53&lt;=$C53,1,0))</f>
        <v>N/A - SPPA</v>
      </c>
      <c r="AZ53" s="264" t="str">
        <f t="shared" si="9"/>
        <v>N/A - SPPA</v>
      </c>
    </row>
    <row r="54" spans="1:52" ht="15" thickBot="1" x14ac:dyDescent="0.4">
      <c r="A54" s="251" t="str">
        <f t="shared" si="5"/>
        <v>19-W1</v>
      </c>
      <c r="B54" s="251" t="str">
        <f t="shared" si="6"/>
        <v>SPPA</v>
      </c>
      <c r="C54" s="251">
        <f>INDEX('Site Data'!$S$7:$S$13,MATCH($A54,'Site Data'!$C$7:$C$13,0))</f>
        <v>20</v>
      </c>
      <c r="D54" s="251" t="s">
        <v>165</v>
      </c>
      <c r="F54" s="262" t="s">
        <v>282</v>
      </c>
      <c r="G54" s="269">
        <f>IF($B54="SEL","N/A - SEL",INDEX('Microgrid Proposal'!$A$32:$X$38,MATCH($A54,'Microgrid Proposal'!$D$32:$D$38,0),MATCH($D54,'Microgrid Proposal'!$A$31:$X$31,0)))</f>
        <v>0</v>
      </c>
      <c r="H54" s="270" t="s">
        <v>275</v>
      </c>
      <c r="J54" s="519" t="s">
        <v>283</v>
      </c>
      <c r="K54" s="520"/>
      <c r="L54" s="521"/>
      <c r="N54" s="262">
        <v>4</v>
      </c>
      <c r="O54" s="293">
        <f>IF($B54="SEL","N/A - SEL",O53*(1-'System Specification'!$D$10)*IF(N54&lt;=$C54,1,0))</f>
        <v>0</v>
      </c>
      <c r="P54" s="293" t="str" cm="1">
        <f t="array" ref="P54">INDEX(PeGu!$B$24:$H$43,$S54,MATCH($A52,_xlfn.ANCHORARRAY(PeGu!$B$20),0))</f>
        <v/>
      </c>
      <c r="Q54" s="294">
        <f>IF($B54="SEL","N/A - SEL",PeGu!$E$14*POWER(1+PeGu!$E$15,$S54-1))</f>
        <v>5.463635E-2</v>
      </c>
      <c r="S54" s="262">
        <v>4</v>
      </c>
      <c r="T54" s="293">
        <f>IF($B54="SEL","N/A - SEL",T53*(1-'System Specification'!$D$10)*IF(S54&lt;=$C54,1,0))</f>
        <v>0</v>
      </c>
      <c r="U54" s="293" t="str" cm="1">
        <f t="array" ref="U54">INDEX(PeGu!$B$52:$H$71,$S54,MATCH($A52,_xlfn.ANCHORARRAY(PeGu!$B$48),0))</f>
        <v/>
      </c>
      <c r="V54" s="294">
        <f>IF($B54="SEL","N/A - SEL",PeGu!$E$14*POWER(1+PeGu!$E$15,$S54-1))</f>
        <v>5.463635E-2</v>
      </c>
      <c r="X54" s="262">
        <v>4</v>
      </c>
      <c r="Y54" s="293" t="str" cm="1">
        <f t="array" ref="Y54">IF($B54="SEL","N/A - SEL",INDEX(PeGu!$B$78:$H$97,$X54,MATCH($A52,PeGu!$B$76:$H$76,0)))</f>
        <v/>
      </c>
      <c r="Z54" s="294">
        <f>IF($B54="SEL","N/A - SEL",PeGu!$K$12*POWER(1+PeGu!$K$13,$X54-1))</f>
        <v>0</v>
      </c>
      <c r="AB54" s="263">
        <v>4</v>
      </c>
      <c r="AC54" s="264" cm="1">
        <f t="array" ref="AC54">INDEX('Contract Early Termination'!$B$14:$H$33,$AB54,MATCH($A52,_xlfn.ANCHORARRAY('Contract Early Termination'!$B$10),0))</f>
        <v>0</v>
      </c>
      <c r="AE54" s="263">
        <v>4</v>
      </c>
      <c r="AF54" s="264" cm="1">
        <f t="array" ref="AF54">INDEX('Contract Early Termination'!$B$41:$H$60,$AE54,MATCH($A52,_xlfn.ANCHORARRAY('Contract Early Termination'!$B$37),0))</f>
        <v>0</v>
      </c>
      <c r="AH54" s="263">
        <v>4</v>
      </c>
      <c r="AI54" s="264" cm="1">
        <f t="array" ref="AI54">INDEX('Contract Early Termination'!$B$68:$H$87,$AB54,MATCH($A52,_xlfn.ANCHORARRAY('Contract Early Termination'!$B$64),0))</f>
        <v>0</v>
      </c>
      <c r="AK54" s="263">
        <v>4</v>
      </c>
      <c r="AL54" s="293" t="str">
        <f>IF($B54="SPPA","N/A - SPPA",AL53*(1-'System Specification'!$D$10)*IF(AK54&lt;=$C54,1,0))</f>
        <v>N/A - SPPA</v>
      </c>
      <c r="AM54" s="293" t="str">
        <f>IF($B54="SPPA","N/A - SPPA",AM53*(1-INDEX('System Specification'!$Q$14:$Q$20,MATCH($A54,'System Specification'!$D$14:$D$20,0)))*IF(AK54&lt;=$C54,1,0))</f>
        <v>N/A - SPPA</v>
      </c>
      <c r="AN54" s="298" t="str" cm="1">
        <f t="array" ref="AN54">IF($B54="SPPA","N/A - SPPA",INDEX(PeGu!$B$78:$H$97,$AK54,MATCH($A52,PeGu!$B$76:$H$76,0)))</f>
        <v>N/A - SPPA</v>
      </c>
      <c r="AP54" s="262">
        <v>4</v>
      </c>
      <c r="AQ54" s="269" t="str">
        <f>IF($B54="SPPA","N/A - SPPA", INDEX('Microgrid Proposal'!$N$32:$N$38,MATCH($A54,'Microgrid Proposal'!$D$32:$D$38,0))*IF(AP54&lt;=$C54,1,0))</f>
        <v>N/A - SPPA</v>
      </c>
      <c r="AR54" s="264" t="str">
        <f t="shared" si="7"/>
        <v>N/A - SPPA</v>
      </c>
      <c r="AT54" s="262">
        <v>4</v>
      </c>
      <c r="AU54" s="269" t="str">
        <f>IF($B54="SPPA","N/A - SPPA", INDEX('Solar+Storage Proposal'!$N$32:$N$38,MATCH($A54,'Solar+Storage Proposal'!$D$32:$D$38,0))*IF(AT54&lt;=$C54,1,0))</f>
        <v>N/A - SPPA</v>
      </c>
      <c r="AV54" s="264" t="str">
        <f t="shared" si="8"/>
        <v>N/A - SPPA</v>
      </c>
      <c r="AX54" s="262">
        <v>4</v>
      </c>
      <c r="AY54" s="269" t="str">
        <f>IF($B54="SPPA","N/A - SPPA", INDEX('Solar-Only Proposal'!$M$32:$M$38,MATCH($A54,'Solar-Only Proposal'!$D$32:$D$38,0))*IF(AX54&lt;=$C54,1,0))</f>
        <v>N/A - SPPA</v>
      </c>
      <c r="AZ54" s="264" t="str">
        <f t="shared" si="9"/>
        <v>N/A - SPPA</v>
      </c>
    </row>
    <row r="55" spans="1:52" x14ac:dyDescent="0.35">
      <c r="A55" s="251" t="str">
        <f t="shared" si="5"/>
        <v>19-W1</v>
      </c>
      <c r="B55" s="251" t="str">
        <f t="shared" si="6"/>
        <v>SPPA</v>
      </c>
      <c r="C55" s="251">
        <f>INDEX('Site Data'!$S$7:$S$13,MATCH($A55,'Site Data'!$C$7:$C$13,0))</f>
        <v>20</v>
      </c>
      <c r="D55" s="251" t="s">
        <v>189</v>
      </c>
      <c r="E55" s="251" t="s">
        <v>165</v>
      </c>
      <c r="F55" s="262" t="s">
        <v>284</v>
      </c>
      <c r="G55" s="271">
        <f>IF($B55="SEL","N/A - SEL",INDEX('Microgrid Proposal'!$A$32:$X$38,MATCH($A55,'Microgrid Proposal'!$D$32:$D$38,0),MATCH($D55,'Microgrid Proposal'!$A$31:$X$31,0)))</f>
        <v>0</v>
      </c>
      <c r="H55" s="270" t="s">
        <v>285</v>
      </c>
      <c r="J55" s="261" t="s">
        <v>274</v>
      </c>
      <c r="K55" s="303" t="str">
        <f>IF($B55="SPPA","N/A - SPPA",INDEX('Solar+Storage Proposal'!$A$32:$X$38,MATCH($A55,'Solar+Storage Proposal'!$D$32:$D$38,0),MATCH($E55,'Solar+Storage Proposal'!$A$31:$X$31,0)))</f>
        <v>N/A - SPPA</v>
      </c>
      <c r="L55" s="304" t="s">
        <v>275</v>
      </c>
      <c r="N55" s="262">
        <v>5</v>
      </c>
      <c r="O55" s="293">
        <f>IF($B55="SEL","N/A - SEL",O54*(1-'System Specification'!$D$10)*IF(N55&lt;=$C55,1,0))</f>
        <v>0</v>
      </c>
      <c r="P55" s="293" t="str" cm="1">
        <f t="array" ref="P55">INDEX(PeGu!$B$24:$H$43,$S55,MATCH($A53,_xlfn.ANCHORARRAY(PeGu!$B$20),0))</f>
        <v/>
      </c>
      <c r="Q55" s="294">
        <f>IF($B55="SEL","N/A - SEL",PeGu!$E$14*POWER(1+PeGu!$E$15,$S55-1))</f>
        <v>5.6275440499999996E-2</v>
      </c>
      <c r="S55" s="262">
        <v>5</v>
      </c>
      <c r="T55" s="293">
        <f>IF($B55="SEL","N/A - SEL",T54*(1-'System Specification'!$D$10)*IF(S55&lt;=$C55,1,0))</f>
        <v>0</v>
      </c>
      <c r="U55" s="293" t="str" cm="1">
        <f t="array" ref="U55">INDEX(PeGu!$B$52:$H$71,$S55,MATCH($A53,_xlfn.ANCHORARRAY(PeGu!$B$48),0))</f>
        <v/>
      </c>
      <c r="V55" s="294">
        <f>IF($B55="SEL","N/A - SEL",PeGu!$E$14*POWER(1+PeGu!$E$15,$S55-1))</f>
        <v>5.6275440499999996E-2</v>
      </c>
      <c r="X55" s="262">
        <v>5</v>
      </c>
      <c r="Y55" s="293" t="str" cm="1">
        <f t="array" ref="Y55">IF($B55="SEL","N/A - SEL",INDEX(PeGu!$B$78:$H$97,$X55,MATCH($A53,PeGu!$B$76:$H$76,0)))</f>
        <v/>
      </c>
      <c r="Z55" s="294">
        <f>IF($B55="SEL","N/A - SEL",PeGu!$K$12*POWER(1+PeGu!$K$13,$X55-1))</f>
        <v>0</v>
      </c>
      <c r="AB55" s="263">
        <v>5</v>
      </c>
      <c r="AC55" s="264" cm="1">
        <f t="array" ref="AC55">INDEX('Contract Early Termination'!$B$14:$H$33,$AB55,MATCH($A53,_xlfn.ANCHORARRAY('Contract Early Termination'!$B$10),0))</f>
        <v>0</v>
      </c>
      <c r="AE55" s="263">
        <v>5</v>
      </c>
      <c r="AF55" s="264" cm="1">
        <f t="array" ref="AF55">INDEX('Contract Early Termination'!$B$41:$H$60,$AE55,MATCH($A53,_xlfn.ANCHORARRAY('Contract Early Termination'!$B$37),0))</f>
        <v>0</v>
      </c>
      <c r="AH55" s="263">
        <v>5</v>
      </c>
      <c r="AI55" s="264" cm="1">
        <f t="array" ref="AI55">INDEX('Contract Early Termination'!$B$68:$H$87,$AB55,MATCH($A53,_xlfn.ANCHORARRAY('Contract Early Termination'!$B$64),0))</f>
        <v>0</v>
      </c>
      <c r="AK55" s="263">
        <v>5</v>
      </c>
      <c r="AL55" s="293" t="str">
        <f>IF($B55="SPPA","N/A - SPPA",AL54*(1-'System Specification'!$D$10)*IF(AK55&lt;=$C55,1,0))</f>
        <v>N/A - SPPA</v>
      </c>
      <c r="AM55" s="293" t="str">
        <f>IF($B55="SPPA","N/A - SPPA",AM54*(1-INDEX('System Specification'!$Q$14:$Q$20,MATCH($A55,'System Specification'!$D$14:$D$20,0)))*IF(AK55&lt;=$C55,1,0))</f>
        <v>N/A - SPPA</v>
      </c>
      <c r="AN55" s="298" t="str" cm="1">
        <f t="array" ref="AN55">IF($B55="SPPA","N/A - SPPA",INDEX(PeGu!$B$78:$H$97,$AK55,MATCH($A53,PeGu!$B$76:$H$76,0)))</f>
        <v>N/A - SPPA</v>
      </c>
      <c r="AP55" s="262">
        <v>5</v>
      </c>
      <c r="AQ55" s="269" t="str">
        <f>IF($B55="SPPA","N/A - SPPA", INDEX('Microgrid Proposal'!$N$32:$N$38,MATCH($A55,'Microgrid Proposal'!$D$32:$D$38,0))*IF(AP55&lt;=$C55,1,0))</f>
        <v>N/A - SPPA</v>
      </c>
      <c r="AR55" s="264" t="str">
        <f t="shared" si="7"/>
        <v>N/A - SPPA</v>
      </c>
      <c r="AT55" s="262">
        <v>5</v>
      </c>
      <c r="AU55" s="269" t="str">
        <f>IF($B55="SPPA","N/A - SPPA", INDEX('Solar+Storage Proposal'!$N$32:$N$38,MATCH($A55,'Solar+Storage Proposal'!$D$32:$D$38,0))*IF(AT55&lt;=$C55,1,0))</f>
        <v>N/A - SPPA</v>
      </c>
      <c r="AV55" s="264" t="str">
        <f t="shared" si="8"/>
        <v>N/A - SPPA</v>
      </c>
      <c r="AX55" s="262">
        <v>5</v>
      </c>
      <c r="AY55" s="269" t="str">
        <f>IF($B55="SPPA","N/A - SPPA", INDEX('Solar-Only Proposal'!$M$32:$M$38,MATCH($A55,'Solar-Only Proposal'!$D$32:$D$38,0))*IF(AX55&lt;=$C55,1,0))</f>
        <v>N/A - SPPA</v>
      </c>
      <c r="AZ55" s="264" t="str">
        <f t="shared" si="9"/>
        <v>N/A - SPPA</v>
      </c>
    </row>
    <row r="56" spans="1:52" ht="15" thickBot="1" x14ac:dyDescent="0.4">
      <c r="A56" s="251" t="str">
        <f t="shared" si="5"/>
        <v>19-W1</v>
      </c>
      <c r="B56" s="251" t="str">
        <f t="shared" si="6"/>
        <v>SPPA</v>
      </c>
      <c r="C56" s="251">
        <f>INDEX('Site Data'!$S$7:$S$13,MATCH($A56,'Site Data'!$C$7:$C$13,0))</f>
        <v>20</v>
      </c>
      <c r="D56" s="251" t="s">
        <v>190</v>
      </c>
      <c r="E56" s="251" t="s">
        <v>192</v>
      </c>
      <c r="F56" s="258" t="s">
        <v>284</v>
      </c>
      <c r="G56" s="272">
        <f>IF($B56="SEL","N/A - SEL",INDEX('Microgrid Proposal'!$A$32:$X$38,MATCH($A56,'Microgrid Proposal'!$D$32:$D$38,0),MATCH($D56,'Microgrid Proposal'!$A$31:$X$31,0)))</f>
        <v>0</v>
      </c>
      <c r="H56" s="260" t="s">
        <v>286</v>
      </c>
      <c r="J56" s="262" t="s">
        <v>277</v>
      </c>
      <c r="K56" s="269" t="str">
        <f>IF($B56="SPPA","N/A - SPPA",INDEX('Solar+Storage Proposal'!$A$32:$X$38,MATCH($A56,'Solar+Storage Proposal'!$D$32:$D$38,0),MATCH($E56,'Solar+Storage Proposal'!$A$31:$X$31,0)))</f>
        <v>N/A - SPPA</v>
      </c>
      <c r="L56" s="270" t="s">
        <v>278</v>
      </c>
      <c r="N56" s="262">
        <v>6</v>
      </c>
      <c r="O56" s="293">
        <f>IF($B56="SEL","N/A - SEL",O55*(1-'System Specification'!$D$10)*IF(N56&lt;=$C56,1,0))</f>
        <v>0</v>
      </c>
      <c r="P56" s="293" t="str" cm="1">
        <f t="array" ref="P56">INDEX(PeGu!$B$24:$H$43,$S56,MATCH($A54,_xlfn.ANCHORARRAY(PeGu!$B$20),0))</f>
        <v/>
      </c>
      <c r="Q56" s="294">
        <f>IF($B56="SEL","N/A - SEL",PeGu!$E$14*POWER(1+PeGu!$E$15,$S56-1))</f>
        <v>5.7963703714999995E-2</v>
      </c>
      <c r="S56" s="262">
        <v>6</v>
      </c>
      <c r="T56" s="293">
        <f>IF($B56="SEL","N/A - SEL",T55*(1-'System Specification'!$D$10)*IF(S56&lt;=$C56,1,0))</f>
        <v>0</v>
      </c>
      <c r="U56" s="293" t="str" cm="1">
        <f t="array" ref="U56">INDEX(PeGu!$B$52:$H$71,$S56,MATCH($A54,_xlfn.ANCHORARRAY(PeGu!$B$48),0))</f>
        <v/>
      </c>
      <c r="V56" s="294">
        <f>IF($B56="SEL","N/A - SEL",PeGu!$E$14*POWER(1+PeGu!$E$15,$S56-1))</f>
        <v>5.7963703714999995E-2</v>
      </c>
      <c r="X56" s="262">
        <v>6</v>
      </c>
      <c r="Y56" s="293" t="str" cm="1">
        <f t="array" ref="Y56">IF($B56="SEL","N/A - SEL",INDEX(PeGu!$B$78:$H$97,$X56,MATCH($A54,PeGu!$B$76:$H$76,0)))</f>
        <v/>
      </c>
      <c r="Z56" s="294">
        <f>IF($B56="SEL","N/A - SEL",PeGu!$K$12*POWER(1+PeGu!$K$13,$X56-1))</f>
        <v>0</v>
      </c>
      <c r="AB56" s="263">
        <v>6</v>
      </c>
      <c r="AC56" s="264" cm="1">
        <f t="array" ref="AC56">INDEX('Contract Early Termination'!$B$14:$H$33,$AB56,MATCH($A54,_xlfn.ANCHORARRAY('Contract Early Termination'!$B$10),0))</f>
        <v>0</v>
      </c>
      <c r="AE56" s="263">
        <v>6</v>
      </c>
      <c r="AF56" s="264" cm="1">
        <f t="array" ref="AF56">INDEX('Contract Early Termination'!$B$41:$H$60,$AE56,MATCH($A54,_xlfn.ANCHORARRAY('Contract Early Termination'!$B$37),0))</f>
        <v>0</v>
      </c>
      <c r="AH56" s="263">
        <v>6</v>
      </c>
      <c r="AI56" s="264" cm="1">
        <f t="array" ref="AI56">INDEX('Contract Early Termination'!$B$68:$H$87,$AB56,MATCH($A54,_xlfn.ANCHORARRAY('Contract Early Termination'!$B$64),0))</f>
        <v>0</v>
      </c>
      <c r="AK56" s="263">
        <v>6</v>
      </c>
      <c r="AL56" s="293" t="str">
        <f>IF($B56="SPPA","N/A - SPPA",AL55*(1-'System Specification'!$D$10)*IF(AK56&lt;=$C56,1,0))</f>
        <v>N/A - SPPA</v>
      </c>
      <c r="AM56" s="293" t="str">
        <f>IF($B56="SPPA","N/A - SPPA",AM55*(1-INDEX('System Specification'!$Q$14:$Q$20,MATCH($A56,'System Specification'!$D$14:$D$20,0)))*IF(AK56&lt;=$C56,1,0))</f>
        <v>N/A - SPPA</v>
      </c>
      <c r="AN56" s="298" t="str" cm="1">
        <f t="array" ref="AN56">IF($B56="SPPA","N/A - SPPA",INDEX(PeGu!$B$78:$H$97,$AK56,MATCH($A54,PeGu!$B$76:$H$76,0)))</f>
        <v>N/A - SPPA</v>
      </c>
      <c r="AP56" s="262">
        <v>6</v>
      </c>
      <c r="AQ56" s="269" t="str">
        <f>IF($B56="SPPA","N/A - SPPA", INDEX('Microgrid Proposal'!$N$32:$N$38,MATCH($A56,'Microgrid Proposal'!$D$32:$D$38,0))*IF(AP56&lt;=$C56,1,0))</f>
        <v>N/A - SPPA</v>
      </c>
      <c r="AR56" s="264" t="str">
        <f t="shared" si="7"/>
        <v>N/A - SPPA</v>
      </c>
      <c r="AT56" s="262">
        <v>6</v>
      </c>
      <c r="AU56" s="269" t="str">
        <f>IF($B56="SPPA","N/A - SPPA", INDEX('Solar+Storage Proposal'!$N$32:$N$38,MATCH($A56,'Solar+Storage Proposal'!$D$32:$D$38,0))*IF(AT56&lt;=$C56,1,0))</f>
        <v>N/A - SPPA</v>
      </c>
      <c r="AV56" s="264" t="str">
        <f t="shared" si="8"/>
        <v>N/A - SPPA</v>
      </c>
      <c r="AX56" s="262">
        <v>6</v>
      </c>
      <c r="AY56" s="269" t="str">
        <f>IF($B56="SPPA","N/A - SPPA", INDEX('Solar-Only Proposal'!$M$32:$M$38,MATCH($A56,'Solar-Only Proposal'!$D$32:$D$38,0))*IF(AX56&lt;=$C56,1,0))</f>
        <v>N/A - SPPA</v>
      </c>
      <c r="AZ56" s="264" t="str">
        <f t="shared" si="9"/>
        <v>N/A - SPPA</v>
      </c>
    </row>
    <row r="57" spans="1:52" ht="15" thickBot="1" x14ac:dyDescent="0.4">
      <c r="A57" s="251" t="str">
        <f t="shared" si="5"/>
        <v>19-W1</v>
      </c>
      <c r="B57" s="251" t="str">
        <f t="shared" si="6"/>
        <v>SPPA</v>
      </c>
      <c r="C57" s="251">
        <f>INDEX('Site Data'!$S$7:$S$13,MATCH($A57,'Site Data'!$C$7:$C$13,0))</f>
        <v>20</v>
      </c>
      <c r="E57" s="251" t="s">
        <v>193</v>
      </c>
      <c r="F57" s="538" t="s">
        <v>287</v>
      </c>
      <c r="G57" s="539"/>
      <c r="H57" s="540"/>
      <c r="J57" s="258" t="s">
        <v>277</v>
      </c>
      <c r="K57" s="300" t="str">
        <f>IF($B57="SPPA","N/A - SPPA",INDEX('Solar+Storage Proposal'!$A$32:$X$38,MATCH($A57,'Solar+Storage Proposal'!$D$32:$D$38,0),MATCH($E57,'Solar+Storage Proposal'!$A$31:$X$31,0)))</f>
        <v>N/A - SPPA</v>
      </c>
      <c r="L57" s="260" t="s">
        <v>281</v>
      </c>
      <c r="N57" s="262">
        <v>7</v>
      </c>
      <c r="O57" s="293">
        <f>IF($B57="SEL","N/A - SEL",O56*(1-'System Specification'!$D$10)*IF(N57&lt;=$C57,1,0))</f>
        <v>0</v>
      </c>
      <c r="P57" s="293" t="str" cm="1">
        <f t="array" ref="P57">INDEX(PeGu!$B$24:$H$43,$S57,MATCH($A55,_xlfn.ANCHORARRAY(PeGu!$B$20),0))</f>
        <v/>
      </c>
      <c r="Q57" s="294">
        <f>IF($B57="SEL","N/A - SEL",PeGu!$E$14*POWER(1+PeGu!$E$15,$S57-1))</f>
        <v>5.970261482645E-2</v>
      </c>
      <c r="S57" s="262">
        <v>7</v>
      </c>
      <c r="T57" s="293">
        <f>IF($B57="SEL","N/A - SEL",T56*(1-'System Specification'!$D$10)*IF(S57&lt;=$C57,1,0))</f>
        <v>0</v>
      </c>
      <c r="U57" s="293" t="str" cm="1">
        <f t="array" ref="U57">INDEX(PeGu!$B$52:$H$71,$S57,MATCH($A55,_xlfn.ANCHORARRAY(PeGu!$B$48),0))</f>
        <v/>
      </c>
      <c r="V57" s="294">
        <f>IF($B57="SEL","N/A - SEL",PeGu!$E$14*POWER(1+PeGu!$E$15,$S57-1))</f>
        <v>5.970261482645E-2</v>
      </c>
      <c r="X57" s="262">
        <v>7</v>
      </c>
      <c r="Y57" s="293" t="str" cm="1">
        <f t="array" ref="Y57">IF($B57="SEL","N/A - SEL",INDEX(PeGu!$B$78:$H$97,$X57,MATCH($A55,PeGu!$B$76:$H$76,0)))</f>
        <v/>
      </c>
      <c r="Z57" s="294">
        <f>IF($B57="SEL","N/A - SEL",PeGu!$K$12*POWER(1+PeGu!$K$13,$X57-1))</f>
        <v>0</v>
      </c>
      <c r="AB57" s="263">
        <v>7</v>
      </c>
      <c r="AC57" s="264" cm="1">
        <f t="array" ref="AC57">INDEX('Contract Early Termination'!$B$14:$H$33,$AB57,MATCH($A55,_xlfn.ANCHORARRAY('Contract Early Termination'!$B$10),0))</f>
        <v>0</v>
      </c>
      <c r="AE57" s="263">
        <v>7</v>
      </c>
      <c r="AF57" s="264" cm="1">
        <f t="array" ref="AF57">INDEX('Contract Early Termination'!$B$41:$H$60,$AE57,MATCH($A55,_xlfn.ANCHORARRAY('Contract Early Termination'!$B$37),0))</f>
        <v>0</v>
      </c>
      <c r="AH57" s="263">
        <v>7</v>
      </c>
      <c r="AI57" s="264" cm="1">
        <f t="array" ref="AI57">INDEX('Contract Early Termination'!$B$68:$H$87,$AB57,MATCH($A55,_xlfn.ANCHORARRAY('Contract Early Termination'!$B$64),0))</f>
        <v>0</v>
      </c>
      <c r="AK57" s="263">
        <v>7</v>
      </c>
      <c r="AL57" s="293" t="str">
        <f>IF($B57="SPPA","N/A - SPPA",AL56*(1-'System Specification'!$D$10)*IF(AK57&lt;=$C57,1,0))</f>
        <v>N/A - SPPA</v>
      </c>
      <c r="AM57" s="293" t="str">
        <f>IF($B57="SPPA","N/A - SPPA",AM56*(1-INDEX('System Specification'!$Q$14:$Q$20,MATCH($A57,'System Specification'!$D$14:$D$20,0)))*IF(AK57&lt;=$C57,1,0))</f>
        <v>N/A - SPPA</v>
      </c>
      <c r="AN57" s="298" t="str" cm="1">
        <f t="array" ref="AN57">IF($B57="SPPA","N/A - SPPA",INDEX(PeGu!$B$78:$H$97,$AK57,MATCH($A55,PeGu!$B$76:$H$76,0)))</f>
        <v>N/A - SPPA</v>
      </c>
      <c r="AP57" s="262">
        <v>7</v>
      </c>
      <c r="AQ57" s="269" t="str">
        <f>IF($B57="SPPA","N/A - SPPA", INDEX('Microgrid Proposal'!$N$32:$N$38,MATCH($A57,'Microgrid Proposal'!$D$32:$D$38,0))*IF(AP57&lt;=$C57,1,0))</f>
        <v>N/A - SPPA</v>
      </c>
      <c r="AR57" s="264" t="str">
        <f t="shared" si="7"/>
        <v>N/A - SPPA</v>
      </c>
      <c r="AT57" s="262">
        <v>7</v>
      </c>
      <c r="AU57" s="269" t="str">
        <f>IF($B57="SPPA","N/A - SPPA", INDEX('Solar+Storage Proposal'!$N$32:$N$38,MATCH($A57,'Solar+Storage Proposal'!$D$32:$D$38,0))*IF(AT57&lt;=$C57,1,0))</f>
        <v>N/A - SPPA</v>
      </c>
      <c r="AV57" s="264" t="str">
        <f t="shared" si="8"/>
        <v>N/A - SPPA</v>
      </c>
      <c r="AX57" s="262">
        <v>7</v>
      </c>
      <c r="AY57" s="269" t="str">
        <f>IF($B57="SPPA","N/A - SPPA", INDEX('Solar-Only Proposal'!$M$32:$M$38,MATCH($A57,'Solar-Only Proposal'!$D$32:$D$38,0))*IF(AX57&lt;=$C57,1,0))</f>
        <v>N/A - SPPA</v>
      </c>
      <c r="AZ57" s="264" t="str">
        <f t="shared" si="9"/>
        <v>N/A - SPPA</v>
      </c>
    </row>
    <row r="58" spans="1:52" ht="15" thickBot="1" x14ac:dyDescent="0.4">
      <c r="A58" s="251" t="str">
        <f t="shared" si="5"/>
        <v>19-W1</v>
      </c>
      <c r="B58" s="251" t="str">
        <f t="shared" si="6"/>
        <v>SPPA</v>
      </c>
      <c r="C58" s="251">
        <f>INDEX('Site Data'!$S$7:$S$13,MATCH($A58,'Site Data'!$C$7:$C$13,0))</f>
        <v>20</v>
      </c>
      <c r="D58" s="251" t="s">
        <v>188</v>
      </c>
      <c r="F58" s="266" t="s">
        <v>279</v>
      </c>
      <c r="G58" s="267">
        <f>IF($B58="SEL","N/A - SEL",INDEX('Solar+Storage Proposal'!$A$32:$X$38,MATCH($A58,'Solar+Storage Proposal'!$D$32:$D$38,0),MATCH($D58,'Solar+Storage Proposal'!$A$31:$X$31,0)))</f>
        <v>0</v>
      </c>
      <c r="H58" s="268" t="s">
        <v>280</v>
      </c>
      <c r="J58" s="519" t="s">
        <v>288</v>
      </c>
      <c r="K58" s="520"/>
      <c r="L58" s="521"/>
      <c r="N58" s="262">
        <v>8</v>
      </c>
      <c r="O58" s="293">
        <f>IF($B58="SEL","N/A - SEL",O57*(1-'System Specification'!$D$10)*IF(N58&lt;=$C58,1,0))</f>
        <v>0</v>
      </c>
      <c r="P58" s="293" t="str" cm="1">
        <f t="array" ref="P58">INDEX(PeGu!$B$24:$H$43,$S58,MATCH($A56,_xlfn.ANCHORARRAY(PeGu!$B$20),0))</f>
        <v/>
      </c>
      <c r="Q58" s="294">
        <f>IF($B58="SEL","N/A - SEL",PeGu!$E$14*POWER(1+PeGu!$E$15,$S58-1))</f>
        <v>6.1493693271243502E-2</v>
      </c>
      <c r="S58" s="262">
        <v>8</v>
      </c>
      <c r="T58" s="293">
        <f>IF($B58="SEL","N/A - SEL",T57*(1-'System Specification'!$D$10)*IF(S58&lt;=$C58,1,0))</f>
        <v>0</v>
      </c>
      <c r="U58" s="293" t="str" cm="1">
        <f t="array" ref="U58">INDEX(PeGu!$B$52:$H$71,$S58,MATCH($A56,_xlfn.ANCHORARRAY(PeGu!$B$48),0))</f>
        <v/>
      </c>
      <c r="V58" s="294">
        <f>IF($B58="SEL","N/A - SEL",PeGu!$E$14*POWER(1+PeGu!$E$15,$S58-1))</f>
        <v>6.1493693271243502E-2</v>
      </c>
      <c r="X58" s="262">
        <v>8</v>
      </c>
      <c r="Y58" s="293" t="str" cm="1">
        <f t="array" ref="Y58">IF($B58="SEL","N/A - SEL",INDEX(PeGu!$B$78:$H$97,$X58,MATCH($A56,PeGu!$B$76:$H$76,0)))</f>
        <v/>
      </c>
      <c r="Z58" s="294">
        <f>IF($B58="SEL","N/A - SEL",PeGu!$K$12*POWER(1+PeGu!$K$13,$X58-1))</f>
        <v>0</v>
      </c>
      <c r="AB58" s="263">
        <v>8</v>
      </c>
      <c r="AC58" s="264" cm="1">
        <f t="array" ref="AC58">INDEX('Contract Early Termination'!$B$14:$H$33,$AB58,MATCH($A56,_xlfn.ANCHORARRAY('Contract Early Termination'!$B$10),0))</f>
        <v>0</v>
      </c>
      <c r="AE58" s="263">
        <v>8</v>
      </c>
      <c r="AF58" s="264" cm="1">
        <f t="array" ref="AF58">INDEX('Contract Early Termination'!$B$41:$H$60,$AE58,MATCH($A56,_xlfn.ANCHORARRAY('Contract Early Termination'!$B$37),0))</f>
        <v>0</v>
      </c>
      <c r="AH58" s="263">
        <v>8</v>
      </c>
      <c r="AI58" s="264" cm="1">
        <f t="array" ref="AI58">INDEX('Contract Early Termination'!$B$68:$H$87,$AB58,MATCH($A56,_xlfn.ANCHORARRAY('Contract Early Termination'!$B$64),0))</f>
        <v>0</v>
      </c>
      <c r="AK58" s="263">
        <v>8</v>
      </c>
      <c r="AL58" s="293" t="str">
        <f>IF($B58="SPPA","N/A - SPPA",AL57*(1-'System Specification'!$D$10)*IF(AK58&lt;=$C58,1,0))</f>
        <v>N/A - SPPA</v>
      </c>
      <c r="AM58" s="293" t="str">
        <f>IF($B58="SPPA","N/A - SPPA",AM57*(1-INDEX('System Specification'!$Q$14:$Q$20,MATCH($A58,'System Specification'!$D$14:$D$20,0)))*IF(AK58&lt;=$C58,1,0))</f>
        <v>N/A - SPPA</v>
      </c>
      <c r="AN58" s="298" t="str" cm="1">
        <f t="array" ref="AN58">IF($B58="SPPA","N/A - SPPA",INDEX(PeGu!$B$78:$H$97,$AK58,MATCH($A56,PeGu!$B$76:$H$76,0)))</f>
        <v>N/A - SPPA</v>
      </c>
      <c r="AP58" s="262">
        <v>8</v>
      </c>
      <c r="AQ58" s="269" t="str">
        <f>IF($B58="SPPA","N/A - SPPA", INDEX('Microgrid Proposal'!$N$32:$N$38,MATCH($A58,'Microgrid Proposal'!$D$32:$D$38,0))*IF(AP58&lt;=$C58,1,0))</f>
        <v>N/A - SPPA</v>
      </c>
      <c r="AR58" s="264" t="str">
        <f t="shared" si="7"/>
        <v>N/A - SPPA</v>
      </c>
      <c r="AT58" s="262">
        <v>8</v>
      </c>
      <c r="AU58" s="269" t="str">
        <f>IF($B58="SPPA","N/A - SPPA", INDEX('Solar+Storage Proposal'!$N$32:$N$38,MATCH($A58,'Solar+Storage Proposal'!$D$32:$D$38,0))*IF(AT58&lt;=$C58,1,0))</f>
        <v>N/A - SPPA</v>
      </c>
      <c r="AV58" s="264" t="str">
        <f t="shared" si="8"/>
        <v>N/A - SPPA</v>
      </c>
      <c r="AX58" s="262">
        <v>8</v>
      </c>
      <c r="AY58" s="269" t="str">
        <f>IF($B58="SPPA","N/A - SPPA", INDEX('Solar-Only Proposal'!$M$32:$M$38,MATCH($A58,'Solar-Only Proposal'!$D$32:$D$38,0))*IF(AX58&lt;=$C58,1,0))</f>
        <v>N/A - SPPA</v>
      </c>
      <c r="AZ58" s="264" t="str">
        <f t="shared" si="9"/>
        <v>N/A - SPPA</v>
      </c>
    </row>
    <row r="59" spans="1:52" x14ac:dyDescent="0.35">
      <c r="A59" s="251" t="str">
        <f t="shared" si="5"/>
        <v>19-W1</v>
      </c>
      <c r="B59" s="251" t="str">
        <f t="shared" si="6"/>
        <v>SPPA</v>
      </c>
      <c r="C59" s="251">
        <f>INDEX('Site Data'!$S$7:$S$13,MATCH($A59,'Site Data'!$C$7:$C$13,0))</f>
        <v>20</v>
      </c>
      <c r="D59" s="251" t="s">
        <v>165</v>
      </c>
      <c r="E59" s="251" t="s">
        <v>165</v>
      </c>
      <c r="F59" s="262" t="s">
        <v>282</v>
      </c>
      <c r="G59" s="269">
        <f>IF($B59="SEL","N/A - SEL",INDEX('Solar+Storage Proposal'!$A$32:$X$38,MATCH($A59,'Solar+Storage Proposal'!$D$32:$D$38,0),MATCH($D59,'Solar+Storage Proposal'!$A$31:$X$31,0)))</f>
        <v>0</v>
      </c>
      <c r="H59" s="270" t="s">
        <v>275</v>
      </c>
      <c r="J59" s="261" t="s">
        <v>274</v>
      </c>
      <c r="K59" s="303" t="str">
        <f>IF($B59="SPPA","N/A - SPPA",INDEX('Solar-Only Proposal'!$A$32:$W$38,MATCH($A59,'Solar-Only Proposal'!$D$32:$D$38,0),MATCH($E59,'Solar-Only Proposal'!$A$31:$W$31,0)))</f>
        <v>N/A - SPPA</v>
      </c>
      <c r="L59" s="304" t="s">
        <v>275</v>
      </c>
      <c r="N59" s="262">
        <v>9</v>
      </c>
      <c r="O59" s="293">
        <f>IF($B59="SEL","N/A - SEL",O58*(1-'System Specification'!$D$10)*IF(N59&lt;=$C59,1,0))</f>
        <v>0</v>
      </c>
      <c r="P59" s="293" t="str" cm="1">
        <f t="array" ref="P59">INDEX(PeGu!$B$24:$H$43,$S59,MATCH($A57,_xlfn.ANCHORARRAY(PeGu!$B$20),0))</f>
        <v/>
      </c>
      <c r="Q59" s="294">
        <f>IF($B59="SEL","N/A - SEL",PeGu!$E$14*POWER(1+PeGu!$E$15,$S59-1))</f>
        <v>6.3338504069380797E-2</v>
      </c>
      <c r="S59" s="262">
        <v>9</v>
      </c>
      <c r="T59" s="293">
        <f>IF($B59="SEL","N/A - SEL",T58*(1-'System Specification'!$D$10)*IF(S59&lt;=$C59,1,0))</f>
        <v>0</v>
      </c>
      <c r="U59" s="293" t="str" cm="1">
        <f t="array" ref="U59">INDEX(PeGu!$B$52:$H$71,$S59,MATCH($A57,_xlfn.ANCHORARRAY(PeGu!$B$48),0))</f>
        <v/>
      </c>
      <c r="V59" s="294">
        <f>IF($B59="SEL","N/A - SEL",PeGu!$E$14*POWER(1+PeGu!$E$15,$S59-1))</f>
        <v>6.3338504069380797E-2</v>
      </c>
      <c r="X59" s="262">
        <v>9</v>
      </c>
      <c r="Y59" s="293" t="str" cm="1">
        <f t="array" ref="Y59">IF($B59="SEL","N/A - SEL",INDEX(PeGu!$B$78:$H$97,$X59,MATCH($A57,PeGu!$B$76:$H$76,0)))</f>
        <v/>
      </c>
      <c r="Z59" s="294">
        <f>IF($B59="SEL","N/A - SEL",PeGu!$K$12*POWER(1+PeGu!$K$13,$X59-1))</f>
        <v>0</v>
      </c>
      <c r="AB59" s="263">
        <v>9</v>
      </c>
      <c r="AC59" s="264" cm="1">
        <f t="array" ref="AC59">INDEX('Contract Early Termination'!$B$14:$H$33,$AB59,MATCH($A57,_xlfn.ANCHORARRAY('Contract Early Termination'!$B$10),0))</f>
        <v>0</v>
      </c>
      <c r="AE59" s="263">
        <v>9</v>
      </c>
      <c r="AF59" s="264" cm="1">
        <f t="array" ref="AF59">INDEX('Contract Early Termination'!$B$41:$H$60,$AE59,MATCH($A57,_xlfn.ANCHORARRAY('Contract Early Termination'!$B$37),0))</f>
        <v>0</v>
      </c>
      <c r="AH59" s="263">
        <v>9</v>
      </c>
      <c r="AI59" s="264" cm="1">
        <f t="array" ref="AI59">INDEX('Contract Early Termination'!$B$68:$H$87,$AB59,MATCH($A57,_xlfn.ANCHORARRAY('Contract Early Termination'!$B$64),0))</f>
        <v>0</v>
      </c>
      <c r="AK59" s="263">
        <v>9</v>
      </c>
      <c r="AL59" s="293" t="str">
        <f>IF($B59="SPPA","N/A - SPPA",AL58*(1-'System Specification'!$D$10)*IF(AK59&lt;=$C59,1,0))</f>
        <v>N/A - SPPA</v>
      </c>
      <c r="AM59" s="293" t="str">
        <f>IF($B59="SPPA","N/A - SPPA",AM58*(1-INDEX('System Specification'!$Q$14:$Q$20,MATCH($A59,'System Specification'!$D$14:$D$20,0)))*IF(AK59&lt;=$C59,1,0))</f>
        <v>N/A - SPPA</v>
      </c>
      <c r="AN59" s="298" t="str" cm="1">
        <f t="array" ref="AN59">IF($B59="SPPA","N/A - SPPA",INDEX(PeGu!$B$78:$H$97,$AK59,MATCH($A57,PeGu!$B$76:$H$76,0)))</f>
        <v>N/A - SPPA</v>
      </c>
      <c r="AP59" s="262">
        <v>9</v>
      </c>
      <c r="AQ59" s="269" t="str">
        <f>IF($B59="SPPA","N/A - SPPA", INDEX('Microgrid Proposal'!$N$32:$N$38,MATCH($A59,'Microgrid Proposal'!$D$32:$D$38,0))*IF(AP59&lt;=$C59,1,0))</f>
        <v>N/A - SPPA</v>
      </c>
      <c r="AR59" s="264" t="str">
        <f t="shared" si="7"/>
        <v>N/A - SPPA</v>
      </c>
      <c r="AT59" s="262">
        <v>9</v>
      </c>
      <c r="AU59" s="269" t="str">
        <f>IF($B59="SPPA","N/A - SPPA", INDEX('Solar+Storage Proposal'!$N$32:$N$38,MATCH($A59,'Solar+Storage Proposal'!$D$32:$D$38,0))*IF(AT59&lt;=$C59,1,0))</f>
        <v>N/A - SPPA</v>
      </c>
      <c r="AV59" s="264" t="str">
        <f t="shared" si="8"/>
        <v>N/A - SPPA</v>
      </c>
      <c r="AX59" s="262">
        <v>9</v>
      </c>
      <c r="AY59" s="269" t="str">
        <f>IF($B59="SPPA","N/A - SPPA", INDEX('Solar-Only Proposal'!$M$32:$M$38,MATCH($A59,'Solar-Only Proposal'!$D$32:$D$38,0))*IF(AX59&lt;=$C59,1,0))</f>
        <v>N/A - SPPA</v>
      </c>
      <c r="AZ59" s="264" t="str">
        <f t="shared" si="9"/>
        <v>N/A - SPPA</v>
      </c>
    </row>
    <row r="60" spans="1:52" x14ac:dyDescent="0.35">
      <c r="A60" s="251" t="str">
        <f t="shared" si="5"/>
        <v>19-W1</v>
      </c>
      <c r="B60" s="251" t="str">
        <f t="shared" si="6"/>
        <v>SPPA</v>
      </c>
      <c r="C60" s="251">
        <f>INDEX('Site Data'!$S$7:$S$13,MATCH($A60,'Site Data'!$C$7:$C$13,0))</f>
        <v>20</v>
      </c>
      <c r="D60" s="251" t="s">
        <v>189</v>
      </c>
      <c r="E60" s="251" t="s">
        <v>192</v>
      </c>
      <c r="F60" s="262" t="s">
        <v>284</v>
      </c>
      <c r="G60" s="271">
        <f>IF($B60="SEL","N/A - SEL",INDEX('Solar+Storage Proposal'!$A$32:$X$38,MATCH($A60,'Solar+Storage Proposal'!$D$32:$D$38,0),MATCH($D60,'Solar+Storage Proposal'!$A$31:$X$31,0)))</f>
        <v>0</v>
      </c>
      <c r="H60" s="270" t="s">
        <v>285</v>
      </c>
      <c r="J60" s="262" t="s">
        <v>277</v>
      </c>
      <c r="K60" s="269" t="str">
        <f>IF($B60="SPPA","N/A - SPPA",INDEX('Solar-Only Proposal'!$A$32:$W$38,MATCH($A60,'Solar-Only Proposal'!$D$32:$D$38,0),MATCH($E60,'Solar-Only Proposal'!$A$31:$W$31,0)))</f>
        <v>N/A - SPPA</v>
      </c>
      <c r="L60" s="270" t="s">
        <v>278</v>
      </c>
      <c r="N60" s="262">
        <v>10</v>
      </c>
      <c r="O60" s="293">
        <f>IF($B60="SEL","N/A - SEL",O59*(1-'System Specification'!$D$10)*IF(N60&lt;=$C60,1,0))</f>
        <v>0</v>
      </c>
      <c r="P60" s="293" t="str" cm="1">
        <f t="array" ref="P60">INDEX(PeGu!$B$24:$H$43,$S60,MATCH($A58,_xlfn.ANCHORARRAY(PeGu!$B$20),0))</f>
        <v/>
      </c>
      <c r="Q60" s="294">
        <f>IF($B60="SEL","N/A - SEL",PeGu!$E$14*POWER(1+PeGu!$E$15,$S60-1))</f>
        <v>6.5238659191462225E-2</v>
      </c>
      <c r="S60" s="262">
        <v>10</v>
      </c>
      <c r="T60" s="293">
        <f>IF($B60="SEL","N/A - SEL",T59*(1-'System Specification'!$D$10)*IF(S60&lt;=$C60,1,0))</f>
        <v>0</v>
      </c>
      <c r="U60" s="293" t="str" cm="1">
        <f t="array" ref="U60">INDEX(PeGu!$B$52:$H$71,$S60,MATCH($A58,_xlfn.ANCHORARRAY(PeGu!$B$48),0))</f>
        <v/>
      </c>
      <c r="V60" s="294">
        <f>IF($B60="SEL","N/A - SEL",PeGu!$E$14*POWER(1+PeGu!$E$15,$S60-1))</f>
        <v>6.5238659191462225E-2</v>
      </c>
      <c r="X60" s="262">
        <v>10</v>
      </c>
      <c r="Y60" s="293" t="str" cm="1">
        <f t="array" ref="Y60">IF($B60="SEL","N/A - SEL",INDEX(PeGu!$B$78:$H$97,$X60,MATCH($A58,PeGu!$B$76:$H$76,0)))</f>
        <v/>
      </c>
      <c r="Z60" s="294">
        <f>IF($B60="SEL","N/A - SEL",PeGu!$K$12*POWER(1+PeGu!$K$13,$X60-1))</f>
        <v>0</v>
      </c>
      <c r="AB60" s="263">
        <v>10</v>
      </c>
      <c r="AC60" s="264" cm="1">
        <f t="array" ref="AC60">INDEX('Contract Early Termination'!$B$14:$H$33,$AB60,MATCH($A58,_xlfn.ANCHORARRAY('Contract Early Termination'!$B$10),0))</f>
        <v>0</v>
      </c>
      <c r="AE60" s="263">
        <v>10</v>
      </c>
      <c r="AF60" s="264" cm="1">
        <f t="array" ref="AF60">INDEX('Contract Early Termination'!$B$41:$H$60,$AE60,MATCH($A58,_xlfn.ANCHORARRAY('Contract Early Termination'!$B$37),0))</f>
        <v>0</v>
      </c>
      <c r="AH60" s="263">
        <v>10</v>
      </c>
      <c r="AI60" s="264" cm="1">
        <f t="array" ref="AI60">INDEX('Contract Early Termination'!$B$68:$H$87,$AB60,MATCH($A58,_xlfn.ANCHORARRAY('Contract Early Termination'!$B$64),0))</f>
        <v>0</v>
      </c>
      <c r="AK60" s="263">
        <v>10</v>
      </c>
      <c r="AL60" s="293" t="str">
        <f>IF($B60="SPPA","N/A - SPPA",AL59*(1-'System Specification'!$D$10)*IF(AK60&lt;=$C60,1,0))</f>
        <v>N/A - SPPA</v>
      </c>
      <c r="AM60" s="293" t="str">
        <f>IF($B60="SPPA","N/A - SPPA",AM59*(1-INDEX('System Specification'!$Q$14:$Q$20,MATCH($A60,'System Specification'!$D$14:$D$20,0)))*IF(AK60&lt;=$C60,1,0))</f>
        <v>N/A - SPPA</v>
      </c>
      <c r="AN60" s="298" t="str" cm="1">
        <f t="array" ref="AN60">IF($B60="SPPA","N/A - SPPA",INDEX(PeGu!$B$78:$H$97,$AK60,MATCH($A58,PeGu!$B$76:$H$76,0)))</f>
        <v>N/A - SPPA</v>
      </c>
      <c r="AP60" s="262">
        <v>10</v>
      </c>
      <c r="AQ60" s="269" t="str">
        <f>IF($B60="SPPA","N/A - SPPA", INDEX('Microgrid Proposal'!$N$32:$N$38,MATCH($A60,'Microgrid Proposal'!$D$32:$D$38,0))*IF(AP60&lt;=$C60,1,0))</f>
        <v>N/A - SPPA</v>
      </c>
      <c r="AR60" s="264" t="str">
        <f t="shared" si="7"/>
        <v>N/A - SPPA</v>
      </c>
      <c r="AT60" s="262">
        <v>10</v>
      </c>
      <c r="AU60" s="269" t="str">
        <f>IF($B60="SPPA","N/A - SPPA", INDEX('Solar+Storage Proposal'!$N$32:$N$38,MATCH($A60,'Solar+Storage Proposal'!$D$32:$D$38,0))*IF(AT60&lt;=$C60,1,0))</f>
        <v>N/A - SPPA</v>
      </c>
      <c r="AV60" s="264" t="str">
        <f t="shared" si="8"/>
        <v>N/A - SPPA</v>
      </c>
      <c r="AX60" s="262">
        <v>10</v>
      </c>
      <c r="AY60" s="269" t="str">
        <f>IF($B60="SPPA","N/A - SPPA", INDEX('Solar-Only Proposal'!$M$32:$M$38,MATCH($A60,'Solar-Only Proposal'!$D$32:$D$38,0))*IF(AX60&lt;=$C60,1,0))</f>
        <v>N/A - SPPA</v>
      </c>
      <c r="AZ60" s="264" t="str">
        <f t="shared" si="9"/>
        <v>N/A - SPPA</v>
      </c>
    </row>
    <row r="61" spans="1:52" ht="15" thickBot="1" x14ac:dyDescent="0.4">
      <c r="A61" s="251" t="str">
        <f t="shared" si="5"/>
        <v>19-W1</v>
      </c>
      <c r="B61" s="251" t="str">
        <f t="shared" si="6"/>
        <v>SPPA</v>
      </c>
      <c r="C61" s="251">
        <f>INDEX('Site Data'!$S$7:$S$13,MATCH($A61,'Site Data'!$C$7:$C$13,0))</f>
        <v>20</v>
      </c>
      <c r="D61" s="251" t="s">
        <v>190</v>
      </c>
      <c r="E61" s="251" t="s">
        <v>193</v>
      </c>
      <c r="F61" s="258" t="s">
        <v>284</v>
      </c>
      <c r="G61" s="272">
        <f>IF($B61="SEL","N/A - SEL",INDEX('Solar+Storage Proposal'!$A$32:$X$38,MATCH($A61,'Solar+Storage Proposal'!$D$32:$D$38,0),MATCH($D61,'Solar+Storage Proposal'!$A$31:$X$31,0)))</f>
        <v>0</v>
      </c>
      <c r="H61" s="260" t="s">
        <v>286</v>
      </c>
      <c r="J61" s="258" t="s">
        <v>277</v>
      </c>
      <c r="K61" s="300" t="str">
        <f>IF($B61="SPPA","N/A - SPPA",INDEX('Solar-Only Proposal'!$A$32:$W$38,MATCH($A61,'Solar-Only Proposal'!$D$32:$D$38,0),MATCH($E61,'Solar-Only Proposal'!$A$31:$W$31,0)))</f>
        <v>N/A - SPPA</v>
      </c>
      <c r="L61" s="260" t="s">
        <v>281</v>
      </c>
      <c r="N61" s="262">
        <v>11</v>
      </c>
      <c r="O61" s="293">
        <f>IF($B61="SEL","N/A - SEL",O60*(1-'System Specification'!$D$10)*IF(N61&lt;=$C61,1,0))</f>
        <v>0</v>
      </c>
      <c r="P61" s="293" t="str" cm="1">
        <f t="array" ref="P61">INDEX(PeGu!$B$24:$H$43,$S61,MATCH($A59,_xlfn.ANCHORARRAY(PeGu!$B$20),0))</f>
        <v/>
      </c>
      <c r="Q61" s="294">
        <f>IF($B61="SEL","N/A - SEL",PeGu!$E$14*POWER(1+PeGu!$E$15,$S61-1))</f>
        <v>6.7195818967206097E-2</v>
      </c>
      <c r="S61" s="262">
        <v>11</v>
      </c>
      <c r="T61" s="293">
        <f>IF($B61="SEL","N/A - SEL",T60*(1-'System Specification'!$D$10)*IF(S61&lt;=$C61,1,0))</f>
        <v>0</v>
      </c>
      <c r="U61" s="293" t="str" cm="1">
        <f t="array" ref="U61">INDEX(PeGu!$B$52:$H$71,$S61,MATCH($A59,_xlfn.ANCHORARRAY(PeGu!$B$48),0))</f>
        <v/>
      </c>
      <c r="V61" s="294">
        <f>IF($B61="SEL","N/A - SEL",PeGu!$E$14*POWER(1+PeGu!$E$15,$S61-1))</f>
        <v>6.7195818967206097E-2</v>
      </c>
      <c r="X61" s="262">
        <v>11</v>
      </c>
      <c r="Y61" s="293" t="str" cm="1">
        <f t="array" ref="Y61">IF($B61="SEL","N/A - SEL",INDEX(PeGu!$B$78:$H$97,$X61,MATCH($A59,PeGu!$B$76:$H$76,0)))</f>
        <v/>
      </c>
      <c r="Z61" s="294">
        <f>IF($B61="SEL","N/A - SEL",PeGu!$K$12*POWER(1+PeGu!$K$13,$X61-1))</f>
        <v>0</v>
      </c>
      <c r="AB61" s="263">
        <v>11</v>
      </c>
      <c r="AC61" s="264" cm="1">
        <f t="array" ref="AC61">INDEX('Contract Early Termination'!$B$14:$H$33,$AB61,MATCH($A59,_xlfn.ANCHORARRAY('Contract Early Termination'!$B$10),0))</f>
        <v>0</v>
      </c>
      <c r="AE61" s="263">
        <v>11</v>
      </c>
      <c r="AF61" s="264" cm="1">
        <f t="array" ref="AF61">INDEX('Contract Early Termination'!$B$41:$H$60,$AE61,MATCH($A59,_xlfn.ANCHORARRAY('Contract Early Termination'!$B$37),0))</f>
        <v>0</v>
      </c>
      <c r="AH61" s="263">
        <v>11</v>
      </c>
      <c r="AI61" s="264" cm="1">
        <f t="array" ref="AI61">INDEX('Contract Early Termination'!$B$68:$H$87,$AB61,MATCH($A59,_xlfn.ANCHORARRAY('Contract Early Termination'!$B$64),0))</f>
        <v>0</v>
      </c>
      <c r="AK61" s="263">
        <v>11</v>
      </c>
      <c r="AL61" s="293" t="str">
        <f>IF($B61="SPPA","N/A - SPPA",AL60*(1-'System Specification'!$D$10)*IF(AK61&lt;=$C61,1,0))</f>
        <v>N/A - SPPA</v>
      </c>
      <c r="AM61" s="293" t="str">
        <f>IF($B61="SPPA","N/A - SPPA",AM60*(1-INDEX('System Specification'!$Q$14:$Q$20,MATCH($A61,'System Specification'!$D$14:$D$20,0)))*IF(AK61&lt;=$C61,1,0))</f>
        <v>N/A - SPPA</v>
      </c>
      <c r="AN61" s="298" t="str" cm="1">
        <f t="array" ref="AN61">IF($B61="SPPA","N/A - SPPA",INDEX(PeGu!$B$78:$H$97,$AK61,MATCH($A59,PeGu!$B$76:$H$76,0)))</f>
        <v>N/A - SPPA</v>
      </c>
      <c r="AP61" s="262">
        <v>11</v>
      </c>
      <c r="AQ61" s="269" t="str">
        <f>IF($B61="SPPA","N/A - SPPA", INDEX('Microgrid Proposal'!$N$32:$N$38,MATCH($A61,'Microgrid Proposal'!$D$32:$D$38,0))*IF(AP61&lt;=$C61,1,0))</f>
        <v>N/A - SPPA</v>
      </c>
      <c r="AR61" s="264" t="str">
        <f t="shared" si="7"/>
        <v>N/A - SPPA</v>
      </c>
      <c r="AT61" s="262">
        <v>11</v>
      </c>
      <c r="AU61" s="269" t="str">
        <f>IF($B61="SPPA","N/A - SPPA", INDEX('Solar+Storage Proposal'!$N$32:$N$38,MATCH($A61,'Solar+Storage Proposal'!$D$32:$D$38,0))*IF(AT61&lt;=$C61,1,0))</f>
        <v>N/A - SPPA</v>
      </c>
      <c r="AV61" s="264" t="str">
        <f t="shared" si="8"/>
        <v>N/A - SPPA</v>
      </c>
      <c r="AX61" s="262">
        <v>11</v>
      </c>
      <c r="AY61" s="269" t="str">
        <f>IF($B61="SPPA","N/A - SPPA", INDEX('Solar-Only Proposal'!$M$32:$M$38,MATCH($A61,'Solar-Only Proposal'!$D$32:$D$38,0))*IF(AX61&lt;=$C61,1,0))</f>
        <v>N/A - SPPA</v>
      </c>
      <c r="AZ61" s="264" t="str">
        <f t="shared" si="9"/>
        <v>N/A - SPPA</v>
      </c>
    </row>
    <row r="62" spans="1:52" ht="15" thickBot="1" x14ac:dyDescent="0.4">
      <c r="A62" s="251" t="str">
        <f t="shared" si="5"/>
        <v>19-W1</v>
      </c>
      <c r="B62" s="251" t="str">
        <f t="shared" si="6"/>
        <v>SPPA</v>
      </c>
      <c r="C62" s="251">
        <f>INDEX('Site Data'!$S$7:$S$13,MATCH($A62,'Site Data'!$C$7:$C$13,0))</f>
        <v>20</v>
      </c>
      <c r="F62" s="505" t="s">
        <v>289</v>
      </c>
      <c r="G62" s="506"/>
      <c r="H62" s="507"/>
      <c r="N62" s="262">
        <v>12</v>
      </c>
      <c r="O62" s="293">
        <f>IF($B62="SEL","N/A - SEL",O61*(1-'System Specification'!$D$10)*IF(N62&lt;=$C62,1,0))</f>
        <v>0</v>
      </c>
      <c r="P62" s="293" t="str" cm="1">
        <f t="array" ref="P62">INDEX(PeGu!$B$24:$H$43,$S62,MATCH($A60,_xlfn.ANCHORARRAY(PeGu!$B$20),0))</f>
        <v/>
      </c>
      <c r="Q62" s="294">
        <f>IF($B62="SEL","N/A - SEL",PeGu!$E$14*POWER(1+PeGu!$E$15,$S62-1))</f>
        <v>6.921169353622228E-2</v>
      </c>
      <c r="S62" s="262">
        <v>12</v>
      </c>
      <c r="T62" s="293">
        <f>IF($B62="SEL","N/A - SEL",T61*(1-'System Specification'!$D$10)*IF(S62&lt;=$C62,1,0))</f>
        <v>0</v>
      </c>
      <c r="U62" s="293" t="str" cm="1">
        <f t="array" ref="U62">INDEX(PeGu!$B$52:$H$71,$S62,MATCH($A60,_xlfn.ANCHORARRAY(PeGu!$B$48),0))</f>
        <v/>
      </c>
      <c r="V62" s="294">
        <f>IF($B62="SEL","N/A - SEL",PeGu!$E$14*POWER(1+PeGu!$E$15,$S62-1))</f>
        <v>6.921169353622228E-2</v>
      </c>
      <c r="X62" s="262">
        <v>12</v>
      </c>
      <c r="Y62" s="293" t="str" cm="1">
        <f t="array" ref="Y62">IF($B62="SEL","N/A - SEL",INDEX(PeGu!$B$78:$H$97,$X62,MATCH($A60,PeGu!$B$76:$H$76,0)))</f>
        <v/>
      </c>
      <c r="Z62" s="294">
        <f>IF($B62="SEL","N/A - SEL",PeGu!$K$12*POWER(1+PeGu!$K$13,$X62-1))</f>
        <v>0</v>
      </c>
      <c r="AB62" s="263">
        <v>12</v>
      </c>
      <c r="AC62" s="264" cm="1">
        <f t="array" ref="AC62">INDEX('Contract Early Termination'!$B$14:$H$33,$AB62,MATCH($A60,_xlfn.ANCHORARRAY('Contract Early Termination'!$B$10),0))</f>
        <v>0</v>
      </c>
      <c r="AE62" s="263">
        <v>12</v>
      </c>
      <c r="AF62" s="264" cm="1">
        <f t="array" ref="AF62">INDEX('Contract Early Termination'!$B$41:$H$60,$AE62,MATCH($A60,_xlfn.ANCHORARRAY('Contract Early Termination'!$B$37),0))</f>
        <v>0</v>
      </c>
      <c r="AH62" s="263">
        <v>12</v>
      </c>
      <c r="AI62" s="264" cm="1">
        <f t="array" ref="AI62">INDEX('Contract Early Termination'!$B$68:$H$87,$AB62,MATCH($A60,_xlfn.ANCHORARRAY('Contract Early Termination'!$B$64),0))</f>
        <v>0</v>
      </c>
      <c r="AK62" s="263">
        <v>12</v>
      </c>
      <c r="AL62" s="293" t="str">
        <f>IF($B62="SPPA","N/A - SPPA",AL61*(1-'System Specification'!$D$10)*IF(AK62&lt;=$C62,1,0))</f>
        <v>N/A - SPPA</v>
      </c>
      <c r="AM62" s="293" t="str">
        <f>IF($B62="SPPA","N/A - SPPA",AM61*(1-INDEX('System Specification'!$Q$14:$Q$20,MATCH($A62,'System Specification'!$D$14:$D$20,0)))*IF(AK62&lt;=$C62,1,0))</f>
        <v>N/A - SPPA</v>
      </c>
      <c r="AN62" s="298" t="str" cm="1">
        <f t="array" ref="AN62">IF($B62="SPPA","N/A - SPPA",INDEX(PeGu!$B$78:$H$97,$AK62,MATCH($A60,PeGu!$B$76:$H$76,0)))</f>
        <v>N/A - SPPA</v>
      </c>
      <c r="AP62" s="262">
        <v>12</v>
      </c>
      <c r="AQ62" s="269" t="str">
        <f>IF($B62="SPPA","N/A - SPPA", INDEX('Microgrid Proposal'!$N$32:$N$38,MATCH($A62,'Microgrid Proposal'!$D$32:$D$38,0))*IF(AP62&lt;=$C62,1,0))</f>
        <v>N/A - SPPA</v>
      </c>
      <c r="AR62" s="264" t="str">
        <f t="shared" si="7"/>
        <v>N/A - SPPA</v>
      </c>
      <c r="AT62" s="262">
        <v>12</v>
      </c>
      <c r="AU62" s="269" t="str">
        <f>IF($B62="SPPA","N/A - SPPA", INDEX('Solar+Storage Proposal'!$N$32:$N$38,MATCH($A62,'Solar+Storage Proposal'!$D$32:$D$38,0))*IF(AT62&lt;=$C62,1,0))</f>
        <v>N/A - SPPA</v>
      </c>
      <c r="AV62" s="264" t="str">
        <f t="shared" si="8"/>
        <v>N/A - SPPA</v>
      </c>
      <c r="AX62" s="262">
        <v>12</v>
      </c>
      <c r="AY62" s="269" t="str">
        <f>IF($B62="SPPA","N/A - SPPA", INDEX('Solar-Only Proposal'!$M$32:$M$38,MATCH($A62,'Solar-Only Proposal'!$D$32:$D$38,0))*IF(AX62&lt;=$C62,1,0))</f>
        <v>N/A - SPPA</v>
      </c>
      <c r="AZ62" s="264" t="str">
        <f t="shared" si="9"/>
        <v>N/A - SPPA</v>
      </c>
    </row>
    <row r="63" spans="1:52" x14ac:dyDescent="0.35">
      <c r="A63" s="251" t="str">
        <f t="shared" si="5"/>
        <v>19-W1</v>
      </c>
      <c r="B63" s="251" t="str">
        <f t="shared" si="6"/>
        <v>SPPA</v>
      </c>
      <c r="C63" s="251">
        <f>INDEX('Site Data'!$S$7:$S$13,MATCH($A63,'Site Data'!$C$7:$C$13,0))</f>
        <v>20</v>
      </c>
      <c r="D63" s="251" t="s">
        <v>188</v>
      </c>
      <c r="F63" s="266" t="s">
        <v>279</v>
      </c>
      <c r="G63" s="267">
        <f>IF($B63="SEL","N/A - SEL",INDEX('Solar-Only Proposal'!$A$32:$W$38,MATCH($A63,'Solar-Only Proposal'!$D$32:$D$38,0),MATCH($D63,'Solar-Only Proposal'!$A$31:$W$31,0)))</f>
        <v>0</v>
      </c>
      <c r="H63" s="268" t="s">
        <v>280</v>
      </c>
      <c r="N63" s="262">
        <v>13</v>
      </c>
      <c r="O63" s="293">
        <f>IF($B63="SEL","N/A - SEL",O62*(1-'System Specification'!$D$10)*IF(N63&lt;=$C63,1,0))</f>
        <v>0</v>
      </c>
      <c r="P63" s="293" t="str" cm="1">
        <f t="array" ref="P63">INDEX(PeGu!$B$24:$H$43,$S63,MATCH($A61,_xlfn.ANCHORARRAY(PeGu!$B$20),0))</f>
        <v/>
      </c>
      <c r="Q63" s="294">
        <f>IF($B63="SEL","N/A - SEL",PeGu!$E$14*POWER(1+PeGu!$E$15,$S63-1))</f>
        <v>7.128804434230894E-2</v>
      </c>
      <c r="S63" s="262">
        <v>13</v>
      </c>
      <c r="T63" s="293">
        <f>IF($B63="SEL","N/A - SEL",T62*(1-'System Specification'!$D$10)*IF(S63&lt;=$C63,1,0))</f>
        <v>0</v>
      </c>
      <c r="U63" s="293" t="str" cm="1">
        <f t="array" ref="U63">INDEX(PeGu!$B$52:$H$71,$S63,MATCH($A61,_xlfn.ANCHORARRAY(PeGu!$B$48),0))</f>
        <v/>
      </c>
      <c r="V63" s="294">
        <f>IF($B63="SEL","N/A - SEL",PeGu!$E$14*POWER(1+PeGu!$E$15,$S63-1))</f>
        <v>7.128804434230894E-2</v>
      </c>
      <c r="X63" s="262">
        <v>13</v>
      </c>
      <c r="Y63" s="293" t="str" cm="1">
        <f t="array" ref="Y63">IF($B63="SEL","N/A - SEL",INDEX(PeGu!$B$78:$H$97,$X63,MATCH($A61,PeGu!$B$76:$H$76,0)))</f>
        <v/>
      </c>
      <c r="Z63" s="294">
        <f>IF($B63="SEL","N/A - SEL",PeGu!$K$12*POWER(1+PeGu!$K$13,$X63-1))</f>
        <v>0</v>
      </c>
      <c r="AB63" s="263">
        <v>13</v>
      </c>
      <c r="AC63" s="264" cm="1">
        <f t="array" ref="AC63">INDEX('Contract Early Termination'!$B$14:$H$33,$AB63,MATCH($A61,_xlfn.ANCHORARRAY('Contract Early Termination'!$B$10),0))</f>
        <v>0</v>
      </c>
      <c r="AE63" s="263">
        <v>13</v>
      </c>
      <c r="AF63" s="264" cm="1">
        <f t="array" ref="AF63">INDEX('Contract Early Termination'!$B$41:$H$60,$AE63,MATCH($A61,_xlfn.ANCHORARRAY('Contract Early Termination'!$B$37),0))</f>
        <v>0</v>
      </c>
      <c r="AH63" s="263">
        <v>13</v>
      </c>
      <c r="AI63" s="264" cm="1">
        <f t="array" ref="AI63">INDEX('Contract Early Termination'!$B$68:$H$87,$AB63,MATCH($A61,_xlfn.ANCHORARRAY('Contract Early Termination'!$B$64),0))</f>
        <v>0</v>
      </c>
      <c r="AK63" s="263">
        <v>13</v>
      </c>
      <c r="AL63" s="293" t="str">
        <f>IF($B63="SPPA","N/A - SPPA",AL62*(1-'System Specification'!$D$10)*IF(AK63&lt;=$C63,1,0))</f>
        <v>N/A - SPPA</v>
      </c>
      <c r="AM63" s="293" t="str">
        <f>IF($B63="SPPA","N/A - SPPA",AM62*(1-INDEX('System Specification'!$Q$14:$Q$20,MATCH($A63,'System Specification'!$D$14:$D$20,0)))*IF(AK63&lt;=$C63,1,0))</f>
        <v>N/A - SPPA</v>
      </c>
      <c r="AN63" s="298" t="str" cm="1">
        <f t="array" ref="AN63">IF($B63="SPPA","N/A - SPPA",INDEX(PeGu!$B$78:$H$97,$AK63,MATCH($A61,PeGu!$B$76:$H$76,0)))</f>
        <v>N/A - SPPA</v>
      </c>
      <c r="AP63" s="262">
        <v>13</v>
      </c>
      <c r="AQ63" s="269" t="str">
        <f>IF($B63="SPPA","N/A - SPPA", INDEX('Microgrid Proposal'!$N$32:$N$38,MATCH($A63,'Microgrid Proposal'!$D$32:$D$38,0))*IF(AP63&lt;=$C63,1,0))</f>
        <v>N/A - SPPA</v>
      </c>
      <c r="AR63" s="264" t="str">
        <f t="shared" si="7"/>
        <v>N/A - SPPA</v>
      </c>
      <c r="AT63" s="262">
        <v>13</v>
      </c>
      <c r="AU63" s="269" t="str">
        <f>IF($B63="SPPA","N/A - SPPA", INDEX('Solar+Storage Proposal'!$N$32:$N$38,MATCH($A63,'Solar+Storage Proposal'!$D$32:$D$38,0))*IF(AT63&lt;=$C63,1,0))</f>
        <v>N/A - SPPA</v>
      </c>
      <c r="AV63" s="264" t="str">
        <f t="shared" si="8"/>
        <v>N/A - SPPA</v>
      </c>
      <c r="AX63" s="262">
        <v>13</v>
      </c>
      <c r="AY63" s="269" t="str">
        <f>IF($B63="SPPA","N/A - SPPA", INDEX('Solar-Only Proposal'!$M$32:$M$38,MATCH($A63,'Solar-Only Proposal'!$D$32:$D$38,0))*IF(AX63&lt;=$C63,1,0))</f>
        <v>N/A - SPPA</v>
      </c>
      <c r="AZ63" s="264" t="str">
        <f t="shared" si="9"/>
        <v>N/A - SPPA</v>
      </c>
    </row>
    <row r="64" spans="1:52" x14ac:dyDescent="0.35">
      <c r="A64" s="251" t="str">
        <f t="shared" si="5"/>
        <v>19-W1</v>
      </c>
      <c r="B64" s="251" t="str">
        <f t="shared" si="6"/>
        <v>SPPA</v>
      </c>
      <c r="C64" s="251">
        <f>INDEX('Site Data'!$S$7:$S$13,MATCH($A64,'Site Data'!$C$7:$C$13,0))</f>
        <v>20</v>
      </c>
      <c r="D64" s="251" t="s">
        <v>165</v>
      </c>
      <c r="F64" s="262" t="s">
        <v>282</v>
      </c>
      <c r="G64" s="269">
        <f>IF($B64="SEL","N/A - SEL",INDEX('Solar-Only Proposal'!$A$32:$W$38,MATCH($A64,'Solar-Only Proposal'!$D$32:$D$38,0),MATCH($D64,'Solar-Only Proposal'!$A$31:$W$31,0)))</f>
        <v>0</v>
      </c>
      <c r="H64" s="270" t="s">
        <v>275</v>
      </c>
      <c r="N64" s="262">
        <v>14</v>
      </c>
      <c r="O64" s="293">
        <f>IF($B64="SEL","N/A - SEL",O63*(1-'System Specification'!$D$10)*IF(N64&lt;=$C64,1,0))</f>
        <v>0</v>
      </c>
      <c r="P64" s="293" t="str" cm="1">
        <f t="array" ref="P64">INDEX(PeGu!$B$24:$H$43,$S64,MATCH($A62,_xlfn.ANCHORARRAY(PeGu!$B$20),0))</f>
        <v/>
      </c>
      <c r="Q64" s="294">
        <f>IF($B64="SEL","N/A - SEL",PeGu!$E$14*POWER(1+PeGu!$E$15,$S64-1))</f>
        <v>7.3426685672578193E-2</v>
      </c>
      <c r="S64" s="262">
        <v>14</v>
      </c>
      <c r="T64" s="293">
        <f>IF($B64="SEL","N/A - SEL",T63*(1-'System Specification'!$D$10)*IF(S64&lt;=$C64,1,0))</f>
        <v>0</v>
      </c>
      <c r="U64" s="293" t="str" cm="1">
        <f t="array" ref="U64">INDEX(PeGu!$B$52:$H$71,$S64,MATCH($A62,_xlfn.ANCHORARRAY(PeGu!$B$48),0))</f>
        <v/>
      </c>
      <c r="V64" s="294">
        <f>IF($B64="SEL","N/A - SEL",PeGu!$E$14*POWER(1+PeGu!$E$15,$S64-1))</f>
        <v>7.3426685672578193E-2</v>
      </c>
      <c r="X64" s="262">
        <v>14</v>
      </c>
      <c r="Y64" s="293" t="str" cm="1">
        <f t="array" ref="Y64">IF($B64="SEL","N/A - SEL",INDEX(PeGu!$B$78:$H$97,$X64,MATCH($A62,PeGu!$B$76:$H$76,0)))</f>
        <v/>
      </c>
      <c r="Z64" s="294">
        <f>IF($B64="SEL","N/A - SEL",PeGu!$K$12*POWER(1+PeGu!$K$13,$X64-1))</f>
        <v>0</v>
      </c>
      <c r="AB64" s="263">
        <v>14</v>
      </c>
      <c r="AC64" s="264" cm="1">
        <f t="array" ref="AC64">INDEX('Contract Early Termination'!$B$14:$H$33,$AB64,MATCH($A62,_xlfn.ANCHORARRAY('Contract Early Termination'!$B$10),0))</f>
        <v>0</v>
      </c>
      <c r="AE64" s="263">
        <v>14</v>
      </c>
      <c r="AF64" s="264" cm="1">
        <f t="array" ref="AF64">INDEX('Contract Early Termination'!$B$41:$H$60,$AE64,MATCH($A62,_xlfn.ANCHORARRAY('Contract Early Termination'!$B$37),0))</f>
        <v>0</v>
      </c>
      <c r="AH64" s="263">
        <v>14</v>
      </c>
      <c r="AI64" s="264" cm="1">
        <f t="array" ref="AI64">INDEX('Contract Early Termination'!$B$68:$H$87,$AB64,MATCH($A62,_xlfn.ANCHORARRAY('Contract Early Termination'!$B$64),0))</f>
        <v>0</v>
      </c>
      <c r="AK64" s="263">
        <v>14</v>
      </c>
      <c r="AL64" s="293" t="str">
        <f>IF($B64="SPPA","N/A - SPPA",AL63*(1-'System Specification'!$D$10)*IF(AK64&lt;=$C64,1,0))</f>
        <v>N/A - SPPA</v>
      </c>
      <c r="AM64" s="293" t="str">
        <f>IF($B64="SPPA","N/A - SPPA",AM63*(1-INDEX('System Specification'!$Q$14:$Q$20,MATCH($A64,'System Specification'!$D$14:$D$20,0)))*IF(AK64&lt;=$C64,1,0))</f>
        <v>N/A - SPPA</v>
      </c>
      <c r="AN64" s="298" t="str" cm="1">
        <f t="array" ref="AN64">IF($B64="SPPA","N/A - SPPA",INDEX(PeGu!$B$78:$H$97,$AK64,MATCH($A62,PeGu!$B$76:$H$76,0)))</f>
        <v>N/A - SPPA</v>
      </c>
      <c r="AP64" s="262">
        <v>14</v>
      </c>
      <c r="AQ64" s="269" t="str">
        <f>IF($B64="SPPA","N/A - SPPA", INDEX('Microgrid Proposal'!$N$32:$N$38,MATCH($A64,'Microgrid Proposal'!$D$32:$D$38,0))*IF(AP64&lt;=$C64,1,0))</f>
        <v>N/A - SPPA</v>
      </c>
      <c r="AR64" s="264" t="str">
        <f t="shared" si="7"/>
        <v>N/A - SPPA</v>
      </c>
      <c r="AT64" s="262">
        <v>14</v>
      </c>
      <c r="AU64" s="269" t="str">
        <f>IF($B64="SPPA","N/A - SPPA", INDEX('Solar+Storage Proposal'!$N$32:$N$38,MATCH($A64,'Solar+Storage Proposal'!$D$32:$D$38,0))*IF(AT64&lt;=$C64,1,0))</f>
        <v>N/A - SPPA</v>
      </c>
      <c r="AV64" s="264" t="str">
        <f t="shared" si="8"/>
        <v>N/A - SPPA</v>
      </c>
      <c r="AX64" s="262">
        <v>14</v>
      </c>
      <c r="AY64" s="269" t="str">
        <f>IF($B64="SPPA","N/A - SPPA", INDEX('Solar-Only Proposal'!$M$32:$M$38,MATCH($A64,'Solar-Only Proposal'!$D$32:$D$38,0))*IF(AX64&lt;=$C64,1,0))</f>
        <v>N/A - SPPA</v>
      </c>
      <c r="AZ64" s="264" t="str">
        <f t="shared" si="9"/>
        <v>N/A - SPPA</v>
      </c>
    </row>
    <row r="65" spans="1:52" x14ac:dyDescent="0.35">
      <c r="A65" s="251" t="str">
        <f t="shared" si="5"/>
        <v>19-W1</v>
      </c>
      <c r="B65" s="251" t="str">
        <f t="shared" si="6"/>
        <v>SPPA</v>
      </c>
      <c r="C65" s="251">
        <f>INDEX('Site Data'!$S$7:$S$13,MATCH($A65,'Site Data'!$C$7:$C$13,0))</f>
        <v>20</v>
      </c>
      <c r="D65" s="251" t="s">
        <v>189</v>
      </c>
      <c r="F65" s="262" t="s">
        <v>284</v>
      </c>
      <c r="G65" s="271">
        <f>IF($B65="SEL","N/A - SEL",INDEX('Solar-Only Proposal'!$A$32:$W$38,MATCH($A65,'Solar-Only Proposal'!$D$32:$D$38,0),MATCH($D65,'Solar-Only Proposal'!$A$31:$W$31,0)))</f>
        <v>0</v>
      </c>
      <c r="H65" s="270" t="s">
        <v>285</v>
      </c>
      <c r="N65" s="262">
        <v>15</v>
      </c>
      <c r="O65" s="293">
        <f>IF($B65="SEL","N/A - SEL",O64*(1-'System Specification'!$D$10)*IF(N65&lt;=$C65,1,0))</f>
        <v>0</v>
      </c>
      <c r="P65" s="293" t="str" cm="1">
        <f t="array" ref="P65">INDEX(PeGu!$B$24:$H$43,$S65,MATCH($A63,_xlfn.ANCHORARRAY(PeGu!$B$20),0))</f>
        <v/>
      </c>
      <c r="Q65" s="294">
        <f>IF($B65="SEL","N/A - SEL",PeGu!$E$14*POWER(1+PeGu!$E$15,$S65-1))</f>
        <v>7.5629486242755561E-2</v>
      </c>
      <c r="S65" s="262">
        <v>15</v>
      </c>
      <c r="T65" s="293">
        <f>IF($B65="SEL","N/A - SEL",T64*(1-'System Specification'!$D$10)*IF(S65&lt;=$C65,1,0))</f>
        <v>0</v>
      </c>
      <c r="U65" s="293" t="str" cm="1">
        <f t="array" ref="U65">INDEX(PeGu!$B$52:$H$71,$S65,MATCH($A63,_xlfn.ANCHORARRAY(PeGu!$B$48),0))</f>
        <v/>
      </c>
      <c r="V65" s="294">
        <f>IF($B65="SEL","N/A - SEL",PeGu!$E$14*POWER(1+PeGu!$E$15,$S65-1))</f>
        <v>7.5629486242755561E-2</v>
      </c>
      <c r="X65" s="262">
        <v>15</v>
      </c>
      <c r="Y65" s="293" t="str" cm="1">
        <f t="array" ref="Y65">IF($B65="SEL","N/A - SEL",INDEX(PeGu!$B$78:$H$97,$X65,MATCH($A63,PeGu!$B$76:$H$76,0)))</f>
        <v/>
      </c>
      <c r="Z65" s="294">
        <f>IF($B65="SEL","N/A - SEL",PeGu!$K$12*POWER(1+PeGu!$K$13,$X65-1))</f>
        <v>0</v>
      </c>
      <c r="AB65" s="263">
        <v>15</v>
      </c>
      <c r="AC65" s="264" cm="1">
        <f t="array" ref="AC65">INDEX('Contract Early Termination'!$B$14:$H$33,$AB65,MATCH($A63,_xlfn.ANCHORARRAY('Contract Early Termination'!$B$10),0))</f>
        <v>0</v>
      </c>
      <c r="AE65" s="263">
        <v>15</v>
      </c>
      <c r="AF65" s="264" cm="1">
        <f t="array" ref="AF65">INDEX('Contract Early Termination'!$B$41:$H$60,$AE65,MATCH($A63,_xlfn.ANCHORARRAY('Contract Early Termination'!$B$37),0))</f>
        <v>0</v>
      </c>
      <c r="AH65" s="263">
        <v>15</v>
      </c>
      <c r="AI65" s="264" cm="1">
        <f t="array" ref="AI65">INDEX('Contract Early Termination'!$B$68:$H$87,$AB65,MATCH($A63,_xlfn.ANCHORARRAY('Contract Early Termination'!$B$64),0))</f>
        <v>0</v>
      </c>
      <c r="AK65" s="263">
        <v>15</v>
      </c>
      <c r="AL65" s="293" t="str">
        <f>IF($B65="SPPA","N/A - SPPA",AL64*(1-'System Specification'!$D$10)*IF(AK65&lt;=$C65,1,0))</f>
        <v>N/A - SPPA</v>
      </c>
      <c r="AM65" s="293" t="str">
        <f>IF($B65="SPPA","N/A - SPPA",AM64*(1-INDEX('System Specification'!$Q$14:$Q$20,MATCH($A65,'System Specification'!$D$14:$D$20,0)))*IF(AK65&lt;=$C65,1,0))</f>
        <v>N/A - SPPA</v>
      </c>
      <c r="AN65" s="298" t="str" cm="1">
        <f t="array" ref="AN65">IF($B65="SPPA","N/A - SPPA",INDEX(PeGu!$B$78:$H$97,$AK65,MATCH($A63,PeGu!$B$76:$H$76,0)))</f>
        <v>N/A - SPPA</v>
      </c>
      <c r="AP65" s="262">
        <v>15</v>
      </c>
      <c r="AQ65" s="269" t="str">
        <f>IF($B65="SPPA","N/A - SPPA", INDEX('Microgrid Proposal'!$N$32:$N$38,MATCH($A65,'Microgrid Proposal'!$D$32:$D$38,0))*IF(AP65&lt;=$C65,1,0))</f>
        <v>N/A - SPPA</v>
      </c>
      <c r="AR65" s="264" t="str">
        <f t="shared" si="7"/>
        <v>N/A - SPPA</v>
      </c>
      <c r="AT65" s="262">
        <v>15</v>
      </c>
      <c r="AU65" s="269" t="str">
        <f>IF($B65="SPPA","N/A - SPPA", INDEX('Solar+Storage Proposal'!$N$32:$N$38,MATCH($A65,'Solar+Storage Proposal'!$D$32:$D$38,0))*IF(AT65&lt;=$C65,1,0))</f>
        <v>N/A - SPPA</v>
      </c>
      <c r="AV65" s="264" t="str">
        <f t="shared" si="8"/>
        <v>N/A - SPPA</v>
      </c>
      <c r="AX65" s="262">
        <v>15</v>
      </c>
      <c r="AY65" s="269" t="str">
        <f>IF($B65="SPPA","N/A - SPPA", INDEX('Solar-Only Proposal'!$M$32:$M$38,MATCH($A65,'Solar-Only Proposal'!$D$32:$D$38,0))*IF(AX65&lt;=$C65,1,0))</f>
        <v>N/A - SPPA</v>
      </c>
      <c r="AZ65" s="264" t="str">
        <f t="shared" si="9"/>
        <v>N/A - SPPA</v>
      </c>
    </row>
    <row r="66" spans="1:52" ht="15" thickBot="1" x14ac:dyDescent="0.4">
      <c r="A66" s="251" t="str">
        <f t="shared" si="5"/>
        <v>19-W1</v>
      </c>
      <c r="B66" s="251" t="str">
        <f t="shared" si="6"/>
        <v>SPPA</v>
      </c>
      <c r="C66" s="251">
        <f>INDEX('Site Data'!$S$7:$S$13,MATCH($A66,'Site Data'!$C$7:$C$13,0))</f>
        <v>20</v>
      </c>
      <c r="D66" s="251" t="s">
        <v>190</v>
      </c>
      <c r="F66" s="258" t="s">
        <v>284</v>
      </c>
      <c r="G66" s="272">
        <f>IF($B66="SEL","N/A - SEL",INDEX('Solar-Only Proposal'!$A$32:$W$38,MATCH($A66,'Solar-Only Proposal'!$D$32:$D$38,0),MATCH($D66,'Solar-Only Proposal'!$A$31:$W$31,0)))</f>
        <v>0</v>
      </c>
      <c r="H66" s="260" t="s">
        <v>286</v>
      </c>
      <c r="N66" s="262">
        <v>16</v>
      </c>
      <c r="O66" s="293">
        <f>IF($B66="SEL","N/A - SEL",O65*(1-'System Specification'!$D$10)*IF(N66&lt;=$C66,1,0))</f>
        <v>0</v>
      </c>
      <c r="P66" s="293" t="str" cm="1">
        <f t="array" ref="P66">INDEX(PeGu!$B$24:$H$43,$S66,MATCH($A64,_xlfn.ANCHORARRAY(PeGu!$B$20),0))</f>
        <v/>
      </c>
      <c r="Q66" s="294">
        <f>IF($B66="SEL","N/A - SEL",PeGu!$E$14*POWER(1+PeGu!$E$15,$S66-1))</f>
        <v>7.7898370830038227E-2</v>
      </c>
      <c r="S66" s="262">
        <v>16</v>
      </c>
      <c r="T66" s="293">
        <f>IF($B66="SEL","N/A - SEL",T65*(1-'System Specification'!$D$10)*IF(S66&lt;=$C66,1,0))</f>
        <v>0</v>
      </c>
      <c r="U66" s="293" t="str" cm="1">
        <f t="array" ref="U66">INDEX(PeGu!$B$52:$H$71,$S66,MATCH($A64,_xlfn.ANCHORARRAY(PeGu!$B$48),0))</f>
        <v/>
      </c>
      <c r="V66" s="294">
        <f>IF($B66="SEL","N/A - SEL",PeGu!$E$14*POWER(1+PeGu!$E$15,$S66-1))</f>
        <v>7.7898370830038227E-2</v>
      </c>
      <c r="X66" s="262">
        <v>16</v>
      </c>
      <c r="Y66" s="293" t="str" cm="1">
        <f t="array" ref="Y66">IF($B66="SEL","N/A - SEL",INDEX(PeGu!$B$78:$H$97,$X66,MATCH($A64,PeGu!$B$76:$H$76,0)))</f>
        <v/>
      </c>
      <c r="Z66" s="294">
        <f>IF($B66="SEL","N/A - SEL",PeGu!$K$12*POWER(1+PeGu!$K$13,$X66-1))</f>
        <v>0</v>
      </c>
      <c r="AB66" s="263">
        <v>16</v>
      </c>
      <c r="AC66" s="264" cm="1">
        <f t="array" ref="AC66">INDEX('Contract Early Termination'!$B$14:$H$33,$AB66,MATCH($A64,_xlfn.ANCHORARRAY('Contract Early Termination'!$B$10),0))</f>
        <v>0</v>
      </c>
      <c r="AE66" s="263">
        <v>16</v>
      </c>
      <c r="AF66" s="264" cm="1">
        <f t="array" ref="AF66">INDEX('Contract Early Termination'!$B$41:$H$60,$AE66,MATCH($A64,_xlfn.ANCHORARRAY('Contract Early Termination'!$B$37),0))</f>
        <v>0</v>
      </c>
      <c r="AH66" s="263">
        <v>16</v>
      </c>
      <c r="AI66" s="264" cm="1">
        <f t="array" ref="AI66">INDEX('Contract Early Termination'!$B$68:$H$87,$AB66,MATCH($A64,_xlfn.ANCHORARRAY('Contract Early Termination'!$B$64),0))</f>
        <v>0</v>
      </c>
      <c r="AK66" s="263">
        <v>16</v>
      </c>
      <c r="AL66" s="293" t="str">
        <f>IF($B66="SPPA","N/A - SPPA",AL65*(1-'System Specification'!$D$10)*IF(AK66&lt;=$C66,1,0))</f>
        <v>N/A - SPPA</v>
      </c>
      <c r="AM66" s="293" t="str">
        <f>IF($B66="SPPA","N/A - SPPA",AM65*(1-INDEX('System Specification'!$Q$14:$Q$20,MATCH($A66,'System Specification'!$D$14:$D$20,0)))*IF(AK66&lt;=$C66,1,0))</f>
        <v>N/A - SPPA</v>
      </c>
      <c r="AN66" s="298" t="str" cm="1">
        <f t="array" ref="AN66">IF($B66="SPPA","N/A - SPPA",INDEX(PeGu!$B$78:$H$97,$AK66,MATCH($A64,PeGu!$B$76:$H$76,0)))</f>
        <v>N/A - SPPA</v>
      </c>
      <c r="AP66" s="262">
        <v>16</v>
      </c>
      <c r="AQ66" s="269" t="str">
        <f>IF($B66="SPPA","N/A - SPPA", INDEX('Microgrid Proposal'!$N$32:$N$38,MATCH($A66,'Microgrid Proposal'!$D$32:$D$38,0))*IF(AP66&lt;=$C66,1,0))</f>
        <v>N/A - SPPA</v>
      </c>
      <c r="AR66" s="264" t="str">
        <f t="shared" si="7"/>
        <v>N/A - SPPA</v>
      </c>
      <c r="AT66" s="262">
        <v>16</v>
      </c>
      <c r="AU66" s="269" t="str">
        <f>IF($B66="SPPA","N/A - SPPA", INDEX('Solar+Storage Proposal'!$N$32:$N$38,MATCH($A66,'Solar+Storage Proposal'!$D$32:$D$38,0))*IF(AT66&lt;=$C66,1,0))</f>
        <v>N/A - SPPA</v>
      </c>
      <c r="AV66" s="264" t="str">
        <f t="shared" si="8"/>
        <v>N/A - SPPA</v>
      </c>
      <c r="AX66" s="262">
        <v>16</v>
      </c>
      <c r="AY66" s="269" t="str">
        <f>IF($B66="SPPA","N/A - SPPA", INDEX('Solar-Only Proposal'!$M$32:$M$38,MATCH($A66,'Solar-Only Proposal'!$D$32:$D$38,0))*IF(AX66&lt;=$C66,1,0))</f>
        <v>N/A - SPPA</v>
      </c>
      <c r="AZ66" s="264" t="str">
        <f t="shared" si="9"/>
        <v>N/A - SPPA</v>
      </c>
    </row>
    <row r="67" spans="1:52" ht="15" thickBot="1" x14ac:dyDescent="0.4">
      <c r="A67" s="251" t="str">
        <f t="shared" si="5"/>
        <v>19-W1</v>
      </c>
      <c r="B67" s="251" t="str">
        <f t="shared" si="6"/>
        <v>SPPA</v>
      </c>
      <c r="C67" s="251">
        <f>INDEX('Site Data'!$S$7:$S$13,MATCH($A67,'Site Data'!$C$7:$C$13,0))</f>
        <v>20</v>
      </c>
      <c r="N67" s="262">
        <v>17</v>
      </c>
      <c r="O67" s="293">
        <f>IF($B67="SEL","N/A - SEL",O66*(1-'System Specification'!$D$10)*IF(N67&lt;=$C67,1,0))</f>
        <v>0</v>
      </c>
      <c r="P67" s="293" t="str" cm="1">
        <f t="array" ref="P67">INDEX(PeGu!$B$24:$H$43,$S67,MATCH($A65,_xlfn.ANCHORARRAY(PeGu!$B$20),0))</f>
        <v/>
      </c>
      <c r="Q67" s="294">
        <f>IF($B67="SEL","N/A - SEL",PeGu!$E$14*POWER(1+PeGu!$E$15,$S67-1))</f>
        <v>8.0235321954939362E-2</v>
      </c>
      <c r="S67" s="262">
        <v>17</v>
      </c>
      <c r="T67" s="293">
        <f>IF($B67="SEL","N/A - SEL",T66*(1-'System Specification'!$D$10)*IF(S67&lt;=$C67,1,0))</f>
        <v>0</v>
      </c>
      <c r="U67" s="293" t="str" cm="1">
        <f t="array" ref="U67">INDEX(PeGu!$B$52:$H$71,$S67,MATCH($A65,_xlfn.ANCHORARRAY(PeGu!$B$48),0))</f>
        <v/>
      </c>
      <c r="V67" s="294">
        <f>IF($B67="SEL","N/A - SEL",PeGu!$E$14*POWER(1+PeGu!$E$15,$S67-1))</f>
        <v>8.0235321954939362E-2</v>
      </c>
      <c r="X67" s="262">
        <v>17</v>
      </c>
      <c r="Y67" s="293" t="str" cm="1">
        <f t="array" ref="Y67">IF($B67="SEL","N/A - SEL",INDEX(PeGu!$B$78:$H$97,$X67,MATCH($A65,PeGu!$B$76:$H$76,0)))</f>
        <v/>
      </c>
      <c r="Z67" s="294">
        <f>IF($B67="SEL","N/A - SEL",PeGu!$K$12*POWER(1+PeGu!$K$13,$X67-1))</f>
        <v>0</v>
      </c>
      <c r="AB67" s="263">
        <v>17</v>
      </c>
      <c r="AC67" s="264" cm="1">
        <f t="array" ref="AC67">INDEX('Contract Early Termination'!$B$14:$H$33,$AB67,MATCH($A65,_xlfn.ANCHORARRAY('Contract Early Termination'!$B$10),0))</f>
        <v>0</v>
      </c>
      <c r="AE67" s="263">
        <v>17</v>
      </c>
      <c r="AF67" s="264" cm="1">
        <f t="array" ref="AF67">INDEX('Contract Early Termination'!$B$41:$H$60,$AE67,MATCH($A65,_xlfn.ANCHORARRAY('Contract Early Termination'!$B$37),0))</f>
        <v>0</v>
      </c>
      <c r="AH67" s="263">
        <v>17</v>
      </c>
      <c r="AI67" s="264" cm="1">
        <f t="array" ref="AI67">INDEX('Contract Early Termination'!$B$68:$H$87,$AB67,MATCH($A65,_xlfn.ANCHORARRAY('Contract Early Termination'!$B$64),0))</f>
        <v>0</v>
      </c>
      <c r="AK67" s="263">
        <v>17</v>
      </c>
      <c r="AL67" s="293" t="str">
        <f>IF($B67="SPPA","N/A - SPPA",AL66*(1-'System Specification'!$D$10)*IF(AK67&lt;=$C67,1,0))</f>
        <v>N/A - SPPA</v>
      </c>
      <c r="AM67" s="293" t="str">
        <f>IF($B67="SPPA","N/A - SPPA",AM66*(1-INDEX('System Specification'!$Q$14:$Q$20,MATCH($A67,'System Specification'!$D$14:$D$20,0)))*IF(AK67&lt;=$C67,1,0))</f>
        <v>N/A - SPPA</v>
      </c>
      <c r="AN67" s="298" t="str" cm="1">
        <f t="array" ref="AN67">IF($B67="SPPA","N/A - SPPA",INDEX(PeGu!$B$78:$H$97,$AK67,MATCH($A65,PeGu!$B$76:$H$76,0)))</f>
        <v>N/A - SPPA</v>
      </c>
      <c r="AP67" s="262">
        <v>17</v>
      </c>
      <c r="AQ67" s="269" t="str">
        <f>IF($B67="SPPA","N/A - SPPA", INDEX('Microgrid Proposal'!$N$32:$N$38,MATCH($A67,'Microgrid Proposal'!$D$32:$D$38,0))*IF(AP67&lt;=$C67,1,0))</f>
        <v>N/A - SPPA</v>
      </c>
      <c r="AR67" s="264" t="str">
        <f t="shared" si="7"/>
        <v>N/A - SPPA</v>
      </c>
      <c r="AT67" s="262">
        <v>17</v>
      </c>
      <c r="AU67" s="269" t="str">
        <f>IF($B67="SPPA","N/A - SPPA", INDEX('Solar+Storage Proposal'!$N$32:$N$38,MATCH($A67,'Solar+Storage Proposal'!$D$32:$D$38,0))*IF(AT67&lt;=$C67,1,0))</f>
        <v>N/A - SPPA</v>
      </c>
      <c r="AV67" s="264" t="str">
        <f t="shared" si="8"/>
        <v>N/A - SPPA</v>
      </c>
      <c r="AX67" s="262">
        <v>17</v>
      </c>
      <c r="AY67" s="269" t="str">
        <f>IF($B67="SPPA","N/A - SPPA", INDEX('Solar-Only Proposal'!$M$32:$M$38,MATCH($A67,'Solar-Only Proposal'!$D$32:$D$38,0))*IF(AX67&lt;=$C67,1,0))</f>
        <v>N/A - SPPA</v>
      </c>
      <c r="AZ67" s="264" t="str">
        <f t="shared" si="9"/>
        <v>N/A - SPPA</v>
      </c>
    </row>
    <row r="68" spans="1:52" ht="15" thickBot="1" x14ac:dyDescent="0.4">
      <c r="A68" s="251" t="str">
        <f t="shared" si="5"/>
        <v>19-W1</v>
      </c>
      <c r="B68" s="251" t="str">
        <f t="shared" si="6"/>
        <v>SPPA</v>
      </c>
      <c r="C68" s="251">
        <f>INDEX('Site Data'!$S$7:$S$13,MATCH($A68,'Site Data'!$C$7:$C$13,0))</f>
        <v>20</v>
      </c>
      <c r="F68" s="502" t="s">
        <v>236</v>
      </c>
      <c r="G68" s="503"/>
      <c r="H68" s="504"/>
      <c r="J68" s="502" t="s">
        <v>237</v>
      </c>
      <c r="K68" s="503"/>
      <c r="L68" s="504"/>
      <c r="N68" s="262">
        <v>18</v>
      </c>
      <c r="O68" s="293">
        <f>IF($B68="SEL","N/A - SEL",O67*(1-'System Specification'!$D$10)*IF(N68&lt;=$C68,1,0))</f>
        <v>0</v>
      </c>
      <c r="P68" s="293" t="str" cm="1">
        <f t="array" ref="P68">INDEX(PeGu!$B$24:$H$43,$S68,MATCH($A66,_xlfn.ANCHORARRAY(PeGu!$B$20),0))</f>
        <v/>
      </c>
      <c r="Q68" s="294">
        <f>IF($B68="SEL","N/A - SEL",PeGu!$E$14*POWER(1+PeGu!$E$15,$S68-1))</f>
        <v>8.2642381613587543E-2</v>
      </c>
      <c r="S68" s="262">
        <v>18</v>
      </c>
      <c r="T68" s="293">
        <f>IF($B68="SEL","N/A - SEL",T67*(1-'System Specification'!$D$10)*IF(S68&lt;=$C68,1,0))</f>
        <v>0</v>
      </c>
      <c r="U68" s="293" t="str" cm="1">
        <f t="array" ref="U68">INDEX(PeGu!$B$52:$H$71,$S68,MATCH($A66,_xlfn.ANCHORARRAY(PeGu!$B$48),0))</f>
        <v/>
      </c>
      <c r="V68" s="294">
        <f>IF($B68="SEL","N/A - SEL",PeGu!$E$14*POWER(1+PeGu!$E$15,$S68-1))</f>
        <v>8.2642381613587543E-2</v>
      </c>
      <c r="X68" s="262">
        <v>18</v>
      </c>
      <c r="Y68" s="293" t="str" cm="1">
        <f t="array" ref="Y68">IF($B68="SEL","N/A - SEL",INDEX(PeGu!$B$78:$H$97,$X68,MATCH($A66,PeGu!$B$76:$H$76,0)))</f>
        <v/>
      </c>
      <c r="Z68" s="294">
        <f>IF($B68="SEL","N/A - SEL",PeGu!$K$12*POWER(1+PeGu!$K$13,$X68-1))</f>
        <v>0</v>
      </c>
      <c r="AB68" s="263">
        <v>18</v>
      </c>
      <c r="AC68" s="264" cm="1">
        <f t="array" ref="AC68">INDEX('Contract Early Termination'!$B$14:$H$33,$AB68,MATCH($A66,_xlfn.ANCHORARRAY('Contract Early Termination'!$B$10),0))</f>
        <v>0</v>
      </c>
      <c r="AE68" s="263">
        <v>18</v>
      </c>
      <c r="AF68" s="264" cm="1">
        <f t="array" ref="AF68">INDEX('Contract Early Termination'!$B$41:$H$60,$AE68,MATCH($A66,_xlfn.ANCHORARRAY('Contract Early Termination'!$B$37),0))</f>
        <v>0</v>
      </c>
      <c r="AH68" s="263">
        <v>18</v>
      </c>
      <c r="AI68" s="264" cm="1">
        <f t="array" ref="AI68">INDEX('Contract Early Termination'!$B$68:$H$87,$AB68,MATCH($A66,_xlfn.ANCHORARRAY('Contract Early Termination'!$B$64),0))</f>
        <v>0</v>
      </c>
      <c r="AK68" s="263">
        <v>18</v>
      </c>
      <c r="AL68" s="293" t="str">
        <f>IF($B68="SPPA","N/A - SPPA",AL67*(1-'System Specification'!$D$10)*IF(AK68&lt;=$C68,1,0))</f>
        <v>N/A - SPPA</v>
      </c>
      <c r="AM68" s="293" t="str">
        <f>IF($B68="SPPA","N/A - SPPA",AM67*(1-INDEX('System Specification'!$Q$14:$Q$20,MATCH($A68,'System Specification'!$D$14:$D$20,0)))*IF(AK68&lt;=$C68,1,0))</f>
        <v>N/A - SPPA</v>
      </c>
      <c r="AN68" s="298" t="str" cm="1">
        <f t="array" ref="AN68">IF($B68="SPPA","N/A - SPPA",INDEX(PeGu!$B$78:$H$97,$AK68,MATCH($A66,PeGu!$B$76:$H$76,0)))</f>
        <v>N/A - SPPA</v>
      </c>
      <c r="AP68" s="262">
        <v>18</v>
      </c>
      <c r="AQ68" s="269" t="str">
        <f>IF($B68="SPPA","N/A - SPPA", INDEX('Microgrid Proposal'!$N$32:$N$38,MATCH($A68,'Microgrid Proposal'!$D$32:$D$38,0))*IF(AP68&lt;=$C68,1,0))</f>
        <v>N/A - SPPA</v>
      </c>
      <c r="AR68" s="264" t="str">
        <f t="shared" si="7"/>
        <v>N/A - SPPA</v>
      </c>
      <c r="AT68" s="262">
        <v>18</v>
      </c>
      <c r="AU68" s="269" t="str">
        <f>IF($B68="SPPA","N/A - SPPA", INDEX('Solar+Storage Proposal'!$N$32:$N$38,MATCH($A68,'Solar+Storage Proposal'!$D$32:$D$38,0))*IF(AT68&lt;=$C68,1,0))</f>
        <v>N/A - SPPA</v>
      </c>
      <c r="AV68" s="264" t="str">
        <f t="shared" si="8"/>
        <v>N/A - SPPA</v>
      </c>
      <c r="AX68" s="262">
        <v>18</v>
      </c>
      <c r="AY68" s="269" t="str">
        <f>IF($B68="SPPA","N/A - SPPA", INDEX('Solar-Only Proposal'!$M$32:$M$38,MATCH($A68,'Solar-Only Proposal'!$D$32:$D$38,0))*IF(AX68&lt;=$C68,1,0))</f>
        <v>N/A - SPPA</v>
      </c>
      <c r="AZ68" s="264" t="str">
        <f t="shared" si="9"/>
        <v>N/A - SPPA</v>
      </c>
    </row>
    <row r="69" spans="1:52" ht="15" thickBot="1" x14ac:dyDescent="0.4">
      <c r="A69" s="251" t="str">
        <f t="shared" si="5"/>
        <v>19-W1</v>
      </c>
      <c r="B69" s="251" t="str">
        <f t="shared" si="6"/>
        <v>SPPA</v>
      </c>
      <c r="C69" s="251">
        <f>INDEX('Site Data'!$S$7:$S$13,MATCH($A69,'Site Data'!$C$7:$C$13,0))</f>
        <v>20</v>
      </c>
      <c r="F69" s="502" t="s">
        <v>290</v>
      </c>
      <c r="G69" s="503"/>
      <c r="H69" s="504"/>
      <c r="J69" s="502" t="s">
        <v>291</v>
      </c>
      <c r="K69" s="503"/>
      <c r="L69" s="504"/>
      <c r="N69" s="262">
        <v>19</v>
      </c>
      <c r="O69" s="293">
        <f>IF($B69="SEL","N/A - SEL",O68*(1-'System Specification'!$D$10)*IF(N69&lt;=$C69,1,0))</f>
        <v>0</v>
      </c>
      <c r="P69" s="293" t="str" cm="1">
        <f t="array" ref="P69">INDEX(PeGu!$B$24:$H$43,$S69,MATCH($A67,_xlfn.ANCHORARRAY(PeGu!$B$20),0))</f>
        <v/>
      </c>
      <c r="Q69" s="294">
        <f>IF($B69="SEL","N/A - SEL",PeGu!$E$14*POWER(1+PeGu!$E$15,$S69-1))</f>
        <v>8.5121653061995164E-2</v>
      </c>
      <c r="S69" s="262">
        <v>19</v>
      </c>
      <c r="T69" s="293">
        <f>IF($B69="SEL","N/A - SEL",T68*(1-'System Specification'!$D$10)*IF(S69&lt;=$C69,1,0))</f>
        <v>0</v>
      </c>
      <c r="U69" s="293" t="str" cm="1">
        <f t="array" ref="U69">INDEX(PeGu!$B$52:$H$71,$S69,MATCH($A67,_xlfn.ANCHORARRAY(PeGu!$B$48),0))</f>
        <v/>
      </c>
      <c r="V69" s="294">
        <f>IF($B69="SEL","N/A - SEL",PeGu!$E$14*POWER(1+PeGu!$E$15,$S69-1))</f>
        <v>8.5121653061995164E-2</v>
      </c>
      <c r="X69" s="262">
        <v>19</v>
      </c>
      <c r="Y69" s="293" t="str" cm="1">
        <f t="array" ref="Y69">IF($B69="SEL","N/A - SEL",INDEX(PeGu!$B$78:$H$97,$X69,MATCH($A67,PeGu!$B$76:$H$76,0)))</f>
        <v/>
      </c>
      <c r="Z69" s="294">
        <f>IF($B69="SEL","N/A - SEL",PeGu!$K$12*POWER(1+PeGu!$K$13,$X69-1))</f>
        <v>0</v>
      </c>
      <c r="AB69" s="263">
        <v>19</v>
      </c>
      <c r="AC69" s="264" cm="1">
        <f t="array" ref="AC69">INDEX('Contract Early Termination'!$B$14:$H$33,$AB69,MATCH($A67,_xlfn.ANCHORARRAY('Contract Early Termination'!$B$10),0))</f>
        <v>0</v>
      </c>
      <c r="AE69" s="263">
        <v>19</v>
      </c>
      <c r="AF69" s="264" cm="1">
        <f t="array" ref="AF69">INDEX('Contract Early Termination'!$B$41:$H$60,$AE69,MATCH($A67,_xlfn.ANCHORARRAY('Contract Early Termination'!$B$37),0))</f>
        <v>0</v>
      </c>
      <c r="AH69" s="263">
        <v>19</v>
      </c>
      <c r="AI69" s="264" cm="1">
        <f t="array" ref="AI69">INDEX('Contract Early Termination'!$B$68:$H$87,$AB69,MATCH($A67,_xlfn.ANCHORARRAY('Contract Early Termination'!$B$64),0))</f>
        <v>0</v>
      </c>
      <c r="AJ69" s="278"/>
      <c r="AK69" s="263">
        <v>19</v>
      </c>
      <c r="AL69" s="293" t="str">
        <f>IF($B69="SPPA","N/A - SPPA",AL68*(1-'System Specification'!$D$10)*IF(AK69&lt;=$C69,1,0))</f>
        <v>N/A - SPPA</v>
      </c>
      <c r="AM69" s="293" t="str">
        <f>IF($B69="SPPA","N/A - SPPA",AM68*(1-INDEX('System Specification'!$Q$14:$Q$20,MATCH($A69,'System Specification'!$D$14:$D$20,0)))*IF(AK69&lt;=$C69,1,0))</f>
        <v>N/A - SPPA</v>
      </c>
      <c r="AN69" s="298" t="str" cm="1">
        <f t="array" ref="AN69">IF($B69="SPPA","N/A - SPPA",INDEX(PeGu!$B$78:$H$97,$AK69,MATCH($A67,PeGu!$B$76:$H$76,0)))</f>
        <v>N/A - SPPA</v>
      </c>
      <c r="AP69" s="265">
        <v>19</v>
      </c>
      <c r="AQ69" s="269" t="str">
        <f>IF($B69="SPPA","N/A - SPPA", INDEX('Microgrid Proposal'!$N$32:$N$38,MATCH($A69,'Microgrid Proposal'!$D$32:$D$38,0))*IF(AP69&lt;=$C69,1,0))</f>
        <v>N/A - SPPA</v>
      </c>
      <c r="AR69" s="264" t="str">
        <f t="shared" si="7"/>
        <v>N/A - SPPA</v>
      </c>
      <c r="AT69" s="265">
        <v>19</v>
      </c>
      <c r="AU69" s="269" t="str">
        <f>IF($B69="SPPA","N/A - SPPA", INDEX('Solar+Storage Proposal'!$N$32:$N$38,MATCH($A69,'Solar+Storage Proposal'!$D$32:$D$38,0))*IF(AT69&lt;=$C69,1,0))</f>
        <v>N/A - SPPA</v>
      </c>
      <c r="AV69" s="264" t="str">
        <f t="shared" si="8"/>
        <v>N/A - SPPA</v>
      </c>
      <c r="AX69" s="265">
        <v>19</v>
      </c>
      <c r="AY69" s="269" t="str">
        <f>IF($B69="SPPA","N/A - SPPA", INDEX('Solar-Only Proposal'!$M$32:$M$38,MATCH($A69,'Solar-Only Proposal'!$D$32:$D$38,0))*IF(AX69&lt;=$C69,1,0))</f>
        <v>N/A - SPPA</v>
      </c>
      <c r="AZ69" s="264" t="str">
        <f t="shared" si="9"/>
        <v>N/A - SPPA</v>
      </c>
    </row>
    <row r="70" spans="1:52" ht="15" thickBot="1" x14ac:dyDescent="0.4">
      <c r="A70" s="251" t="str">
        <f t="shared" si="5"/>
        <v>19-W1</v>
      </c>
      <c r="B70" s="251" t="str">
        <f t="shared" si="6"/>
        <v>SPPA</v>
      </c>
      <c r="C70" s="251">
        <f>INDEX('Site Data'!$S$7:$S$13,MATCH($A70,'Site Data'!$C$7:$C$13,0))</f>
        <v>20</v>
      </c>
      <c r="F70" s="280" t="s">
        <v>292</v>
      </c>
      <c r="G70" s="281">
        <f>G49</f>
        <v>20</v>
      </c>
      <c r="H70" s="282" t="s">
        <v>250</v>
      </c>
      <c r="J70" s="266" t="s">
        <v>292</v>
      </c>
      <c r="K70" s="285" t="str">
        <f>K49</f>
        <v>N/A - SPPA</v>
      </c>
      <c r="L70" s="268" t="s">
        <v>250</v>
      </c>
      <c r="N70" s="258">
        <v>20</v>
      </c>
      <c r="O70" s="259">
        <f>IF($B70="SEL","N/A - SEL",O69*(1-'System Specification'!$D$10)*IF(N70&lt;=$C70,1,0))</f>
        <v>0</v>
      </c>
      <c r="P70" s="259" t="str" cm="1">
        <f t="array" ref="P70">INDEX(PeGu!$B$24:$H$43,$S70,MATCH($A68,_xlfn.ANCHORARRAY(PeGu!$B$20),0))</f>
        <v/>
      </c>
      <c r="Q70" s="295">
        <f>IF($B70="SEL","N/A - SEL",PeGu!$E$14*POWER(1+PeGu!$E$15,$S70-1))</f>
        <v>8.7675302653855022E-2</v>
      </c>
      <c r="S70" s="258">
        <v>20</v>
      </c>
      <c r="T70" s="259">
        <f>IF($B70="SEL","N/A - SEL",T69*(1-'System Specification'!$D$10)*IF(S70&lt;=$C70,1,0))</f>
        <v>0</v>
      </c>
      <c r="U70" s="259" t="str" cm="1">
        <f t="array" ref="U70">INDEX(PeGu!$B$52:$H$71,$S70,MATCH($A68,_xlfn.ANCHORARRAY(PeGu!$B$48),0))</f>
        <v/>
      </c>
      <c r="V70" s="295">
        <f>IF($B70="SEL","N/A - SEL",PeGu!$E$14*POWER(1+PeGu!$E$15,$S70-1))</f>
        <v>8.7675302653855022E-2</v>
      </c>
      <c r="X70" s="258">
        <v>20</v>
      </c>
      <c r="Y70" s="259" t="str" cm="1">
        <f t="array" ref="Y70">IF($B70="SEL","N/A - SEL",INDEX(PeGu!$B$78:$H$97,$X70,MATCH($A68,PeGu!$B$76:$H$76,0)))</f>
        <v/>
      </c>
      <c r="Z70" s="295">
        <f>IF($B70="SEL","N/A - SEL",PeGu!$K$12*POWER(1+PeGu!$K$13,$X70-1))</f>
        <v>0</v>
      </c>
      <c r="AB70" s="273">
        <v>20</v>
      </c>
      <c r="AC70" s="274" cm="1">
        <f t="array" ref="AC70">INDEX('Contract Early Termination'!$B$14:$H$33,$AB70,MATCH($A68,_xlfn.ANCHORARRAY('Contract Early Termination'!$B$10),0))</f>
        <v>0</v>
      </c>
      <c r="AD70" s="275"/>
      <c r="AE70" s="273">
        <v>20</v>
      </c>
      <c r="AF70" s="274" cm="1">
        <f t="array" ref="AF70">INDEX('Contract Early Termination'!$B$41:$H$60,$AE70,MATCH($A68,_xlfn.ANCHORARRAY('Contract Early Termination'!$B$37),0))</f>
        <v>0</v>
      </c>
      <c r="AG70" s="277"/>
      <c r="AH70" s="273">
        <v>20</v>
      </c>
      <c r="AI70" s="274" cm="1">
        <f t="array" ref="AI70">INDEX('Contract Early Termination'!$B$68:$H$87,$AB70,MATCH($A68,_xlfn.ANCHORARRAY('Contract Early Termination'!$B$64),0))</f>
        <v>0</v>
      </c>
      <c r="AJ70" s="278"/>
      <c r="AK70" s="273">
        <v>20</v>
      </c>
      <c r="AL70" s="259" t="str">
        <f>IF($B70="SPPA","N/A - SPPA",AL69*(1-'System Specification'!$D$10)*IF(AK70&lt;=$C70,1,0))</f>
        <v>N/A - SPPA</v>
      </c>
      <c r="AM70" s="259" t="str">
        <f>IF($B70="SPPA","N/A - SPPA",AM69*(1-INDEX('System Specification'!$Q$14:$Q$20,MATCH($A70,'System Specification'!$D$14:$D$20,0)))*IF(AK70&lt;=$C70,1,0))</f>
        <v>N/A - SPPA</v>
      </c>
      <c r="AN70" s="299" t="str" cm="1">
        <f t="array" ref="AN70">IF($B70="SPPA","N/A - SPPA",INDEX(PeGu!$B$78:$H$97,$AK70,MATCH($A68,PeGu!$B$76:$H$76,0)))</f>
        <v>N/A - SPPA</v>
      </c>
      <c r="AP70" s="276">
        <v>20</v>
      </c>
      <c r="AQ70" s="300" t="str">
        <f>IF($B70="SPPA","N/A - SPPA", INDEX('Microgrid Proposal'!$N$32:$N$38,MATCH($A70,'Microgrid Proposal'!$D$32:$D$38,0))*IF(AP70&lt;=$C70,1,0))</f>
        <v>N/A - SPPA</v>
      </c>
      <c r="AR70" s="274" t="str">
        <f t="shared" si="7"/>
        <v>N/A - SPPA</v>
      </c>
      <c r="AT70" s="276">
        <v>20</v>
      </c>
      <c r="AU70" s="300" t="str">
        <f>IF($B70="SPPA","N/A - SPPA", INDEX('Solar+Storage Proposal'!$N$32:$N$38,MATCH($A70,'Solar+Storage Proposal'!$D$32:$D$38,0))*IF(AT70&lt;=$C70,1,0))</f>
        <v>N/A - SPPA</v>
      </c>
      <c r="AV70" s="274" t="str">
        <f t="shared" si="8"/>
        <v>N/A - SPPA</v>
      </c>
      <c r="AX70" s="276">
        <v>20</v>
      </c>
      <c r="AY70" s="300" t="str">
        <f>IF($B70="SPPA","N/A - SPPA", INDEX('Solar-Only Proposal'!$M$32:$M$38,MATCH($A70,'Solar-Only Proposal'!$D$32:$D$38,0))*IF(AX70&lt;=$C70,1,0))</f>
        <v>N/A - SPPA</v>
      </c>
      <c r="AZ70" s="274" t="str">
        <f t="shared" si="9"/>
        <v>N/A - SPPA</v>
      </c>
    </row>
    <row r="71" spans="1:52" ht="15" thickBot="1" x14ac:dyDescent="0.4">
      <c r="A71" s="251" t="str">
        <f t="shared" si="5"/>
        <v>19-W1</v>
      </c>
      <c r="B71" s="251" t="str">
        <f t="shared" si="6"/>
        <v>SPPA</v>
      </c>
      <c r="C71" s="251">
        <f>INDEX('Site Data'!$S$7:$S$13,MATCH($A71,'Site Data'!$C$7:$C$13,0))</f>
        <v>20</v>
      </c>
      <c r="F71" s="502" t="s">
        <v>293</v>
      </c>
      <c r="G71" s="503"/>
      <c r="H71" s="504"/>
      <c r="J71" s="258" t="s">
        <v>294</v>
      </c>
      <c r="K71" s="302" t="str">
        <f>IF($B71="SPPA","N/A - SPPA",PeGu!$E$16)</f>
        <v>N/A - SPPA</v>
      </c>
      <c r="L71" s="260" t="s">
        <v>295</v>
      </c>
      <c r="T71" s="275"/>
      <c r="U71" s="275"/>
      <c r="V71" s="283"/>
      <c r="Y71" s="275"/>
      <c r="Z71" s="275"/>
      <c r="AA71" s="283"/>
      <c r="AD71" s="275"/>
      <c r="AE71" s="283"/>
      <c r="AG71" s="277"/>
      <c r="AH71" s="279"/>
      <c r="AJ71" s="278"/>
      <c r="AK71" s="279"/>
      <c r="AM71" s="278"/>
      <c r="AN71" s="279"/>
      <c r="AP71" s="278"/>
      <c r="AQ71" s="278"/>
      <c r="AR71" s="278"/>
      <c r="AT71" s="278"/>
      <c r="AU71" s="278"/>
      <c r="AV71" s="278"/>
      <c r="AX71" s="278"/>
      <c r="AY71" s="278"/>
      <c r="AZ71" s="278"/>
    </row>
    <row r="72" spans="1:52" ht="15" thickBot="1" x14ac:dyDescent="0.4">
      <c r="A72" s="251" t="str">
        <f t="shared" si="5"/>
        <v>19-W1</v>
      </c>
      <c r="B72" s="251" t="str">
        <f t="shared" si="6"/>
        <v>SPPA</v>
      </c>
      <c r="C72" s="251">
        <f>INDEX('Site Data'!$S$7:$S$13,MATCH($A72,'Site Data'!$C$7:$C$13,0))</f>
        <v>20</v>
      </c>
      <c r="F72" s="280" t="s">
        <v>296</v>
      </c>
      <c r="G72" s="284">
        <f>IF($B72="SEL","N/A - SEL",PeGu!$E$12)</f>
        <v>0</v>
      </c>
      <c r="H72" s="282" t="s">
        <v>295</v>
      </c>
      <c r="T72" s="275"/>
      <c r="U72" s="275"/>
      <c r="V72" s="283"/>
      <c r="Y72" s="275"/>
      <c r="Z72" s="275"/>
      <c r="AA72" s="283"/>
      <c r="AD72" s="275"/>
      <c r="AE72" s="283"/>
      <c r="AG72" s="277"/>
      <c r="AH72" s="279"/>
      <c r="AJ72" s="278"/>
      <c r="AK72" s="279"/>
      <c r="AM72" s="278"/>
      <c r="AN72" s="279"/>
      <c r="AP72" s="278"/>
      <c r="AQ72" s="278"/>
      <c r="AR72" s="278"/>
      <c r="AT72" s="278"/>
      <c r="AU72" s="278"/>
      <c r="AV72" s="278"/>
      <c r="AX72" s="278"/>
      <c r="AY72" s="278"/>
      <c r="AZ72" s="278"/>
    </row>
    <row r="73" spans="1:52" ht="15" thickBot="1" x14ac:dyDescent="0.4"/>
    <row r="74" spans="1:52" x14ac:dyDescent="0.35">
      <c r="F74" s="255" t="s">
        <v>9</v>
      </c>
      <c r="G74" s="522">
        <f>G41+1</f>
        <v>3</v>
      </c>
      <c r="H74" s="523"/>
    </row>
    <row r="75" spans="1:52" x14ac:dyDescent="0.35">
      <c r="F75" s="256" t="s">
        <v>10</v>
      </c>
      <c r="G75" s="524" t="str">
        <f>INDEX(Site_Data_Table,MATCH(G74,'Site Data'!$A$6:$A$13,0),MATCH(F75,Site_Data_Column_Names,0))</f>
        <v>Banning Justice Center</v>
      </c>
      <c r="H75" s="525"/>
    </row>
    <row r="76" spans="1:52" x14ac:dyDescent="0.35">
      <c r="F76" s="256" t="s">
        <v>11</v>
      </c>
      <c r="G76" s="526" t="str">
        <f>INDEX(Site_Data_Table,MATCH(G74,'Site Data'!$A$6:$A$13,0),MATCH(F76,Site_Data_Column_Names,0))</f>
        <v>33-G4</v>
      </c>
      <c r="H76" s="527"/>
    </row>
    <row r="77" spans="1:52" ht="15.65" customHeight="1" thickBot="1" x14ac:dyDescent="0.4">
      <c r="F77" s="257" t="s">
        <v>26</v>
      </c>
      <c r="G77" s="531" t="str">
        <f>INDEX(Site_Data_Table,MATCH(G74,'Site Data'!$A$6:$A$13,0),MATCH(F77,Site_Data_Column_Names,0))</f>
        <v>SEL</v>
      </c>
      <c r="H77" s="532"/>
    </row>
    <row r="79" spans="1:52" ht="15.65" customHeight="1" thickBot="1" x14ac:dyDescent="0.4">
      <c r="A79" s="301" t="s">
        <v>11</v>
      </c>
      <c r="B79" s="301" t="s">
        <v>26</v>
      </c>
      <c r="C79" s="301" t="s">
        <v>231</v>
      </c>
      <c r="D79" s="301" t="s">
        <v>232</v>
      </c>
      <c r="E79" s="301" t="s">
        <v>233</v>
      </c>
    </row>
    <row r="80" spans="1:52" ht="15" thickBot="1" x14ac:dyDescent="0.4">
      <c r="A80" s="251" t="str">
        <f>G76</f>
        <v>33-G4</v>
      </c>
      <c r="B80" s="251" t="str">
        <f>G77</f>
        <v>SEL</v>
      </c>
      <c r="C80" s="251">
        <f>INDEX('Site Data'!$S$7:$S$13,MATCH($A80,'Site Data'!$C$7:$C$13,0))</f>
        <v>20</v>
      </c>
      <c r="F80" s="502" t="s">
        <v>234</v>
      </c>
      <c r="G80" s="503"/>
      <c r="H80" s="504"/>
      <c r="J80" s="502" t="s">
        <v>235</v>
      </c>
      <c r="K80" s="503"/>
      <c r="L80" s="504"/>
      <c r="N80" s="513" t="s">
        <v>236</v>
      </c>
      <c r="O80" s="514"/>
      <c r="P80" s="514"/>
      <c r="Q80" s="515"/>
      <c r="S80" s="528" t="s">
        <v>236</v>
      </c>
      <c r="T80" s="529"/>
      <c r="U80" s="529"/>
      <c r="V80" s="530"/>
      <c r="X80" s="516" t="s">
        <v>236</v>
      </c>
      <c r="Y80" s="517"/>
      <c r="Z80" s="518"/>
      <c r="AB80" s="513" t="str">
        <f>IF($B80="SPPA","Attachment E","Attachment N2")</f>
        <v>Attachment N2</v>
      </c>
      <c r="AC80" s="515"/>
      <c r="AE80" s="513" t="str">
        <f>IF($B80="SPPA","Attachment E","Attachment N2")</f>
        <v>Attachment N2</v>
      </c>
      <c r="AF80" s="515"/>
      <c r="AH80" s="513" t="str">
        <f>IF($B80="SPPA","Attachment E","Attachment N2")</f>
        <v>Attachment N2</v>
      </c>
      <c r="AI80" s="515"/>
      <c r="AK80" s="519" t="s">
        <v>237</v>
      </c>
      <c r="AL80" s="520"/>
      <c r="AM80" s="520"/>
      <c r="AN80" s="521"/>
      <c r="AP80" s="541" t="s">
        <v>235</v>
      </c>
      <c r="AQ80" s="542"/>
      <c r="AR80" s="543"/>
      <c r="AT80" s="541" t="s">
        <v>235</v>
      </c>
      <c r="AU80" s="542"/>
      <c r="AV80" s="543"/>
      <c r="AX80" s="541" t="s">
        <v>235</v>
      </c>
      <c r="AY80" s="542"/>
      <c r="AZ80" s="543"/>
    </row>
    <row r="81" spans="1:52" ht="14.65" customHeight="1" thickBot="1" x14ac:dyDescent="0.4">
      <c r="A81" s="251" t="str">
        <f>A80</f>
        <v>33-G4</v>
      </c>
      <c r="B81" s="251" t="str">
        <f>B80</f>
        <v>SEL</v>
      </c>
      <c r="C81" s="251">
        <f>INDEX('Site Data'!$S$7:$S$13,MATCH($A81,'Site Data'!$C$7:$C$13,0))</f>
        <v>20</v>
      </c>
      <c r="F81" s="505" t="s">
        <v>46</v>
      </c>
      <c r="G81" s="506"/>
      <c r="H81" s="507"/>
      <c r="J81" s="502" t="s">
        <v>238</v>
      </c>
      <c r="K81" s="503"/>
      <c r="L81" s="504"/>
      <c r="N81" s="508" t="s">
        <v>239</v>
      </c>
      <c r="O81" s="509"/>
      <c r="P81" s="509"/>
      <c r="Q81" s="510"/>
      <c r="S81" s="508" t="s">
        <v>240</v>
      </c>
      <c r="T81" s="509"/>
      <c r="U81" s="509"/>
      <c r="V81" s="510"/>
      <c r="W81" s="252"/>
      <c r="X81" s="508" t="s">
        <v>241</v>
      </c>
      <c r="Y81" s="509"/>
      <c r="Z81" s="510"/>
      <c r="AB81" s="511" t="s">
        <v>242</v>
      </c>
      <c r="AC81" s="512"/>
      <c r="AE81" s="511" t="s">
        <v>243</v>
      </c>
      <c r="AF81" s="512"/>
      <c r="AH81" s="511" t="s">
        <v>244</v>
      </c>
      <c r="AI81" s="512"/>
      <c r="AK81" s="538" t="s">
        <v>245</v>
      </c>
      <c r="AL81" s="539"/>
      <c r="AM81" s="539"/>
      <c r="AN81" s="540"/>
      <c r="AP81" s="544" t="s">
        <v>246</v>
      </c>
      <c r="AQ81" s="545"/>
      <c r="AR81" s="546"/>
      <c r="AT81" s="544" t="s">
        <v>247</v>
      </c>
      <c r="AU81" s="545"/>
      <c r="AV81" s="546"/>
      <c r="AX81" s="544" t="s">
        <v>248</v>
      </c>
      <c r="AY81" s="545"/>
      <c r="AZ81" s="546"/>
    </row>
    <row r="82" spans="1:52" ht="15" thickBot="1" x14ac:dyDescent="0.4">
      <c r="A82" s="251" t="str">
        <f t="shared" ref="A82:A105" si="10">A81</f>
        <v>33-G4</v>
      </c>
      <c r="B82" s="251" t="str">
        <f t="shared" ref="B82:B105" si="11">B81</f>
        <v>SEL</v>
      </c>
      <c r="C82" s="251">
        <f>INDEX('Site Data'!$S$7:$S$13,MATCH($A82,'Site Data'!$C$7:$C$13,0))</f>
        <v>20</v>
      </c>
      <c r="D82" s="251" t="s">
        <v>27</v>
      </c>
      <c r="E82" s="251" t="s">
        <v>27</v>
      </c>
      <c r="F82" s="258" t="s">
        <v>249</v>
      </c>
      <c r="G82" s="259" t="str">
        <f>IF($B82="SEL","N/A - SEL",INDEX(Site_Data_Table,MATCH($A82,'Site Data'!$C$6:$C$13,0),MATCH($D82,Site_Data_Column_Names,0)))</f>
        <v>N/A - SEL</v>
      </c>
      <c r="H82" s="260" t="s">
        <v>250</v>
      </c>
      <c r="J82" s="266" t="s">
        <v>251</v>
      </c>
      <c r="K82" s="285">
        <f>IF($B82="SPPA","N/A - SPPA",INDEX(Site_Data_Table,MATCH($A82,'Site Data'!$C$6:$C$13,0),MATCH($E82,Site_Data_Column_Names,0)))</f>
        <v>20</v>
      </c>
      <c r="L82" s="268" t="s">
        <v>250</v>
      </c>
      <c r="N82" s="535" t="s">
        <v>252</v>
      </c>
      <c r="O82" s="536"/>
      <c r="P82" s="536"/>
      <c r="Q82" s="537"/>
      <c r="S82" s="535" t="s">
        <v>252</v>
      </c>
      <c r="T82" s="536"/>
      <c r="U82" s="536"/>
      <c r="V82" s="537"/>
      <c r="X82" s="535" t="s">
        <v>253</v>
      </c>
      <c r="Y82" s="536"/>
      <c r="Z82" s="537"/>
      <c r="AB82" s="533" t="s">
        <v>254</v>
      </c>
      <c r="AC82" s="534"/>
      <c r="AE82" s="533" t="s">
        <v>254</v>
      </c>
      <c r="AF82" s="534"/>
      <c r="AH82" s="533" t="s">
        <v>254</v>
      </c>
      <c r="AI82" s="534"/>
      <c r="AK82" s="550" t="s">
        <v>255</v>
      </c>
      <c r="AL82" s="551"/>
      <c r="AM82" s="551"/>
      <c r="AN82" s="552"/>
      <c r="AP82" s="547" t="s">
        <v>256</v>
      </c>
      <c r="AQ82" s="548"/>
      <c r="AR82" s="549"/>
      <c r="AT82" s="547" t="s">
        <v>256</v>
      </c>
      <c r="AU82" s="548"/>
      <c r="AV82" s="549"/>
      <c r="AX82" s="547" t="s">
        <v>256</v>
      </c>
      <c r="AY82" s="548"/>
      <c r="AZ82" s="549"/>
    </row>
    <row r="83" spans="1:52" ht="29.5" thickBot="1" x14ac:dyDescent="0.4">
      <c r="A83" s="251" t="str">
        <f t="shared" si="10"/>
        <v>33-G4</v>
      </c>
      <c r="B83" s="251" t="str">
        <f t="shared" si="11"/>
        <v>SEL</v>
      </c>
      <c r="C83" s="251">
        <f>INDEX('Site Data'!$S$7:$S$13,MATCH($A83,'Site Data'!$C$7:$C$13,0))</f>
        <v>20</v>
      </c>
      <c r="F83" s="505" t="s">
        <v>257</v>
      </c>
      <c r="G83" s="506"/>
      <c r="H83" s="507"/>
      <c r="J83" s="519" t="s">
        <v>258</v>
      </c>
      <c r="K83" s="520"/>
      <c r="L83" s="521"/>
      <c r="N83" s="332" t="s">
        <v>259</v>
      </c>
      <c r="O83" s="333" t="s">
        <v>260</v>
      </c>
      <c r="P83" s="333" t="s">
        <v>261</v>
      </c>
      <c r="Q83" s="334" t="s">
        <v>262</v>
      </c>
      <c r="S83" s="329" t="s">
        <v>259</v>
      </c>
      <c r="T83" s="330" t="s">
        <v>260</v>
      </c>
      <c r="U83" s="330" t="s">
        <v>261</v>
      </c>
      <c r="V83" s="331" t="s">
        <v>262</v>
      </c>
      <c r="X83" s="332" t="s">
        <v>134</v>
      </c>
      <c r="Y83" s="333" t="s">
        <v>263</v>
      </c>
      <c r="Z83" s="334" t="s">
        <v>264</v>
      </c>
      <c r="AB83" s="332" t="s">
        <v>265</v>
      </c>
      <c r="AC83" s="334" t="s">
        <v>266</v>
      </c>
      <c r="AE83" s="332" t="s">
        <v>265</v>
      </c>
      <c r="AF83" s="334" t="s">
        <v>266</v>
      </c>
      <c r="AH83" s="332" t="s">
        <v>265</v>
      </c>
      <c r="AI83" s="334" t="s">
        <v>266</v>
      </c>
      <c r="AK83" s="289" t="s">
        <v>267</v>
      </c>
      <c r="AL83" s="290" t="s">
        <v>268</v>
      </c>
      <c r="AM83" s="290" t="s">
        <v>269</v>
      </c>
      <c r="AN83" s="291" t="s">
        <v>270</v>
      </c>
      <c r="AP83" s="289" t="s">
        <v>134</v>
      </c>
      <c r="AQ83" s="290" t="s">
        <v>271</v>
      </c>
      <c r="AR83" s="291" t="s">
        <v>272</v>
      </c>
      <c r="AT83" s="289" t="s">
        <v>134</v>
      </c>
      <c r="AU83" s="290" t="s">
        <v>271</v>
      </c>
      <c r="AV83" s="291" t="s">
        <v>272</v>
      </c>
      <c r="AX83" s="289" t="s">
        <v>134</v>
      </c>
      <c r="AY83" s="290" t="s">
        <v>271</v>
      </c>
      <c r="AZ83" s="291" t="s">
        <v>272</v>
      </c>
    </row>
    <row r="84" spans="1:52" ht="15" thickBot="1" x14ac:dyDescent="0.4">
      <c r="A84" s="251" t="str">
        <f t="shared" si="10"/>
        <v>33-G4</v>
      </c>
      <c r="B84" s="251" t="str">
        <f t="shared" si="11"/>
        <v>SEL</v>
      </c>
      <c r="C84" s="251">
        <f>INDEX('Site Data'!$S$7:$S$13,MATCH($A84,'Site Data'!$C$7:$C$13,0))</f>
        <v>20</v>
      </c>
      <c r="E84" s="251" t="s">
        <v>165</v>
      </c>
      <c r="F84" s="258" t="s">
        <v>273</v>
      </c>
      <c r="G84" s="259" t="str">
        <f>G82</f>
        <v>N/A - SEL</v>
      </c>
      <c r="H84" s="260" t="s">
        <v>250</v>
      </c>
      <c r="J84" s="261" t="s">
        <v>274</v>
      </c>
      <c r="K84" s="303">
        <f>IF($B84="SPPA","N/A - SPPA",INDEX('Microgrid Proposal'!$A$32:$X$38,MATCH($A84,'Microgrid Proposal'!$D$32:$D$38,0),MATCH($E84,'Microgrid Proposal'!$A$31:$X$31,0)))</f>
        <v>0</v>
      </c>
      <c r="L84" s="304" t="s">
        <v>275</v>
      </c>
      <c r="N84" s="262">
        <v>1</v>
      </c>
      <c r="O84" s="293" t="str">
        <f>IF($B84="SEL","N/A - SEL",INDEX(Prod_Yr_1,MATCH($A84,'System Specification'!$D$14:$D$20,0)))</f>
        <v>N/A - SEL</v>
      </c>
      <c r="P84" s="293" t="str" cm="1">
        <f t="array" ref="P84">INDEX(PeGu!$B$24:$H$43,$S84,MATCH($A82,_xlfn.ANCHORARRAY(PeGu!$B$20),0))</f>
        <v>N/A - SEL</v>
      </c>
      <c r="Q84" s="294" t="str">
        <f>IF($B84="SEL","N/A - SEL",PeGu!$E$14*POWER(1+PeGu!$E$15,$S84-1))</f>
        <v>N/A - SEL</v>
      </c>
      <c r="S84" s="261">
        <v>1</v>
      </c>
      <c r="T84" s="296" t="str">
        <f>IF($B82="SEL","N/A -SEL",INDEX(Prod_Yr_1_PV_Only,MATCH($A82,'System Specification'!$D$14:$D$20,0)))</f>
        <v>N/A -SEL</v>
      </c>
      <c r="U84" s="296" t="str" cm="1">
        <f t="array" ref="U84">INDEX(PeGu!$B$52:$H$71,$S84,MATCH($A82,_xlfn.ANCHORARRAY(PeGu!$B$48),0))</f>
        <v>N/A - SEL</v>
      </c>
      <c r="V84" s="297" t="str">
        <f>IF($B84="SEL","N/A - SEL",PeGu!$E$14*POWER(1+PeGu!$E$15,$S84-1))</f>
        <v>N/A - SEL</v>
      </c>
      <c r="X84" s="262">
        <v>1</v>
      </c>
      <c r="Y84" s="293" t="str" cm="1">
        <f t="array" ref="Y84">IF($B84="SEL","N/A - SEL",INDEX(PeGu!$B$78:$H$97,$X84,MATCH($A82,PeGu!$B$76:$H$76,0)))</f>
        <v>N/A - SEL</v>
      </c>
      <c r="Z84" s="294" t="str">
        <f>IF($B84="SEL","N/A - SEL",PeGu!$K$12*POWER(1+PeGu!$K$13,$X84-1))</f>
        <v>N/A - SEL</v>
      </c>
      <c r="AB84" s="263">
        <v>1</v>
      </c>
      <c r="AC84" s="264" cm="1">
        <f t="array" ref="AC84">INDEX('Contract Early Termination'!$B$14:$H$33,$AB84,MATCH($A82,_xlfn.ANCHORARRAY('Contract Early Termination'!$B$10),0))</f>
        <v>0</v>
      </c>
      <c r="AE84" s="263">
        <v>1</v>
      </c>
      <c r="AF84" s="264" cm="1">
        <f t="array" ref="AF84">INDEX('Contract Early Termination'!$B$41:$H$60,$AE84,MATCH($A82,_xlfn.ANCHORARRAY('Contract Early Termination'!$B$37),0))</f>
        <v>0</v>
      </c>
      <c r="AH84" s="263">
        <v>1</v>
      </c>
      <c r="AI84" s="264" cm="1">
        <f t="array" ref="AI84">INDEX('Contract Early Termination'!$B$68:$H$87,$AB84,MATCH($A82,_xlfn.ANCHORARRAY('Contract Early Termination'!$B$64),0))</f>
        <v>0</v>
      </c>
      <c r="AK84" s="263">
        <v>1</v>
      </c>
      <c r="AL84" s="293">
        <f>IF($B84="SPPA","N/A - SPPA", INDEX(Prod_Yr_1,MATCH($A82,'System Specification'!$D$14:$D$20,0)))</f>
        <v>0</v>
      </c>
      <c r="AM84" s="293">
        <f>IF($B84="SPPA","N/A - SPPA", INDEX('System Specification'!$P$14:$P$20,MATCH($A82,'System Specification'!$D$14:$D$20,0)))</f>
        <v>0</v>
      </c>
      <c r="AN84" s="298" t="str" cm="1">
        <f t="array" ref="AN84">IF($B84="SPPA","N/A - SPPA",INDEX(PeGu!$B$78:$H$97,$AK84,MATCH($A82,PeGu!$B$76:$H$76,0)))</f>
        <v/>
      </c>
      <c r="AP84" s="262">
        <v>1</v>
      </c>
      <c r="AQ84" s="269">
        <f>IF($B84="SPPA","N/A - SPPA", INDEX('Microgrid Proposal'!$N$32:$N$38,MATCH($A84,'Microgrid Proposal'!$D$32:$D$38,0))*IF(AP84&lt;=$C84,1,0))</f>
        <v>0</v>
      </c>
      <c r="AR84" s="264">
        <f>IF($B84="SPPA","N/A - SPPA",AQ84*12)</f>
        <v>0</v>
      </c>
      <c r="AT84" s="262">
        <v>1</v>
      </c>
      <c r="AU84" s="269">
        <f>IF($B84="SPPA","N/A - SPPA", INDEX('Solar+Storage Proposal'!$N$32:$N$38,MATCH($A84,'Solar+Storage Proposal'!$D$32:$D$38,0))*IF(AT84&lt;=$C84,1,0))</f>
        <v>0</v>
      </c>
      <c r="AV84" s="264">
        <f>IF($B84="SPPA","N/A - SPPA",AU84*12)</f>
        <v>0</v>
      </c>
      <c r="AX84" s="262">
        <v>1</v>
      </c>
      <c r="AY84" s="269">
        <f>IF($B84="SPPA","N/A - SPPA", INDEX('Solar-Only Proposal'!$M$32:$M$38,MATCH($A84,'Solar-Only Proposal'!$D$32:$D$38,0))*IF(AX84&lt;=$C84,1,0))</f>
        <v>0</v>
      </c>
      <c r="AZ84" s="264">
        <f>IF($B84="SPPA","N/A - SPPA",AY84*12)</f>
        <v>0</v>
      </c>
    </row>
    <row r="85" spans="1:52" ht="15" thickBot="1" x14ac:dyDescent="0.4">
      <c r="A85" s="251" t="str">
        <f t="shared" si="10"/>
        <v>33-G4</v>
      </c>
      <c r="B85" s="251" t="str">
        <f t="shared" si="11"/>
        <v>SEL</v>
      </c>
      <c r="C85" s="251">
        <f>INDEX('Site Data'!$S$7:$S$13,MATCH($A85,'Site Data'!$C$7:$C$13,0))</f>
        <v>20</v>
      </c>
      <c r="E85" s="251" t="s">
        <v>192</v>
      </c>
      <c r="F85" s="502" t="s">
        <v>276</v>
      </c>
      <c r="G85" s="503"/>
      <c r="H85" s="504"/>
      <c r="J85" s="262" t="s">
        <v>277</v>
      </c>
      <c r="K85" s="269">
        <f>IF($B85="SPPA","N/A - SPPA",INDEX('Microgrid Proposal'!$A$32:$X$38,MATCH($A85,'Microgrid Proposal'!$D$32:$D$38,0),MATCH($E85,'Microgrid Proposal'!$A$31:$X$31,0)))</f>
        <v>0</v>
      </c>
      <c r="L85" s="270" t="s">
        <v>278</v>
      </c>
      <c r="N85" s="262">
        <v>2</v>
      </c>
      <c r="O85" s="293" t="str">
        <f>IF($B85="SEL","N/A - SEL",O84*(1-'System Specification'!$D$10)*IF(N85&lt;=$C85,1,0))</f>
        <v>N/A - SEL</v>
      </c>
      <c r="P85" s="293" t="str" cm="1">
        <f t="array" ref="P85">INDEX(PeGu!$B$24:$H$43,$S85,MATCH($A83,_xlfn.ANCHORARRAY(PeGu!$B$20),0))</f>
        <v>N/A - SEL</v>
      </c>
      <c r="Q85" s="294" t="str">
        <f>IF($B85="SEL","N/A - SEL",PeGu!$E$14*POWER(1+PeGu!$E$15,$S85-1))</f>
        <v>N/A - SEL</v>
      </c>
      <c r="S85" s="262">
        <v>2</v>
      </c>
      <c r="T85" s="293" t="str">
        <f>IF($B85="SEL","N/A - SEL",T84*(1-'System Specification'!$D$10)*IF(S85&lt;=$C85,1,0))</f>
        <v>N/A - SEL</v>
      </c>
      <c r="U85" s="293" t="str" cm="1">
        <f t="array" ref="U85">INDEX(PeGu!$B$52:$H$71,$S85,MATCH($A83,_xlfn.ANCHORARRAY(PeGu!$B$48),0))</f>
        <v>N/A - SEL</v>
      </c>
      <c r="V85" s="294" t="str">
        <f>IF($B85="SEL","N/A - SEL",PeGu!$E$14*POWER(1+PeGu!$E$15,$S85-1))</f>
        <v>N/A - SEL</v>
      </c>
      <c r="X85" s="262">
        <v>2</v>
      </c>
      <c r="Y85" s="293" t="str" cm="1">
        <f t="array" ref="Y85">IF($B85="SEL","N/A - SEL",INDEX(PeGu!$B$78:$H$97,$X85,MATCH($A83,PeGu!$B$76:$H$76,0)))</f>
        <v>N/A - SEL</v>
      </c>
      <c r="Z85" s="294" t="str">
        <f>IF($B85="SEL","N/A - SEL",PeGu!$K$12*POWER(1+PeGu!$K$13,$X85-1))</f>
        <v>N/A - SEL</v>
      </c>
      <c r="AB85" s="263">
        <v>2</v>
      </c>
      <c r="AC85" s="264" cm="1">
        <f t="array" ref="AC85">INDEX('Contract Early Termination'!$B$14:$H$33,$AB85,MATCH($A83,_xlfn.ANCHORARRAY('Contract Early Termination'!$B$10),0))</f>
        <v>0</v>
      </c>
      <c r="AE85" s="263">
        <v>2</v>
      </c>
      <c r="AF85" s="264" cm="1">
        <f t="array" ref="AF85">INDEX('Contract Early Termination'!$B$41:$H$60,$AE85,MATCH($A83,_xlfn.ANCHORARRAY('Contract Early Termination'!$B$37),0))</f>
        <v>0</v>
      </c>
      <c r="AH85" s="263">
        <v>2</v>
      </c>
      <c r="AI85" s="264" cm="1">
        <f t="array" ref="AI85">INDEX('Contract Early Termination'!$B$68:$H$87,$AB85,MATCH($A83,_xlfn.ANCHORARRAY('Contract Early Termination'!$B$64),0))</f>
        <v>0</v>
      </c>
      <c r="AK85" s="263">
        <v>2</v>
      </c>
      <c r="AL85" s="293">
        <f>IF($B85="SPPA","N/A - SPPA",AL84*(1-'System Specification'!$D$10)*IF(AK85&lt;=$C85,1,0))</f>
        <v>0</v>
      </c>
      <c r="AM85" s="293">
        <f>IF($B85="SPPA","N/A - SPPA",AM84*(1-INDEX('System Specification'!$Q$14:$Q$20,MATCH($A85,'System Specification'!$D$14:$D$20,0)))*IF(AK85&lt;=$C85,1,0))</f>
        <v>0</v>
      </c>
      <c r="AN85" s="298" t="str" cm="1">
        <f t="array" ref="AN85">IF($B85="SPPA","N/A - SPPA",INDEX(PeGu!$B$78:$H$97,$AK85,MATCH($A83,PeGu!$B$76:$H$76,0)))</f>
        <v/>
      </c>
      <c r="AP85" s="262">
        <v>2</v>
      </c>
      <c r="AQ85" s="269">
        <f>IF($B85="SPPA","N/A - SPPA", INDEX('Microgrid Proposal'!$N$32:$N$38,MATCH($A85,'Microgrid Proposal'!$D$32:$D$38,0))*IF(AP85&lt;=$C85,1,0))</f>
        <v>0</v>
      </c>
      <c r="AR85" s="264">
        <f t="shared" ref="AR85:AR103" si="12">IF($B85="SPPA","N/A - SPPA",AQ85*12)</f>
        <v>0</v>
      </c>
      <c r="AT85" s="262">
        <v>2</v>
      </c>
      <c r="AU85" s="269">
        <f>IF($B85="SPPA","N/A - SPPA", INDEX('Solar+Storage Proposal'!$N$32:$N$38,MATCH($A85,'Solar+Storage Proposal'!$D$32:$D$38,0))*IF(AT85&lt;=$C85,1,0))</f>
        <v>0</v>
      </c>
      <c r="AV85" s="264">
        <f t="shared" ref="AV85:AV103" si="13">IF($B85="SPPA","N/A - SPPA",AU85*12)</f>
        <v>0</v>
      </c>
      <c r="AX85" s="262">
        <v>2</v>
      </c>
      <c r="AY85" s="269">
        <f>IF($B85="SPPA","N/A - SPPA", INDEX('Solar-Only Proposal'!$M$32:$M$38,MATCH($A85,'Solar-Only Proposal'!$D$32:$D$38,0))*IF(AX85&lt;=$C85,1,0))</f>
        <v>0</v>
      </c>
      <c r="AZ85" s="264">
        <f t="shared" ref="AZ85:AZ103" si="14">IF($B85="SPPA","N/A - SPPA",AY85*12)</f>
        <v>0</v>
      </c>
    </row>
    <row r="86" spans="1:52" ht="15" thickBot="1" x14ac:dyDescent="0.4">
      <c r="A86" s="251" t="str">
        <f t="shared" si="10"/>
        <v>33-G4</v>
      </c>
      <c r="B86" s="251" t="str">
        <f t="shared" si="11"/>
        <v>SEL</v>
      </c>
      <c r="C86" s="251">
        <f>INDEX('Site Data'!$S$7:$S$13,MATCH($A86,'Site Data'!$C$7:$C$13,0))</f>
        <v>20</v>
      </c>
      <c r="D86" s="251" t="s">
        <v>188</v>
      </c>
      <c r="E86" s="251" t="s">
        <v>193</v>
      </c>
      <c r="F86" s="266" t="s">
        <v>279</v>
      </c>
      <c r="G86" s="267" t="str">
        <f>IF($B86="SEL","N/A - SEL",INDEX('Microgrid Proposal'!$A$32:$X$38,MATCH($A86,'Microgrid Proposal'!$D$32:$D$38,0),MATCH($D86,'Microgrid Proposal'!$A$31:$X$31,0)))</f>
        <v>N/A - SEL</v>
      </c>
      <c r="H86" s="268" t="s">
        <v>280</v>
      </c>
      <c r="J86" s="258" t="s">
        <v>277</v>
      </c>
      <c r="K86" s="300">
        <f>IF($B86="SPPA","N/A - SPPA",INDEX('Microgrid Proposal'!$A$32:$X$38,MATCH($A86,'Microgrid Proposal'!$D$32:$D$38,0),MATCH($E86,'Microgrid Proposal'!$A$31:$X$31,0)))</f>
        <v>0</v>
      </c>
      <c r="L86" s="260" t="s">
        <v>281</v>
      </c>
      <c r="N86" s="262">
        <v>3</v>
      </c>
      <c r="O86" s="293" t="str">
        <f>IF($B86="SEL","N/A - SEL",O85*(1-'System Specification'!$D$10)*IF(N86&lt;=$C86,1,0))</f>
        <v>N/A - SEL</v>
      </c>
      <c r="P86" s="293" t="str" cm="1">
        <f t="array" ref="P86">INDEX(PeGu!$B$24:$H$43,$S86,MATCH($A84,_xlfn.ANCHORARRAY(PeGu!$B$20),0))</f>
        <v>N/A - SEL</v>
      </c>
      <c r="Q86" s="294" t="str">
        <f>IF($B86="SEL","N/A - SEL",PeGu!$E$14*POWER(1+PeGu!$E$15,$S86-1))</f>
        <v>N/A - SEL</v>
      </c>
      <c r="S86" s="262">
        <v>3</v>
      </c>
      <c r="T86" s="293" t="str">
        <f>IF($B86="SEL","N/A - SEL",T85*(1-'System Specification'!$D$10)*IF(S86&lt;=$C86,1,0))</f>
        <v>N/A - SEL</v>
      </c>
      <c r="U86" s="293" t="str" cm="1">
        <f t="array" ref="U86">INDEX(PeGu!$B$52:$H$71,$S86,MATCH($A84,_xlfn.ANCHORARRAY(PeGu!$B$48),0))</f>
        <v>N/A - SEL</v>
      </c>
      <c r="V86" s="294" t="str">
        <f>IF($B86="SEL","N/A - SEL",PeGu!$E$14*POWER(1+PeGu!$E$15,$S86-1))</f>
        <v>N/A - SEL</v>
      </c>
      <c r="X86" s="262">
        <v>3</v>
      </c>
      <c r="Y86" s="293" t="str" cm="1">
        <f t="array" ref="Y86">IF($B86="SEL","N/A - SEL",INDEX(PeGu!$B$78:$H$97,$X86,MATCH($A84,PeGu!$B$76:$H$76,0)))</f>
        <v>N/A - SEL</v>
      </c>
      <c r="Z86" s="294" t="str">
        <f>IF($B86="SEL","N/A - SEL",PeGu!$K$12*POWER(1+PeGu!$K$13,$X86-1))</f>
        <v>N/A - SEL</v>
      </c>
      <c r="AB86" s="263">
        <v>3</v>
      </c>
      <c r="AC86" s="264" cm="1">
        <f t="array" ref="AC86">INDEX('Contract Early Termination'!$B$14:$H$33,$AB86,MATCH($A84,_xlfn.ANCHORARRAY('Contract Early Termination'!$B$10),0))</f>
        <v>0</v>
      </c>
      <c r="AE86" s="263">
        <v>3</v>
      </c>
      <c r="AF86" s="264" cm="1">
        <f t="array" ref="AF86">INDEX('Contract Early Termination'!$B$41:$H$60,$AE86,MATCH($A84,_xlfn.ANCHORARRAY('Contract Early Termination'!$B$37),0))</f>
        <v>0</v>
      </c>
      <c r="AH86" s="263">
        <v>3</v>
      </c>
      <c r="AI86" s="264" cm="1">
        <f t="array" ref="AI86">INDEX('Contract Early Termination'!$B$68:$H$87,$AB86,MATCH($A84,_xlfn.ANCHORARRAY('Contract Early Termination'!$B$64),0))</f>
        <v>0</v>
      </c>
      <c r="AK86" s="263">
        <v>3</v>
      </c>
      <c r="AL86" s="293">
        <f>IF($B86="SPPA","N/A - SPPA",AL85*(1-'System Specification'!$D$10)*IF(AK86&lt;=$C86,1,0))</f>
        <v>0</v>
      </c>
      <c r="AM86" s="293">
        <f>IF($B86="SPPA","N/A - SPPA",AM85*(1-INDEX('System Specification'!$Q$14:$Q$20,MATCH($A86,'System Specification'!$D$14:$D$20,0)))*IF(AK86&lt;=$C86,1,0))</f>
        <v>0</v>
      </c>
      <c r="AN86" s="298" t="str" cm="1">
        <f t="array" ref="AN86">IF($B86="SPPA","N/A - SPPA",INDEX(PeGu!$B$78:$H$97,$AK86,MATCH($A84,PeGu!$B$76:$H$76,0)))</f>
        <v/>
      </c>
      <c r="AP86" s="262">
        <v>3</v>
      </c>
      <c r="AQ86" s="269">
        <f>IF($B86="SPPA","N/A - SPPA", INDEX('Microgrid Proposal'!$N$32:$N$38,MATCH($A86,'Microgrid Proposal'!$D$32:$D$38,0))*IF(AP86&lt;=$C86,1,0))</f>
        <v>0</v>
      </c>
      <c r="AR86" s="264">
        <f t="shared" si="12"/>
        <v>0</v>
      </c>
      <c r="AT86" s="262">
        <v>3</v>
      </c>
      <c r="AU86" s="269">
        <f>IF($B86="SPPA","N/A - SPPA", INDEX('Solar+Storage Proposal'!$N$32:$N$38,MATCH($A86,'Solar+Storage Proposal'!$D$32:$D$38,0))*IF(AT86&lt;=$C86,1,0))</f>
        <v>0</v>
      </c>
      <c r="AV86" s="264">
        <f t="shared" si="13"/>
        <v>0</v>
      </c>
      <c r="AX86" s="262">
        <v>3</v>
      </c>
      <c r="AY86" s="269">
        <f>IF($B86="SPPA","N/A - SPPA", INDEX('Solar-Only Proposal'!$M$32:$M$38,MATCH($A86,'Solar-Only Proposal'!$D$32:$D$38,0))*IF(AX86&lt;=$C86,1,0))</f>
        <v>0</v>
      </c>
      <c r="AZ86" s="264">
        <f t="shared" si="14"/>
        <v>0</v>
      </c>
    </row>
    <row r="87" spans="1:52" ht="15" thickBot="1" x14ac:dyDescent="0.4">
      <c r="A87" s="251" t="str">
        <f t="shared" si="10"/>
        <v>33-G4</v>
      </c>
      <c r="B87" s="251" t="str">
        <f t="shared" si="11"/>
        <v>SEL</v>
      </c>
      <c r="C87" s="251">
        <f>INDEX('Site Data'!$S$7:$S$13,MATCH($A87,'Site Data'!$C$7:$C$13,0))</f>
        <v>20</v>
      </c>
      <c r="D87" s="251" t="s">
        <v>165</v>
      </c>
      <c r="F87" s="262" t="s">
        <v>282</v>
      </c>
      <c r="G87" s="269" t="str">
        <f>IF($B87="SEL","N/A - SEL",INDEX('Microgrid Proposal'!$A$32:$X$38,MATCH($A87,'Microgrid Proposal'!$D$32:$D$38,0),MATCH($D87,'Microgrid Proposal'!$A$31:$X$31,0)))</f>
        <v>N/A - SEL</v>
      </c>
      <c r="H87" s="270" t="s">
        <v>275</v>
      </c>
      <c r="J87" s="519" t="s">
        <v>283</v>
      </c>
      <c r="K87" s="520"/>
      <c r="L87" s="521"/>
      <c r="N87" s="262">
        <v>4</v>
      </c>
      <c r="O87" s="293" t="str">
        <f>IF($B87="SEL","N/A - SEL",O86*(1-'System Specification'!$D$10)*IF(N87&lt;=$C87,1,0))</f>
        <v>N/A - SEL</v>
      </c>
      <c r="P87" s="293" t="str" cm="1">
        <f t="array" ref="P87">INDEX(PeGu!$B$24:$H$43,$S87,MATCH($A85,_xlfn.ANCHORARRAY(PeGu!$B$20),0))</f>
        <v>N/A - SEL</v>
      </c>
      <c r="Q87" s="294" t="str">
        <f>IF($B87="SEL","N/A - SEL",PeGu!$E$14*POWER(1+PeGu!$E$15,$S87-1))</f>
        <v>N/A - SEL</v>
      </c>
      <c r="S87" s="262">
        <v>4</v>
      </c>
      <c r="T87" s="293" t="str">
        <f>IF($B87="SEL","N/A - SEL",T86*(1-'System Specification'!$D$10)*IF(S87&lt;=$C87,1,0))</f>
        <v>N/A - SEL</v>
      </c>
      <c r="U87" s="293" t="str" cm="1">
        <f t="array" ref="U87">INDEX(PeGu!$B$52:$H$71,$S87,MATCH($A85,_xlfn.ANCHORARRAY(PeGu!$B$48),0))</f>
        <v>N/A - SEL</v>
      </c>
      <c r="V87" s="294" t="str">
        <f>IF($B87="SEL","N/A - SEL",PeGu!$E$14*POWER(1+PeGu!$E$15,$S87-1))</f>
        <v>N/A - SEL</v>
      </c>
      <c r="X87" s="262">
        <v>4</v>
      </c>
      <c r="Y87" s="293" t="str" cm="1">
        <f t="array" ref="Y87">IF($B87="SEL","N/A - SEL",INDEX(PeGu!$B$78:$H$97,$X87,MATCH($A85,PeGu!$B$76:$H$76,0)))</f>
        <v>N/A - SEL</v>
      </c>
      <c r="Z87" s="294" t="str">
        <f>IF($B87="SEL","N/A - SEL",PeGu!$K$12*POWER(1+PeGu!$K$13,$X87-1))</f>
        <v>N/A - SEL</v>
      </c>
      <c r="AB87" s="263">
        <v>4</v>
      </c>
      <c r="AC87" s="264" cm="1">
        <f t="array" ref="AC87">INDEX('Contract Early Termination'!$B$14:$H$33,$AB87,MATCH($A85,_xlfn.ANCHORARRAY('Contract Early Termination'!$B$10),0))</f>
        <v>0</v>
      </c>
      <c r="AE87" s="263">
        <v>4</v>
      </c>
      <c r="AF87" s="264" cm="1">
        <f t="array" ref="AF87">INDEX('Contract Early Termination'!$B$41:$H$60,$AE87,MATCH($A85,_xlfn.ANCHORARRAY('Contract Early Termination'!$B$37),0))</f>
        <v>0</v>
      </c>
      <c r="AH87" s="263">
        <v>4</v>
      </c>
      <c r="AI87" s="264" cm="1">
        <f t="array" ref="AI87">INDEX('Contract Early Termination'!$B$68:$H$87,$AB87,MATCH($A85,_xlfn.ANCHORARRAY('Contract Early Termination'!$B$64),0))</f>
        <v>0</v>
      </c>
      <c r="AK87" s="263">
        <v>4</v>
      </c>
      <c r="AL87" s="293">
        <f>IF($B87="SPPA","N/A - SPPA",AL86*(1-'System Specification'!$D$10)*IF(AK87&lt;=$C87,1,0))</f>
        <v>0</v>
      </c>
      <c r="AM87" s="293">
        <f>IF($B87="SPPA","N/A - SPPA",AM86*(1-INDEX('System Specification'!$Q$14:$Q$20,MATCH($A87,'System Specification'!$D$14:$D$20,0)))*IF(AK87&lt;=$C87,1,0))</f>
        <v>0</v>
      </c>
      <c r="AN87" s="298" t="str" cm="1">
        <f t="array" ref="AN87">IF($B87="SPPA","N/A - SPPA",INDEX(PeGu!$B$78:$H$97,$AK87,MATCH($A85,PeGu!$B$76:$H$76,0)))</f>
        <v/>
      </c>
      <c r="AP87" s="262">
        <v>4</v>
      </c>
      <c r="AQ87" s="269">
        <f>IF($B87="SPPA","N/A - SPPA", INDEX('Microgrid Proposal'!$N$32:$N$38,MATCH($A87,'Microgrid Proposal'!$D$32:$D$38,0))*IF(AP87&lt;=$C87,1,0))</f>
        <v>0</v>
      </c>
      <c r="AR87" s="264">
        <f t="shared" si="12"/>
        <v>0</v>
      </c>
      <c r="AT87" s="262">
        <v>4</v>
      </c>
      <c r="AU87" s="269">
        <f>IF($B87="SPPA","N/A - SPPA", INDEX('Solar+Storage Proposal'!$N$32:$N$38,MATCH($A87,'Solar+Storage Proposal'!$D$32:$D$38,0))*IF(AT87&lt;=$C87,1,0))</f>
        <v>0</v>
      </c>
      <c r="AV87" s="264">
        <f t="shared" si="13"/>
        <v>0</v>
      </c>
      <c r="AX87" s="262">
        <v>4</v>
      </c>
      <c r="AY87" s="269">
        <f>IF($B87="SPPA","N/A - SPPA", INDEX('Solar-Only Proposal'!$M$32:$M$38,MATCH($A87,'Solar-Only Proposal'!$D$32:$D$38,0))*IF(AX87&lt;=$C87,1,0))</f>
        <v>0</v>
      </c>
      <c r="AZ87" s="264">
        <f t="shared" si="14"/>
        <v>0</v>
      </c>
    </row>
    <row r="88" spans="1:52" x14ac:dyDescent="0.35">
      <c r="A88" s="251" t="str">
        <f t="shared" si="10"/>
        <v>33-G4</v>
      </c>
      <c r="B88" s="251" t="str">
        <f t="shared" si="11"/>
        <v>SEL</v>
      </c>
      <c r="C88" s="251">
        <f>INDEX('Site Data'!$S$7:$S$13,MATCH($A88,'Site Data'!$C$7:$C$13,0))</f>
        <v>20</v>
      </c>
      <c r="D88" s="251" t="s">
        <v>189</v>
      </c>
      <c r="E88" s="251" t="s">
        <v>165</v>
      </c>
      <c r="F88" s="262" t="s">
        <v>284</v>
      </c>
      <c r="G88" s="271" t="str">
        <f>IF($B88="SEL","N/A - SEL",INDEX('Microgrid Proposal'!$A$32:$X$38,MATCH($A88,'Microgrid Proposal'!$D$32:$D$38,0),MATCH($D88,'Microgrid Proposal'!$A$31:$X$31,0)))</f>
        <v>N/A - SEL</v>
      </c>
      <c r="H88" s="270" t="s">
        <v>285</v>
      </c>
      <c r="J88" s="261" t="s">
        <v>274</v>
      </c>
      <c r="K88" s="303">
        <f>IF($B88="SPPA","N/A - SPPA",INDEX('Solar+Storage Proposal'!$A$32:$X$38,MATCH($A88,'Solar+Storage Proposal'!$D$32:$D$38,0),MATCH($E88,'Solar+Storage Proposal'!$A$31:$X$31,0)))</f>
        <v>0</v>
      </c>
      <c r="L88" s="304" t="s">
        <v>275</v>
      </c>
      <c r="N88" s="262">
        <v>5</v>
      </c>
      <c r="O88" s="293" t="str">
        <f>IF($B88="SEL","N/A - SEL",O87*(1-'System Specification'!$D$10)*IF(N88&lt;=$C88,1,0))</f>
        <v>N/A - SEL</v>
      </c>
      <c r="P88" s="293" t="str" cm="1">
        <f t="array" ref="P88">INDEX(PeGu!$B$24:$H$43,$S88,MATCH($A86,_xlfn.ANCHORARRAY(PeGu!$B$20),0))</f>
        <v>N/A - SEL</v>
      </c>
      <c r="Q88" s="294" t="str">
        <f>IF($B88="SEL","N/A - SEL",PeGu!$E$14*POWER(1+PeGu!$E$15,$S88-1))</f>
        <v>N/A - SEL</v>
      </c>
      <c r="S88" s="262">
        <v>5</v>
      </c>
      <c r="T88" s="293" t="str">
        <f>IF($B88="SEL","N/A - SEL",T87*(1-'System Specification'!$D$10)*IF(S88&lt;=$C88,1,0))</f>
        <v>N/A - SEL</v>
      </c>
      <c r="U88" s="293" t="str" cm="1">
        <f t="array" ref="U88">INDEX(PeGu!$B$52:$H$71,$S88,MATCH($A86,_xlfn.ANCHORARRAY(PeGu!$B$48),0))</f>
        <v>N/A - SEL</v>
      </c>
      <c r="V88" s="294" t="str">
        <f>IF($B88="SEL","N/A - SEL",PeGu!$E$14*POWER(1+PeGu!$E$15,$S88-1))</f>
        <v>N/A - SEL</v>
      </c>
      <c r="X88" s="262">
        <v>5</v>
      </c>
      <c r="Y88" s="293" t="str" cm="1">
        <f t="array" ref="Y88">IF($B88="SEL","N/A - SEL",INDEX(PeGu!$B$78:$H$97,$X88,MATCH($A86,PeGu!$B$76:$H$76,0)))</f>
        <v>N/A - SEL</v>
      </c>
      <c r="Z88" s="294" t="str">
        <f>IF($B88="SEL","N/A - SEL",PeGu!$K$12*POWER(1+PeGu!$K$13,$X88-1))</f>
        <v>N/A - SEL</v>
      </c>
      <c r="AB88" s="263">
        <v>5</v>
      </c>
      <c r="AC88" s="264" cm="1">
        <f t="array" ref="AC88">INDEX('Contract Early Termination'!$B$14:$H$33,$AB88,MATCH($A86,_xlfn.ANCHORARRAY('Contract Early Termination'!$B$10),0))</f>
        <v>0</v>
      </c>
      <c r="AE88" s="263">
        <v>5</v>
      </c>
      <c r="AF88" s="264" cm="1">
        <f t="array" ref="AF88">INDEX('Contract Early Termination'!$B$41:$H$60,$AE88,MATCH($A86,_xlfn.ANCHORARRAY('Contract Early Termination'!$B$37),0))</f>
        <v>0</v>
      </c>
      <c r="AH88" s="263">
        <v>5</v>
      </c>
      <c r="AI88" s="264" cm="1">
        <f t="array" ref="AI88">INDEX('Contract Early Termination'!$B$68:$H$87,$AB88,MATCH($A86,_xlfn.ANCHORARRAY('Contract Early Termination'!$B$64),0))</f>
        <v>0</v>
      </c>
      <c r="AK88" s="263">
        <v>5</v>
      </c>
      <c r="AL88" s="293">
        <f>IF($B88="SPPA","N/A - SPPA",AL87*(1-'System Specification'!$D$10)*IF(AK88&lt;=$C88,1,0))</f>
        <v>0</v>
      </c>
      <c r="AM88" s="293">
        <f>IF($B88="SPPA","N/A - SPPA",AM87*(1-INDEX('System Specification'!$Q$14:$Q$20,MATCH($A88,'System Specification'!$D$14:$D$20,0)))*IF(AK88&lt;=$C88,1,0))</f>
        <v>0</v>
      </c>
      <c r="AN88" s="298" t="str" cm="1">
        <f t="array" ref="AN88">IF($B88="SPPA","N/A - SPPA",INDEX(PeGu!$B$78:$H$97,$AK88,MATCH($A86,PeGu!$B$76:$H$76,0)))</f>
        <v/>
      </c>
      <c r="AP88" s="262">
        <v>5</v>
      </c>
      <c r="AQ88" s="269">
        <f>IF($B88="SPPA","N/A - SPPA", INDEX('Microgrid Proposal'!$N$32:$N$38,MATCH($A88,'Microgrid Proposal'!$D$32:$D$38,0))*IF(AP88&lt;=$C88,1,0))</f>
        <v>0</v>
      </c>
      <c r="AR88" s="264">
        <f t="shared" si="12"/>
        <v>0</v>
      </c>
      <c r="AT88" s="262">
        <v>5</v>
      </c>
      <c r="AU88" s="269">
        <f>IF($B88="SPPA","N/A - SPPA", INDEX('Solar+Storage Proposal'!$N$32:$N$38,MATCH($A88,'Solar+Storage Proposal'!$D$32:$D$38,0))*IF(AT88&lt;=$C88,1,0))</f>
        <v>0</v>
      </c>
      <c r="AV88" s="264">
        <f t="shared" si="13"/>
        <v>0</v>
      </c>
      <c r="AX88" s="262">
        <v>5</v>
      </c>
      <c r="AY88" s="269">
        <f>IF($B88="SPPA","N/A - SPPA", INDEX('Solar-Only Proposal'!$M$32:$M$38,MATCH($A88,'Solar-Only Proposal'!$D$32:$D$38,0))*IF(AX88&lt;=$C88,1,0))</f>
        <v>0</v>
      </c>
      <c r="AZ88" s="264">
        <f t="shared" si="14"/>
        <v>0</v>
      </c>
    </row>
    <row r="89" spans="1:52" ht="15" thickBot="1" x14ac:dyDescent="0.4">
      <c r="A89" s="251" t="str">
        <f t="shared" si="10"/>
        <v>33-G4</v>
      </c>
      <c r="B89" s="251" t="str">
        <f t="shared" si="11"/>
        <v>SEL</v>
      </c>
      <c r="C89" s="251">
        <f>INDEX('Site Data'!$S$7:$S$13,MATCH($A89,'Site Data'!$C$7:$C$13,0))</f>
        <v>20</v>
      </c>
      <c r="D89" s="251" t="s">
        <v>190</v>
      </c>
      <c r="E89" s="251" t="s">
        <v>192</v>
      </c>
      <c r="F89" s="258" t="s">
        <v>284</v>
      </c>
      <c r="G89" s="272" t="str">
        <f>IF($B89="SEL","N/A - SEL",INDEX('Microgrid Proposal'!$A$32:$X$38,MATCH($A89,'Microgrid Proposal'!$D$32:$D$38,0),MATCH($D89,'Microgrid Proposal'!$A$31:$X$31,0)))</f>
        <v>N/A - SEL</v>
      </c>
      <c r="H89" s="260" t="s">
        <v>286</v>
      </c>
      <c r="J89" s="262" t="s">
        <v>277</v>
      </c>
      <c r="K89" s="269">
        <f>IF($B89="SPPA","N/A - SPPA",INDEX('Solar+Storage Proposal'!$A$32:$X$38,MATCH($A89,'Solar+Storage Proposal'!$D$32:$D$38,0),MATCH($E89,'Solar+Storage Proposal'!$A$31:$X$31,0)))</f>
        <v>0</v>
      </c>
      <c r="L89" s="270" t="s">
        <v>278</v>
      </c>
      <c r="N89" s="262">
        <v>6</v>
      </c>
      <c r="O89" s="293" t="str">
        <f>IF($B89="SEL","N/A - SEL",O88*(1-'System Specification'!$D$10)*IF(N89&lt;=$C89,1,0))</f>
        <v>N/A - SEL</v>
      </c>
      <c r="P89" s="293" t="str" cm="1">
        <f t="array" ref="P89">INDEX(PeGu!$B$24:$H$43,$S89,MATCH($A87,_xlfn.ANCHORARRAY(PeGu!$B$20),0))</f>
        <v>N/A - SEL</v>
      </c>
      <c r="Q89" s="294" t="str">
        <f>IF($B89="SEL","N/A - SEL",PeGu!$E$14*POWER(1+PeGu!$E$15,$S89-1))</f>
        <v>N/A - SEL</v>
      </c>
      <c r="S89" s="262">
        <v>6</v>
      </c>
      <c r="T89" s="293" t="str">
        <f>IF($B89="SEL","N/A - SEL",T88*(1-'System Specification'!$D$10)*IF(S89&lt;=$C89,1,0))</f>
        <v>N/A - SEL</v>
      </c>
      <c r="U89" s="293" t="str" cm="1">
        <f t="array" ref="U89">INDEX(PeGu!$B$52:$H$71,$S89,MATCH($A87,_xlfn.ANCHORARRAY(PeGu!$B$48),0))</f>
        <v>N/A - SEL</v>
      </c>
      <c r="V89" s="294" t="str">
        <f>IF($B89="SEL","N/A - SEL",PeGu!$E$14*POWER(1+PeGu!$E$15,$S89-1))</f>
        <v>N/A - SEL</v>
      </c>
      <c r="X89" s="262">
        <v>6</v>
      </c>
      <c r="Y89" s="293" t="str" cm="1">
        <f t="array" ref="Y89">IF($B89="SEL","N/A - SEL",INDEX(PeGu!$B$78:$H$97,$X89,MATCH($A87,PeGu!$B$76:$H$76,0)))</f>
        <v>N/A - SEL</v>
      </c>
      <c r="Z89" s="294" t="str">
        <f>IF($B89="SEL","N/A - SEL",PeGu!$K$12*POWER(1+PeGu!$K$13,$X89-1))</f>
        <v>N/A - SEL</v>
      </c>
      <c r="AB89" s="263">
        <v>6</v>
      </c>
      <c r="AC89" s="264" cm="1">
        <f t="array" ref="AC89">INDEX('Contract Early Termination'!$B$14:$H$33,$AB89,MATCH($A87,_xlfn.ANCHORARRAY('Contract Early Termination'!$B$10),0))</f>
        <v>0</v>
      </c>
      <c r="AE89" s="263">
        <v>6</v>
      </c>
      <c r="AF89" s="264" cm="1">
        <f t="array" ref="AF89">INDEX('Contract Early Termination'!$B$41:$H$60,$AE89,MATCH($A87,_xlfn.ANCHORARRAY('Contract Early Termination'!$B$37),0))</f>
        <v>0</v>
      </c>
      <c r="AH89" s="263">
        <v>6</v>
      </c>
      <c r="AI89" s="264" cm="1">
        <f t="array" ref="AI89">INDEX('Contract Early Termination'!$B$68:$H$87,$AB89,MATCH($A87,_xlfn.ANCHORARRAY('Contract Early Termination'!$B$64),0))</f>
        <v>0</v>
      </c>
      <c r="AK89" s="263">
        <v>6</v>
      </c>
      <c r="AL89" s="293">
        <f>IF($B89="SPPA","N/A - SPPA",AL88*(1-'System Specification'!$D$10)*IF(AK89&lt;=$C89,1,0))</f>
        <v>0</v>
      </c>
      <c r="AM89" s="293">
        <f>IF($B89="SPPA","N/A - SPPA",AM88*(1-INDEX('System Specification'!$Q$14:$Q$20,MATCH($A89,'System Specification'!$D$14:$D$20,0)))*IF(AK89&lt;=$C89,1,0))</f>
        <v>0</v>
      </c>
      <c r="AN89" s="298" t="str" cm="1">
        <f t="array" ref="AN89">IF($B89="SPPA","N/A - SPPA",INDEX(PeGu!$B$78:$H$97,$AK89,MATCH($A87,PeGu!$B$76:$H$76,0)))</f>
        <v/>
      </c>
      <c r="AP89" s="262">
        <v>6</v>
      </c>
      <c r="AQ89" s="269">
        <f>IF($B89="SPPA","N/A - SPPA", INDEX('Microgrid Proposal'!$N$32:$N$38,MATCH($A89,'Microgrid Proposal'!$D$32:$D$38,0))*IF(AP89&lt;=$C89,1,0))</f>
        <v>0</v>
      </c>
      <c r="AR89" s="264">
        <f t="shared" si="12"/>
        <v>0</v>
      </c>
      <c r="AT89" s="262">
        <v>6</v>
      </c>
      <c r="AU89" s="269">
        <f>IF($B89="SPPA","N/A - SPPA", INDEX('Solar+Storage Proposal'!$N$32:$N$38,MATCH($A89,'Solar+Storage Proposal'!$D$32:$D$38,0))*IF(AT89&lt;=$C89,1,0))</f>
        <v>0</v>
      </c>
      <c r="AV89" s="264">
        <f t="shared" si="13"/>
        <v>0</v>
      </c>
      <c r="AX89" s="262">
        <v>6</v>
      </c>
      <c r="AY89" s="269">
        <f>IF($B89="SPPA","N/A - SPPA", INDEX('Solar-Only Proposal'!$M$32:$M$38,MATCH($A89,'Solar-Only Proposal'!$D$32:$D$38,0))*IF(AX89&lt;=$C89,1,0))</f>
        <v>0</v>
      </c>
      <c r="AZ89" s="264">
        <f t="shared" si="14"/>
        <v>0</v>
      </c>
    </row>
    <row r="90" spans="1:52" ht="15" thickBot="1" x14ac:dyDescent="0.4">
      <c r="A90" s="251" t="str">
        <f t="shared" si="10"/>
        <v>33-G4</v>
      </c>
      <c r="B90" s="251" t="str">
        <f t="shared" si="11"/>
        <v>SEL</v>
      </c>
      <c r="C90" s="251">
        <f>INDEX('Site Data'!$S$7:$S$13,MATCH($A90,'Site Data'!$C$7:$C$13,0))</f>
        <v>20</v>
      </c>
      <c r="E90" s="251" t="s">
        <v>193</v>
      </c>
      <c r="F90" s="538" t="s">
        <v>287</v>
      </c>
      <c r="G90" s="539"/>
      <c r="H90" s="540"/>
      <c r="J90" s="258" t="s">
        <v>277</v>
      </c>
      <c r="K90" s="300">
        <f>IF($B90="SPPA","N/A - SPPA",INDEX('Solar+Storage Proposal'!$A$32:$X$38,MATCH($A90,'Solar+Storage Proposal'!$D$32:$D$38,0),MATCH($E90,'Solar+Storage Proposal'!$A$31:$X$31,0)))</f>
        <v>0</v>
      </c>
      <c r="L90" s="260" t="s">
        <v>281</v>
      </c>
      <c r="N90" s="262">
        <v>7</v>
      </c>
      <c r="O90" s="293" t="str">
        <f>IF($B90="SEL","N/A - SEL",O89*(1-'System Specification'!$D$10)*IF(N90&lt;=$C90,1,0))</f>
        <v>N/A - SEL</v>
      </c>
      <c r="P90" s="293" t="str" cm="1">
        <f t="array" ref="P90">INDEX(PeGu!$B$24:$H$43,$S90,MATCH($A88,_xlfn.ANCHORARRAY(PeGu!$B$20),0))</f>
        <v>N/A - SEL</v>
      </c>
      <c r="Q90" s="294" t="str">
        <f>IF($B90="SEL","N/A - SEL",PeGu!$E$14*POWER(1+PeGu!$E$15,$S90-1))</f>
        <v>N/A - SEL</v>
      </c>
      <c r="S90" s="262">
        <v>7</v>
      </c>
      <c r="T90" s="293" t="str">
        <f>IF($B90="SEL","N/A - SEL",T89*(1-'System Specification'!$D$10)*IF(S90&lt;=$C90,1,0))</f>
        <v>N/A - SEL</v>
      </c>
      <c r="U90" s="293" t="str" cm="1">
        <f t="array" ref="U90">INDEX(PeGu!$B$52:$H$71,$S90,MATCH($A88,_xlfn.ANCHORARRAY(PeGu!$B$48),0))</f>
        <v>N/A - SEL</v>
      </c>
      <c r="V90" s="294" t="str">
        <f>IF($B90="SEL","N/A - SEL",PeGu!$E$14*POWER(1+PeGu!$E$15,$S90-1))</f>
        <v>N/A - SEL</v>
      </c>
      <c r="X90" s="262">
        <v>7</v>
      </c>
      <c r="Y90" s="293" t="str" cm="1">
        <f t="array" ref="Y90">IF($B90="SEL","N/A - SEL",INDEX(PeGu!$B$78:$H$97,$X90,MATCH($A88,PeGu!$B$76:$H$76,0)))</f>
        <v>N/A - SEL</v>
      </c>
      <c r="Z90" s="294" t="str">
        <f>IF($B90="SEL","N/A - SEL",PeGu!$K$12*POWER(1+PeGu!$K$13,$X90-1))</f>
        <v>N/A - SEL</v>
      </c>
      <c r="AB90" s="263">
        <v>7</v>
      </c>
      <c r="AC90" s="264" cm="1">
        <f t="array" ref="AC90">INDEX('Contract Early Termination'!$B$14:$H$33,$AB90,MATCH($A88,_xlfn.ANCHORARRAY('Contract Early Termination'!$B$10),0))</f>
        <v>0</v>
      </c>
      <c r="AE90" s="263">
        <v>7</v>
      </c>
      <c r="AF90" s="264" cm="1">
        <f t="array" ref="AF90">INDEX('Contract Early Termination'!$B$41:$H$60,$AE90,MATCH($A88,_xlfn.ANCHORARRAY('Contract Early Termination'!$B$37),0))</f>
        <v>0</v>
      </c>
      <c r="AH90" s="263">
        <v>7</v>
      </c>
      <c r="AI90" s="264" cm="1">
        <f t="array" ref="AI90">INDEX('Contract Early Termination'!$B$68:$H$87,$AB90,MATCH($A88,_xlfn.ANCHORARRAY('Contract Early Termination'!$B$64),0))</f>
        <v>0</v>
      </c>
      <c r="AK90" s="263">
        <v>7</v>
      </c>
      <c r="AL90" s="293">
        <f>IF($B90="SPPA","N/A - SPPA",AL89*(1-'System Specification'!$D$10)*IF(AK90&lt;=$C90,1,0))</f>
        <v>0</v>
      </c>
      <c r="AM90" s="293">
        <f>IF($B90="SPPA","N/A - SPPA",AM89*(1-INDEX('System Specification'!$Q$14:$Q$20,MATCH($A90,'System Specification'!$D$14:$D$20,0)))*IF(AK90&lt;=$C90,1,0))</f>
        <v>0</v>
      </c>
      <c r="AN90" s="298" t="str" cm="1">
        <f t="array" ref="AN90">IF($B90="SPPA","N/A - SPPA",INDEX(PeGu!$B$78:$H$97,$AK90,MATCH($A88,PeGu!$B$76:$H$76,0)))</f>
        <v/>
      </c>
      <c r="AP90" s="262">
        <v>7</v>
      </c>
      <c r="AQ90" s="269">
        <f>IF($B90="SPPA","N/A - SPPA", INDEX('Microgrid Proposal'!$N$32:$N$38,MATCH($A90,'Microgrid Proposal'!$D$32:$D$38,0))*IF(AP90&lt;=$C90,1,0))</f>
        <v>0</v>
      </c>
      <c r="AR90" s="264">
        <f t="shared" si="12"/>
        <v>0</v>
      </c>
      <c r="AT90" s="262">
        <v>7</v>
      </c>
      <c r="AU90" s="269">
        <f>IF($B90="SPPA","N/A - SPPA", INDEX('Solar+Storage Proposal'!$N$32:$N$38,MATCH($A90,'Solar+Storage Proposal'!$D$32:$D$38,0))*IF(AT90&lt;=$C90,1,0))</f>
        <v>0</v>
      </c>
      <c r="AV90" s="264">
        <f t="shared" si="13"/>
        <v>0</v>
      </c>
      <c r="AX90" s="262">
        <v>7</v>
      </c>
      <c r="AY90" s="269">
        <f>IF($B90="SPPA","N/A - SPPA", INDEX('Solar-Only Proposal'!$M$32:$M$38,MATCH($A90,'Solar-Only Proposal'!$D$32:$D$38,0))*IF(AX90&lt;=$C90,1,0))</f>
        <v>0</v>
      </c>
      <c r="AZ90" s="264">
        <f t="shared" si="14"/>
        <v>0</v>
      </c>
    </row>
    <row r="91" spans="1:52" ht="15" thickBot="1" x14ac:dyDescent="0.4">
      <c r="A91" s="251" t="str">
        <f t="shared" si="10"/>
        <v>33-G4</v>
      </c>
      <c r="B91" s="251" t="str">
        <f t="shared" si="11"/>
        <v>SEL</v>
      </c>
      <c r="C91" s="251">
        <f>INDEX('Site Data'!$S$7:$S$13,MATCH($A91,'Site Data'!$C$7:$C$13,0))</f>
        <v>20</v>
      </c>
      <c r="D91" s="251" t="s">
        <v>188</v>
      </c>
      <c r="F91" s="266" t="s">
        <v>279</v>
      </c>
      <c r="G91" s="267" t="str">
        <f>IF($B91="SEL","N/A - SEL",INDEX('Solar+Storage Proposal'!$A$32:$X$38,MATCH($A91,'Solar+Storage Proposal'!$D$32:$D$38,0),MATCH($D91,'Solar+Storage Proposal'!$A$31:$X$31,0)))</f>
        <v>N/A - SEL</v>
      </c>
      <c r="H91" s="268" t="s">
        <v>280</v>
      </c>
      <c r="J91" s="519" t="s">
        <v>288</v>
      </c>
      <c r="K91" s="520"/>
      <c r="L91" s="521"/>
      <c r="N91" s="262">
        <v>8</v>
      </c>
      <c r="O91" s="293" t="str">
        <f>IF($B91="SEL","N/A - SEL",O90*(1-'System Specification'!$D$10)*IF(N91&lt;=$C91,1,0))</f>
        <v>N/A - SEL</v>
      </c>
      <c r="P91" s="293" t="str" cm="1">
        <f t="array" ref="P91">INDEX(PeGu!$B$24:$H$43,$S91,MATCH($A89,_xlfn.ANCHORARRAY(PeGu!$B$20),0))</f>
        <v>N/A - SEL</v>
      </c>
      <c r="Q91" s="294" t="str">
        <f>IF($B91="SEL","N/A - SEL",PeGu!$E$14*POWER(1+PeGu!$E$15,$S91-1))</f>
        <v>N/A - SEL</v>
      </c>
      <c r="S91" s="262">
        <v>8</v>
      </c>
      <c r="T91" s="293" t="str">
        <f>IF($B91="SEL","N/A - SEL",T90*(1-'System Specification'!$D$10)*IF(S91&lt;=$C91,1,0))</f>
        <v>N/A - SEL</v>
      </c>
      <c r="U91" s="293" t="str" cm="1">
        <f t="array" ref="U91">INDEX(PeGu!$B$52:$H$71,$S91,MATCH($A89,_xlfn.ANCHORARRAY(PeGu!$B$48),0))</f>
        <v>N/A - SEL</v>
      </c>
      <c r="V91" s="294" t="str">
        <f>IF($B91="SEL","N/A - SEL",PeGu!$E$14*POWER(1+PeGu!$E$15,$S91-1))</f>
        <v>N/A - SEL</v>
      </c>
      <c r="X91" s="262">
        <v>8</v>
      </c>
      <c r="Y91" s="293" t="str" cm="1">
        <f t="array" ref="Y91">IF($B91="SEL","N/A - SEL",INDEX(PeGu!$B$78:$H$97,$X91,MATCH($A89,PeGu!$B$76:$H$76,0)))</f>
        <v>N/A - SEL</v>
      </c>
      <c r="Z91" s="294" t="str">
        <f>IF($B91="SEL","N/A - SEL",PeGu!$K$12*POWER(1+PeGu!$K$13,$X91-1))</f>
        <v>N/A - SEL</v>
      </c>
      <c r="AB91" s="263">
        <v>8</v>
      </c>
      <c r="AC91" s="264" cm="1">
        <f t="array" ref="AC91">INDEX('Contract Early Termination'!$B$14:$H$33,$AB91,MATCH($A89,_xlfn.ANCHORARRAY('Contract Early Termination'!$B$10),0))</f>
        <v>0</v>
      </c>
      <c r="AE91" s="263">
        <v>8</v>
      </c>
      <c r="AF91" s="264" cm="1">
        <f t="array" ref="AF91">INDEX('Contract Early Termination'!$B$41:$H$60,$AE91,MATCH($A89,_xlfn.ANCHORARRAY('Contract Early Termination'!$B$37),0))</f>
        <v>0</v>
      </c>
      <c r="AH91" s="263">
        <v>8</v>
      </c>
      <c r="AI91" s="264" cm="1">
        <f t="array" ref="AI91">INDEX('Contract Early Termination'!$B$68:$H$87,$AB91,MATCH($A89,_xlfn.ANCHORARRAY('Contract Early Termination'!$B$64),0))</f>
        <v>0</v>
      </c>
      <c r="AK91" s="263">
        <v>8</v>
      </c>
      <c r="AL91" s="293">
        <f>IF($B91="SPPA","N/A - SPPA",AL90*(1-'System Specification'!$D$10)*IF(AK91&lt;=$C91,1,0))</f>
        <v>0</v>
      </c>
      <c r="AM91" s="293">
        <f>IF($B91="SPPA","N/A - SPPA",AM90*(1-INDEX('System Specification'!$Q$14:$Q$20,MATCH($A91,'System Specification'!$D$14:$D$20,0)))*IF(AK91&lt;=$C91,1,0))</f>
        <v>0</v>
      </c>
      <c r="AN91" s="298" t="str" cm="1">
        <f t="array" ref="AN91">IF($B91="SPPA","N/A - SPPA",INDEX(PeGu!$B$78:$H$97,$AK91,MATCH($A89,PeGu!$B$76:$H$76,0)))</f>
        <v/>
      </c>
      <c r="AP91" s="262">
        <v>8</v>
      </c>
      <c r="AQ91" s="269">
        <f>IF($B91="SPPA","N/A - SPPA", INDEX('Microgrid Proposal'!$N$32:$N$38,MATCH($A91,'Microgrid Proposal'!$D$32:$D$38,0))*IF(AP91&lt;=$C91,1,0))</f>
        <v>0</v>
      </c>
      <c r="AR91" s="264">
        <f t="shared" si="12"/>
        <v>0</v>
      </c>
      <c r="AT91" s="262">
        <v>8</v>
      </c>
      <c r="AU91" s="269">
        <f>IF($B91="SPPA","N/A - SPPA", INDEX('Solar+Storage Proposal'!$N$32:$N$38,MATCH($A91,'Solar+Storage Proposal'!$D$32:$D$38,0))*IF(AT91&lt;=$C91,1,0))</f>
        <v>0</v>
      </c>
      <c r="AV91" s="264">
        <f t="shared" si="13"/>
        <v>0</v>
      </c>
      <c r="AX91" s="262">
        <v>8</v>
      </c>
      <c r="AY91" s="269">
        <f>IF($B91="SPPA","N/A - SPPA", INDEX('Solar-Only Proposal'!$M$32:$M$38,MATCH($A91,'Solar-Only Proposal'!$D$32:$D$38,0))*IF(AX91&lt;=$C91,1,0))</f>
        <v>0</v>
      </c>
      <c r="AZ91" s="264">
        <f t="shared" si="14"/>
        <v>0</v>
      </c>
    </row>
    <row r="92" spans="1:52" x14ac:dyDescent="0.35">
      <c r="A92" s="251" t="str">
        <f t="shared" si="10"/>
        <v>33-G4</v>
      </c>
      <c r="B92" s="251" t="str">
        <f t="shared" si="11"/>
        <v>SEL</v>
      </c>
      <c r="C92" s="251">
        <f>INDEX('Site Data'!$S$7:$S$13,MATCH($A92,'Site Data'!$C$7:$C$13,0))</f>
        <v>20</v>
      </c>
      <c r="D92" s="251" t="s">
        <v>165</v>
      </c>
      <c r="E92" s="251" t="s">
        <v>165</v>
      </c>
      <c r="F92" s="262" t="s">
        <v>282</v>
      </c>
      <c r="G92" s="269" t="str">
        <f>IF($B92="SEL","N/A - SEL",INDEX('Solar+Storage Proposal'!$A$32:$X$38,MATCH($A92,'Solar+Storage Proposal'!$D$32:$D$38,0),MATCH($D92,'Solar+Storage Proposal'!$A$31:$X$31,0)))</f>
        <v>N/A - SEL</v>
      </c>
      <c r="H92" s="270" t="s">
        <v>275</v>
      </c>
      <c r="J92" s="261" t="s">
        <v>274</v>
      </c>
      <c r="K92" s="303">
        <f>IF($B92="SPPA","N/A - SPPA",INDEX('Solar-Only Proposal'!$A$32:$W$38,MATCH($A92,'Solar-Only Proposal'!$D$32:$D$38,0),MATCH($E92,'Solar-Only Proposal'!$A$31:$W$31,0)))</f>
        <v>0</v>
      </c>
      <c r="L92" s="304" t="s">
        <v>275</v>
      </c>
      <c r="N92" s="262">
        <v>9</v>
      </c>
      <c r="O92" s="293" t="str">
        <f>IF($B92="SEL","N/A - SEL",O91*(1-'System Specification'!$D$10)*IF(N92&lt;=$C92,1,0))</f>
        <v>N/A - SEL</v>
      </c>
      <c r="P92" s="293" t="str" cm="1">
        <f t="array" ref="P92">INDEX(PeGu!$B$24:$H$43,$S92,MATCH($A90,_xlfn.ANCHORARRAY(PeGu!$B$20),0))</f>
        <v>N/A - SEL</v>
      </c>
      <c r="Q92" s="294" t="str">
        <f>IF($B92="SEL","N/A - SEL",PeGu!$E$14*POWER(1+PeGu!$E$15,$S92-1))</f>
        <v>N/A - SEL</v>
      </c>
      <c r="S92" s="262">
        <v>9</v>
      </c>
      <c r="T92" s="293" t="str">
        <f>IF($B92="SEL","N/A - SEL",T91*(1-'System Specification'!$D$10)*IF(S92&lt;=$C92,1,0))</f>
        <v>N/A - SEL</v>
      </c>
      <c r="U92" s="293" t="str" cm="1">
        <f t="array" ref="U92">INDEX(PeGu!$B$52:$H$71,$S92,MATCH($A90,_xlfn.ANCHORARRAY(PeGu!$B$48),0))</f>
        <v>N/A - SEL</v>
      </c>
      <c r="V92" s="294" t="str">
        <f>IF($B92="SEL","N/A - SEL",PeGu!$E$14*POWER(1+PeGu!$E$15,$S92-1))</f>
        <v>N/A - SEL</v>
      </c>
      <c r="X92" s="262">
        <v>9</v>
      </c>
      <c r="Y92" s="293" t="str" cm="1">
        <f t="array" ref="Y92">IF($B92="SEL","N/A - SEL",INDEX(PeGu!$B$78:$H$97,$X92,MATCH($A90,PeGu!$B$76:$H$76,0)))</f>
        <v>N/A - SEL</v>
      </c>
      <c r="Z92" s="294" t="str">
        <f>IF($B92="SEL","N/A - SEL",PeGu!$K$12*POWER(1+PeGu!$K$13,$X92-1))</f>
        <v>N/A - SEL</v>
      </c>
      <c r="AB92" s="263">
        <v>9</v>
      </c>
      <c r="AC92" s="264" cm="1">
        <f t="array" ref="AC92">INDEX('Contract Early Termination'!$B$14:$H$33,$AB92,MATCH($A90,_xlfn.ANCHORARRAY('Contract Early Termination'!$B$10),0))</f>
        <v>0</v>
      </c>
      <c r="AE92" s="263">
        <v>9</v>
      </c>
      <c r="AF92" s="264" cm="1">
        <f t="array" ref="AF92">INDEX('Contract Early Termination'!$B$41:$H$60,$AE92,MATCH($A90,_xlfn.ANCHORARRAY('Contract Early Termination'!$B$37),0))</f>
        <v>0</v>
      </c>
      <c r="AH92" s="263">
        <v>9</v>
      </c>
      <c r="AI92" s="264" cm="1">
        <f t="array" ref="AI92">INDEX('Contract Early Termination'!$B$68:$H$87,$AB92,MATCH($A90,_xlfn.ANCHORARRAY('Contract Early Termination'!$B$64),0))</f>
        <v>0</v>
      </c>
      <c r="AK92" s="263">
        <v>9</v>
      </c>
      <c r="AL92" s="293">
        <f>IF($B92="SPPA","N/A - SPPA",AL91*(1-'System Specification'!$D$10)*IF(AK92&lt;=$C92,1,0))</f>
        <v>0</v>
      </c>
      <c r="AM92" s="293">
        <f>IF($B92="SPPA","N/A - SPPA",AM91*(1-INDEX('System Specification'!$Q$14:$Q$20,MATCH($A92,'System Specification'!$D$14:$D$20,0)))*IF(AK92&lt;=$C92,1,0))</f>
        <v>0</v>
      </c>
      <c r="AN92" s="298" t="str" cm="1">
        <f t="array" ref="AN92">IF($B92="SPPA","N/A - SPPA",INDEX(PeGu!$B$78:$H$97,$AK92,MATCH($A90,PeGu!$B$76:$H$76,0)))</f>
        <v/>
      </c>
      <c r="AP92" s="262">
        <v>9</v>
      </c>
      <c r="AQ92" s="269">
        <f>IF($B92="SPPA","N/A - SPPA", INDEX('Microgrid Proposal'!$N$32:$N$38,MATCH($A92,'Microgrid Proposal'!$D$32:$D$38,0))*IF(AP92&lt;=$C92,1,0))</f>
        <v>0</v>
      </c>
      <c r="AR92" s="264">
        <f t="shared" si="12"/>
        <v>0</v>
      </c>
      <c r="AT92" s="262">
        <v>9</v>
      </c>
      <c r="AU92" s="269">
        <f>IF($B92="SPPA","N/A - SPPA", INDEX('Solar+Storage Proposal'!$N$32:$N$38,MATCH($A92,'Solar+Storage Proposal'!$D$32:$D$38,0))*IF(AT92&lt;=$C92,1,0))</f>
        <v>0</v>
      </c>
      <c r="AV92" s="264">
        <f t="shared" si="13"/>
        <v>0</v>
      </c>
      <c r="AX92" s="262">
        <v>9</v>
      </c>
      <c r="AY92" s="269">
        <f>IF($B92="SPPA","N/A - SPPA", INDEX('Solar-Only Proposal'!$M$32:$M$38,MATCH($A92,'Solar-Only Proposal'!$D$32:$D$38,0))*IF(AX92&lt;=$C92,1,0))</f>
        <v>0</v>
      </c>
      <c r="AZ92" s="264">
        <f t="shared" si="14"/>
        <v>0</v>
      </c>
    </row>
    <row r="93" spans="1:52" x14ac:dyDescent="0.35">
      <c r="A93" s="251" t="str">
        <f t="shared" si="10"/>
        <v>33-G4</v>
      </c>
      <c r="B93" s="251" t="str">
        <f t="shared" si="11"/>
        <v>SEL</v>
      </c>
      <c r="C93" s="251">
        <f>INDEX('Site Data'!$S$7:$S$13,MATCH($A93,'Site Data'!$C$7:$C$13,0))</f>
        <v>20</v>
      </c>
      <c r="D93" s="251" t="s">
        <v>189</v>
      </c>
      <c r="E93" s="251" t="s">
        <v>192</v>
      </c>
      <c r="F93" s="262" t="s">
        <v>284</v>
      </c>
      <c r="G93" s="271" t="str">
        <f>IF($B93="SEL","N/A - SEL",INDEX('Solar+Storage Proposal'!$A$32:$X$38,MATCH($A93,'Solar+Storage Proposal'!$D$32:$D$38,0),MATCH($D93,'Solar+Storage Proposal'!$A$31:$X$31,0)))</f>
        <v>N/A - SEL</v>
      </c>
      <c r="H93" s="270" t="s">
        <v>285</v>
      </c>
      <c r="J93" s="262" t="s">
        <v>277</v>
      </c>
      <c r="K93" s="269">
        <f>IF($B93="SPPA","N/A - SPPA",INDEX('Solar-Only Proposal'!$A$32:$W$38,MATCH($A93,'Solar-Only Proposal'!$D$32:$D$38,0),MATCH($E93,'Solar-Only Proposal'!$A$31:$W$31,0)))</f>
        <v>0</v>
      </c>
      <c r="L93" s="270" t="s">
        <v>278</v>
      </c>
      <c r="N93" s="262">
        <v>10</v>
      </c>
      <c r="O93" s="293" t="str">
        <f>IF($B93="SEL","N/A - SEL",O92*(1-'System Specification'!$D$10)*IF(N93&lt;=$C93,1,0))</f>
        <v>N/A - SEL</v>
      </c>
      <c r="P93" s="293" t="str" cm="1">
        <f t="array" ref="P93">INDEX(PeGu!$B$24:$H$43,$S93,MATCH($A91,_xlfn.ANCHORARRAY(PeGu!$B$20),0))</f>
        <v>N/A - SEL</v>
      </c>
      <c r="Q93" s="294" t="str">
        <f>IF($B93="SEL","N/A - SEL",PeGu!$E$14*POWER(1+PeGu!$E$15,$S93-1))</f>
        <v>N/A - SEL</v>
      </c>
      <c r="S93" s="262">
        <v>10</v>
      </c>
      <c r="T93" s="293" t="str">
        <f>IF($B93="SEL","N/A - SEL",T92*(1-'System Specification'!$D$10)*IF(S93&lt;=$C93,1,0))</f>
        <v>N/A - SEL</v>
      </c>
      <c r="U93" s="293" t="str" cm="1">
        <f t="array" ref="U93">INDEX(PeGu!$B$52:$H$71,$S93,MATCH($A91,_xlfn.ANCHORARRAY(PeGu!$B$48),0))</f>
        <v>N/A - SEL</v>
      </c>
      <c r="V93" s="294" t="str">
        <f>IF($B93="SEL","N/A - SEL",PeGu!$E$14*POWER(1+PeGu!$E$15,$S93-1))</f>
        <v>N/A - SEL</v>
      </c>
      <c r="X93" s="262">
        <v>10</v>
      </c>
      <c r="Y93" s="293" t="str" cm="1">
        <f t="array" ref="Y93">IF($B93="SEL","N/A - SEL",INDEX(PeGu!$B$78:$H$97,$X93,MATCH($A91,PeGu!$B$76:$H$76,0)))</f>
        <v>N/A - SEL</v>
      </c>
      <c r="Z93" s="294" t="str">
        <f>IF($B93="SEL","N/A - SEL",PeGu!$K$12*POWER(1+PeGu!$K$13,$X93-1))</f>
        <v>N/A - SEL</v>
      </c>
      <c r="AB93" s="263">
        <v>10</v>
      </c>
      <c r="AC93" s="264" cm="1">
        <f t="array" ref="AC93">INDEX('Contract Early Termination'!$B$14:$H$33,$AB93,MATCH($A91,_xlfn.ANCHORARRAY('Contract Early Termination'!$B$10),0))</f>
        <v>0</v>
      </c>
      <c r="AE93" s="263">
        <v>10</v>
      </c>
      <c r="AF93" s="264" cm="1">
        <f t="array" ref="AF93">INDEX('Contract Early Termination'!$B$41:$H$60,$AE93,MATCH($A91,_xlfn.ANCHORARRAY('Contract Early Termination'!$B$37),0))</f>
        <v>0</v>
      </c>
      <c r="AH93" s="263">
        <v>10</v>
      </c>
      <c r="AI93" s="264" cm="1">
        <f t="array" ref="AI93">INDEX('Contract Early Termination'!$B$68:$H$87,$AB93,MATCH($A91,_xlfn.ANCHORARRAY('Contract Early Termination'!$B$64),0))</f>
        <v>0</v>
      </c>
      <c r="AK93" s="263">
        <v>10</v>
      </c>
      <c r="AL93" s="293">
        <f>IF($B93="SPPA","N/A - SPPA",AL92*(1-'System Specification'!$D$10)*IF(AK93&lt;=$C93,1,0))</f>
        <v>0</v>
      </c>
      <c r="AM93" s="293">
        <f>IF($B93="SPPA","N/A - SPPA",AM92*(1-INDEX('System Specification'!$Q$14:$Q$20,MATCH($A93,'System Specification'!$D$14:$D$20,0)))*IF(AK93&lt;=$C93,1,0))</f>
        <v>0</v>
      </c>
      <c r="AN93" s="298" t="str" cm="1">
        <f t="array" ref="AN93">IF($B93="SPPA","N/A - SPPA",INDEX(PeGu!$B$78:$H$97,$AK93,MATCH($A91,PeGu!$B$76:$H$76,0)))</f>
        <v/>
      </c>
      <c r="AP93" s="262">
        <v>10</v>
      </c>
      <c r="AQ93" s="269">
        <f>IF($B93="SPPA","N/A - SPPA", INDEX('Microgrid Proposal'!$N$32:$N$38,MATCH($A93,'Microgrid Proposal'!$D$32:$D$38,0))*IF(AP93&lt;=$C93,1,0))</f>
        <v>0</v>
      </c>
      <c r="AR93" s="264">
        <f t="shared" si="12"/>
        <v>0</v>
      </c>
      <c r="AT93" s="262">
        <v>10</v>
      </c>
      <c r="AU93" s="269">
        <f>IF($B93="SPPA","N/A - SPPA", INDEX('Solar+Storage Proposal'!$N$32:$N$38,MATCH($A93,'Solar+Storage Proposal'!$D$32:$D$38,0))*IF(AT93&lt;=$C93,1,0))</f>
        <v>0</v>
      </c>
      <c r="AV93" s="264">
        <f t="shared" si="13"/>
        <v>0</v>
      </c>
      <c r="AX93" s="262">
        <v>10</v>
      </c>
      <c r="AY93" s="269">
        <f>IF($B93="SPPA","N/A - SPPA", INDEX('Solar-Only Proposal'!$M$32:$M$38,MATCH($A93,'Solar-Only Proposal'!$D$32:$D$38,0))*IF(AX93&lt;=$C93,1,0))</f>
        <v>0</v>
      </c>
      <c r="AZ93" s="264">
        <f t="shared" si="14"/>
        <v>0</v>
      </c>
    </row>
    <row r="94" spans="1:52" ht="15" thickBot="1" x14ac:dyDescent="0.4">
      <c r="A94" s="251" t="str">
        <f t="shared" si="10"/>
        <v>33-G4</v>
      </c>
      <c r="B94" s="251" t="str">
        <f t="shared" si="11"/>
        <v>SEL</v>
      </c>
      <c r="C94" s="251">
        <f>INDEX('Site Data'!$S$7:$S$13,MATCH($A94,'Site Data'!$C$7:$C$13,0))</f>
        <v>20</v>
      </c>
      <c r="D94" s="251" t="s">
        <v>190</v>
      </c>
      <c r="E94" s="251" t="s">
        <v>193</v>
      </c>
      <c r="F94" s="258" t="s">
        <v>284</v>
      </c>
      <c r="G94" s="272" t="str">
        <f>IF($B94="SEL","N/A - SEL",INDEX('Solar+Storage Proposal'!$A$32:$X$38,MATCH($A94,'Solar+Storage Proposal'!$D$32:$D$38,0),MATCH($D94,'Solar+Storage Proposal'!$A$31:$X$31,0)))</f>
        <v>N/A - SEL</v>
      </c>
      <c r="H94" s="260" t="s">
        <v>286</v>
      </c>
      <c r="J94" s="258" t="s">
        <v>277</v>
      </c>
      <c r="K94" s="300">
        <f>IF($B94="SPPA","N/A - SPPA",INDEX('Solar-Only Proposal'!$A$32:$W$38,MATCH($A94,'Solar-Only Proposal'!$D$32:$D$38,0),MATCH($E94,'Solar-Only Proposal'!$A$31:$W$31,0)))</f>
        <v>0</v>
      </c>
      <c r="L94" s="260" t="s">
        <v>281</v>
      </c>
      <c r="N94" s="262">
        <v>11</v>
      </c>
      <c r="O94" s="293" t="str">
        <f>IF($B94="SEL","N/A - SEL",O93*(1-'System Specification'!$D$10)*IF(N94&lt;=$C94,1,0))</f>
        <v>N/A - SEL</v>
      </c>
      <c r="P94" s="293" t="str" cm="1">
        <f t="array" ref="P94">INDEX(PeGu!$B$24:$H$43,$S94,MATCH($A92,_xlfn.ANCHORARRAY(PeGu!$B$20),0))</f>
        <v>N/A - SEL</v>
      </c>
      <c r="Q94" s="294" t="str">
        <f>IF($B94="SEL","N/A - SEL",PeGu!$E$14*POWER(1+PeGu!$E$15,$S94-1))</f>
        <v>N/A - SEL</v>
      </c>
      <c r="S94" s="262">
        <v>11</v>
      </c>
      <c r="T94" s="293" t="str">
        <f>IF($B94="SEL","N/A - SEL",T93*(1-'System Specification'!$D$10)*IF(S94&lt;=$C94,1,0))</f>
        <v>N/A - SEL</v>
      </c>
      <c r="U94" s="293" t="str" cm="1">
        <f t="array" ref="U94">INDEX(PeGu!$B$52:$H$71,$S94,MATCH($A92,_xlfn.ANCHORARRAY(PeGu!$B$48),0))</f>
        <v>N/A - SEL</v>
      </c>
      <c r="V94" s="294" t="str">
        <f>IF($B94="SEL","N/A - SEL",PeGu!$E$14*POWER(1+PeGu!$E$15,$S94-1))</f>
        <v>N/A - SEL</v>
      </c>
      <c r="X94" s="262">
        <v>11</v>
      </c>
      <c r="Y94" s="293" t="str" cm="1">
        <f t="array" ref="Y94">IF($B94="SEL","N/A - SEL",INDEX(PeGu!$B$78:$H$97,$X94,MATCH($A92,PeGu!$B$76:$H$76,0)))</f>
        <v>N/A - SEL</v>
      </c>
      <c r="Z94" s="294" t="str">
        <f>IF($B94="SEL","N/A - SEL",PeGu!$K$12*POWER(1+PeGu!$K$13,$X94-1))</f>
        <v>N/A - SEL</v>
      </c>
      <c r="AB94" s="263">
        <v>11</v>
      </c>
      <c r="AC94" s="264" cm="1">
        <f t="array" ref="AC94">INDEX('Contract Early Termination'!$B$14:$H$33,$AB94,MATCH($A92,_xlfn.ANCHORARRAY('Contract Early Termination'!$B$10),0))</f>
        <v>0</v>
      </c>
      <c r="AE94" s="263">
        <v>11</v>
      </c>
      <c r="AF94" s="264" cm="1">
        <f t="array" ref="AF94">INDEX('Contract Early Termination'!$B$41:$H$60,$AE94,MATCH($A92,_xlfn.ANCHORARRAY('Contract Early Termination'!$B$37),0))</f>
        <v>0</v>
      </c>
      <c r="AH94" s="263">
        <v>11</v>
      </c>
      <c r="AI94" s="264" cm="1">
        <f t="array" ref="AI94">INDEX('Contract Early Termination'!$B$68:$H$87,$AB94,MATCH($A92,_xlfn.ANCHORARRAY('Contract Early Termination'!$B$64),0))</f>
        <v>0</v>
      </c>
      <c r="AK94" s="263">
        <v>11</v>
      </c>
      <c r="AL94" s="293">
        <f>IF($B94="SPPA","N/A - SPPA",AL93*(1-'System Specification'!$D$10)*IF(AK94&lt;=$C94,1,0))</f>
        <v>0</v>
      </c>
      <c r="AM94" s="293">
        <f>IF($B94="SPPA","N/A - SPPA",AM93*(1-INDEX('System Specification'!$Q$14:$Q$20,MATCH($A94,'System Specification'!$D$14:$D$20,0)))*IF(AK94&lt;=$C94,1,0))</f>
        <v>0</v>
      </c>
      <c r="AN94" s="298" t="str" cm="1">
        <f t="array" ref="AN94">IF($B94="SPPA","N/A - SPPA",INDEX(PeGu!$B$78:$H$97,$AK94,MATCH($A92,PeGu!$B$76:$H$76,0)))</f>
        <v/>
      </c>
      <c r="AP94" s="262">
        <v>11</v>
      </c>
      <c r="AQ94" s="269">
        <f>IF($B94="SPPA","N/A - SPPA", INDEX('Microgrid Proposal'!$N$32:$N$38,MATCH($A94,'Microgrid Proposal'!$D$32:$D$38,0))*IF(AP94&lt;=$C94,1,0))</f>
        <v>0</v>
      </c>
      <c r="AR94" s="264">
        <f t="shared" si="12"/>
        <v>0</v>
      </c>
      <c r="AT94" s="262">
        <v>11</v>
      </c>
      <c r="AU94" s="269">
        <f>IF($B94="SPPA","N/A - SPPA", INDEX('Solar+Storage Proposal'!$N$32:$N$38,MATCH($A94,'Solar+Storage Proposal'!$D$32:$D$38,0))*IF(AT94&lt;=$C94,1,0))</f>
        <v>0</v>
      </c>
      <c r="AV94" s="264">
        <f t="shared" si="13"/>
        <v>0</v>
      </c>
      <c r="AX94" s="262">
        <v>11</v>
      </c>
      <c r="AY94" s="269">
        <f>IF($B94="SPPA","N/A - SPPA", INDEX('Solar-Only Proposal'!$M$32:$M$38,MATCH($A94,'Solar-Only Proposal'!$D$32:$D$38,0))*IF(AX94&lt;=$C94,1,0))</f>
        <v>0</v>
      </c>
      <c r="AZ94" s="264">
        <f t="shared" si="14"/>
        <v>0</v>
      </c>
    </row>
    <row r="95" spans="1:52" ht="15" thickBot="1" x14ac:dyDescent="0.4">
      <c r="A95" s="251" t="str">
        <f t="shared" si="10"/>
        <v>33-G4</v>
      </c>
      <c r="B95" s="251" t="str">
        <f t="shared" si="11"/>
        <v>SEL</v>
      </c>
      <c r="C95" s="251">
        <f>INDEX('Site Data'!$S$7:$S$13,MATCH($A95,'Site Data'!$C$7:$C$13,0))</f>
        <v>20</v>
      </c>
      <c r="F95" s="505" t="s">
        <v>289</v>
      </c>
      <c r="G95" s="506"/>
      <c r="H95" s="507"/>
      <c r="N95" s="262">
        <v>12</v>
      </c>
      <c r="O95" s="293" t="str">
        <f>IF($B95="SEL","N/A - SEL",O94*(1-'System Specification'!$D$10)*IF(N95&lt;=$C95,1,0))</f>
        <v>N/A - SEL</v>
      </c>
      <c r="P95" s="293" t="str" cm="1">
        <f t="array" ref="P95">INDEX(PeGu!$B$24:$H$43,$S95,MATCH($A93,_xlfn.ANCHORARRAY(PeGu!$B$20),0))</f>
        <v>N/A - SEL</v>
      </c>
      <c r="Q95" s="294" t="str">
        <f>IF($B95="SEL","N/A - SEL",PeGu!$E$14*POWER(1+PeGu!$E$15,$S95-1))</f>
        <v>N/A - SEL</v>
      </c>
      <c r="S95" s="262">
        <v>12</v>
      </c>
      <c r="T95" s="293" t="str">
        <f>IF($B95="SEL","N/A - SEL",T94*(1-'System Specification'!$D$10)*IF(S95&lt;=$C95,1,0))</f>
        <v>N/A - SEL</v>
      </c>
      <c r="U95" s="293" t="str" cm="1">
        <f t="array" ref="U95">INDEX(PeGu!$B$52:$H$71,$S95,MATCH($A93,_xlfn.ANCHORARRAY(PeGu!$B$48),0))</f>
        <v>N/A - SEL</v>
      </c>
      <c r="V95" s="294" t="str">
        <f>IF($B95="SEL","N/A - SEL",PeGu!$E$14*POWER(1+PeGu!$E$15,$S95-1))</f>
        <v>N/A - SEL</v>
      </c>
      <c r="X95" s="262">
        <v>12</v>
      </c>
      <c r="Y95" s="293" t="str" cm="1">
        <f t="array" ref="Y95">IF($B95="SEL","N/A - SEL",INDEX(PeGu!$B$78:$H$97,$X95,MATCH($A93,PeGu!$B$76:$H$76,0)))</f>
        <v>N/A - SEL</v>
      </c>
      <c r="Z95" s="294" t="str">
        <f>IF($B95="SEL","N/A - SEL",PeGu!$K$12*POWER(1+PeGu!$K$13,$X95-1))</f>
        <v>N/A - SEL</v>
      </c>
      <c r="AB95" s="263">
        <v>12</v>
      </c>
      <c r="AC95" s="264" cm="1">
        <f t="array" ref="AC95">INDEX('Contract Early Termination'!$B$14:$H$33,$AB95,MATCH($A93,_xlfn.ANCHORARRAY('Contract Early Termination'!$B$10),0))</f>
        <v>0</v>
      </c>
      <c r="AE95" s="263">
        <v>12</v>
      </c>
      <c r="AF95" s="264" cm="1">
        <f t="array" ref="AF95">INDEX('Contract Early Termination'!$B$41:$H$60,$AE95,MATCH($A93,_xlfn.ANCHORARRAY('Contract Early Termination'!$B$37),0))</f>
        <v>0</v>
      </c>
      <c r="AH95" s="263">
        <v>12</v>
      </c>
      <c r="AI95" s="264" cm="1">
        <f t="array" ref="AI95">INDEX('Contract Early Termination'!$B$68:$H$87,$AB95,MATCH($A93,_xlfn.ANCHORARRAY('Contract Early Termination'!$B$64),0))</f>
        <v>0</v>
      </c>
      <c r="AK95" s="263">
        <v>12</v>
      </c>
      <c r="AL95" s="293">
        <f>IF($B95="SPPA","N/A - SPPA",AL94*(1-'System Specification'!$D$10)*IF(AK95&lt;=$C95,1,0))</f>
        <v>0</v>
      </c>
      <c r="AM95" s="293">
        <f>IF($B95="SPPA","N/A - SPPA",AM94*(1-INDEX('System Specification'!$Q$14:$Q$20,MATCH($A95,'System Specification'!$D$14:$D$20,0)))*IF(AK95&lt;=$C95,1,0))</f>
        <v>0</v>
      </c>
      <c r="AN95" s="298" t="str" cm="1">
        <f t="array" ref="AN95">IF($B95="SPPA","N/A - SPPA",INDEX(PeGu!$B$78:$H$97,$AK95,MATCH($A93,PeGu!$B$76:$H$76,0)))</f>
        <v/>
      </c>
      <c r="AP95" s="262">
        <v>12</v>
      </c>
      <c r="AQ95" s="269">
        <f>IF($B95="SPPA","N/A - SPPA", INDEX('Microgrid Proposal'!$N$32:$N$38,MATCH($A95,'Microgrid Proposal'!$D$32:$D$38,0))*IF(AP95&lt;=$C95,1,0))</f>
        <v>0</v>
      </c>
      <c r="AR95" s="264">
        <f t="shared" si="12"/>
        <v>0</v>
      </c>
      <c r="AT95" s="262">
        <v>12</v>
      </c>
      <c r="AU95" s="269">
        <f>IF($B95="SPPA","N/A - SPPA", INDEX('Solar+Storage Proposal'!$N$32:$N$38,MATCH($A95,'Solar+Storage Proposal'!$D$32:$D$38,0))*IF(AT95&lt;=$C95,1,0))</f>
        <v>0</v>
      </c>
      <c r="AV95" s="264">
        <f t="shared" si="13"/>
        <v>0</v>
      </c>
      <c r="AX95" s="262">
        <v>12</v>
      </c>
      <c r="AY95" s="269">
        <f>IF($B95="SPPA","N/A - SPPA", INDEX('Solar-Only Proposal'!$M$32:$M$38,MATCH($A95,'Solar-Only Proposal'!$D$32:$D$38,0))*IF(AX95&lt;=$C95,1,0))</f>
        <v>0</v>
      </c>
      <c r="AZ95" s="264">
        <f t="shared" si="14"/>
        <v>0</v>
      </c>
    </row>
    <row r="96" spans="1:52" x14ac:dyDescent="0.35">
      <c r="A96" s="251" t="str">
        <f t="shared" si="10"/>
        <v>33-G4</v>
      </c>
      <c r="B96" s="251" t="str">
        <f t="shared" si="11"/>
        <v>SEL</v>
      </c>
      <c r="C96" s="251">
        <f>INDEX('Site Data'!$S$7:$S$13,MATCH($A96,'Site Data'!$C$7:$C$13,0))</f>
        <v>20</v>
      </c>
      <c r="D96" s="251" t="s">
        <v>188</v>
      </c>
      <c r="F96" s="266" t="s">
        <v>279</v>
      </c>
      <c r="G96" s="267" t="str">
        <f>IF($B96="SEL","N/A - SEL",INDEX('Solar-Only Proposal'!$A$32:$W$38,MATCH($A96,'Solar-Only Proposal'!$D$32:$D$38,0),MATCH($D96,'Solar-Only Proposal'!$A$31:$W$31,0)))</f>
        <v>N/A - SEL</v>
      </c>
      <c r="H96" s="268" t="s">
        <v>280</v>
      </c>
      <c r="N96" s="262">
        <v>13</v>
      </c>
      <c r="O96" s="293" t="str">
        <f>IF($B96="SEL","N/A - SEL",O95*(1-'System Specification'!$D$10)*IF(N96&lt;=$C96,1,0))</f>
        <v>N/A - SEL</v>
      </c>
      <c r="P96" s="293" t="str" cm="1">
        <f t="array" ref="P96">INDEX(PeGu!$B$24:$H$43,$S96,MATCH($A94,_xlfn.ANCHORARRAY(PeGu!$B$20),0))</f>
        <v>N/A - SEL</v>
      </c>
      <c r="Q96" s="294" t="str">
        <f>IF($B96="SEL","N/A - SEL",PeGu!$E$14*POWER(1+PeGu!$E$15,$S96-1))</f>
        <v>N/A - SEL</v>
      </c>
      <c r="S96" s="262">
        <v>13</v>
      </c>
      <c r="T96" s="293" t="str">
        <f>IF($B96="SEL","N/A - SEL",T95*(1-'System Specification'!$D$10)*IF(S96&lt;=$C96,1,0))</f>
        <v>N/A - SEL</v>
      </c>
      <c r="U96" s="293" t="str" cm="1">
        <f t="array" ref="U96">INDEX(PeGu!$B$52:$H$71,$S96,MATCH($A94,_xlfn.ANCHORARRAY(PeGu!$B$48),0))</f>
        <v>N/A - SEL</v>
      </c>
      <c r="V96" s="294" t="str">
        <f>IF($B96="SEL","N/A - SEL",PeGu!$E$14*POWER(1+PeGu!$E$15,$S96-1))</f>
        <v>N/A - SEL</v>
      </c>
      <c r="X96" s="262">
        <v>13</v>
      </c>
      <c r="Y96" s="293" t="str" cm="1">
        <f t="array" ref="Y96">IF($B96="SEL","N/A - SEL",INDEX(PeGu!$B$78:$H$97,$X96,MATCH($A94,PeGu!$B$76:$H$76,0)))</f>
        <v>N/A - SEL</v>
      </c>
      <c r="Z96" s="294" t="str">
        <f>IF($B96="SEL","N/A - SEL",PeGu!$K$12*POWER(1+PeGu!$K$13,$X96-1))</f>
        <v>N/A - SEL</v>
      </c>
      <c r="AB96" s="263">
        <v>13</v>
      </c>
      <c r="AC96" s="264" cm="1">
        <f t="array" ref="AC96">INDEX('Contract Early Termination'!$B$14:$H$33,$AB96,MATCH($A94,_xlfn.ANCHORARRAY('Contract Early Termination'!$B$10),0))</f>
        <v>0</v>
      </c>
      <c r="AE96" s="263">
        <v>13</v>
      </c>
      <c r="AF96" s="264" cm="1">
        <f t="array" ref="AF96">INDEX('Contract Early Termination'!$B$41:$H$60,$AE96,MATCH($A94,_xlfn.ANCHORARRAY('Contract Early Termination'!$B$37),0))</f>
        <v>0</v>
      </c>
      <c r="AH96" s="263">
        <v>13</v>
      </c>
      <c r="AI96" s="264" cm="1">
        <f t="array" ref="AI96">INDEX('Contract Early Termination'!$B$68:$H$87,$AB96,MATCH($A94,_xlfn.ANCHORARRAY('Contract Early Termination'!$B$64),0))</f>
        <v>0</v>
      </c>
      <c r="AK96" s="263">
        <v>13</v>
      </c>
      <c r="AL96" s="293">
        <f>IF($B96="SPPA","N/A - SPPA",AL95*(1-'System Specification'!$D$10)*IF(AK96&lt;=$C96,1,0))</f>
        <v>0</v>
      </c>
      <c r="AM96" s="293">
        <f>IF($B96="SPPA","N/A - SPPA",AM95*(1-INDEX('System Specification'!$Q$14:$Q$20,MATCH($A96,'System Specification'!$D$14:$D$20,0)))*IF(AK96&lt;=$C96,1,0))</f>
        <v>0</v>
      </c>
      <c r="AN96" s="298" t="str" cm="1">
        <f t="array" ref="AN96">IF($B96="SPPA","N/A - SPPA",INDEX(PeGu!$B$78:$H$97,$AK96,MATCH($A94,PeGu!$B$76:$H$76,0)))</f>
        <v/>
      </c>
      <c r="AP96" s="262">
        <v>13</v>
      </c>
      <c r="AQ96" s="269">
        <f>IF($B96="SPPA","N/A - SPPA", INDEX('Microgrid Proposal'!$N$32:$N$38,MATCH($A96,'Microgrid Proposal'!$D$32:$D$38,0))*IF(AP96&lt;=$C96,1,0))</f>
        <v>0</v>
      </c>
      <c r="AR96" s="264">
        <f t="shared" si="12"/>
        <v>0</v>
      </c>
      <c r="AT96" s="262">
        <v>13</v>
      </c>
      <c r="AU96" s="269">
        <f>IF($B96="SPPA","N/A - SPPA", INDEX('Solar+Storage Proposal'!$N$32:$N$38,MATCH($A96,'Solar+Storage Proposal'!$D$32:$D$38,0))*IF(AT96&lt;=$C96,1,0))</f>
        <v>0</v>
      </c>
      <c r="AV96" s="264">
        <f t="shared" si="13"/>
        <v>0</v>
      </c>
      <c r="AX96" s="262">
        <v>13</v>
      </c>
      <c r="AY96" s="269">
        <f>IF($B96="SPPA","N/A - SPPA", INDEX('Solar-Only Proposal'!$M$32:$M$38,MATCH($A96,'Solar-Only Proposal'!$D$32:$D$38,0))*IF(AX96&lt;=$C96,1,0))</f>
        <v>0</v>
      </c>
      <c r="AZ96" s="264">
        <f t="shared" si="14"/>
        <v>0</v>
      </c>
    </row>
    <row r="97" spans="1:52" x14ac:dyDescent="0.35">
      <c r="A97" s="251" t="str">
        <f t="shared" si="10"/>
        <v>33-G4</v>
      </c>
      <c r="B97" s="251" t="str">
        <f t="shared" si="11"/>
        <v>SEL</v>
      </c>
      <c r="C97" s="251">
        <f>INDEX('Site Data'!$S$7:$S$13,MATCH($A97,'Site Data'!$C$7:$C$13,0))</f>
        <v>20</v>
      </c>
      <c r="D97" s="251" t="s">
        <v>165</v>
      </c>
      <c r="F97" s="262" t="s">
        <v>282</v>
      </c>
      <c r="G97" s="269" t="str">
        <f>IF($B97="SEL","N/A - SEL",INDEX('Solar-Only Proposal'!$A$32:$W$38,MATCH($A97,'Solar-Only Proposal'!$D$32:$D$38,0),MATCH($D97,'Solar-Only Proposal'!$A$31:$W$31,0)))</f>
        <v>N/A - SEL</v>
      </c>
      <c r="H97" s="270" t="s">
        <v>275</v>
      </c>
      <c r="N97" s="262">
        <v>14</v>
      </c>
      <c r="O97" s="293" t="str">
        <f>IF($B97="SEL","N/A - SEL",O96*(1-'System Specification'!$D$10)*IF(N97&lt;=$C97,1,0))</f>
        <v>N/A - SEL</v>
      </c>
      <c r="P97" s="293" t="str" cm="1">
        <f t="array" ref="P97">INDEX(PeGu!$B$24:$H$43,$S97,MATCH($A95,_xlfn.ANCHORARRAY(PeGu!$B$20),0))</f>
        <v>N/A - SEL</v>
      </c>
      <c r="Q97" s="294" t="str">
        <f>IF($B97="SEL","N/A - SEL",PeGu!$E$14*POWER(1+PeGu!$E$15,$S97-1))</f>
        <v>N/A - SEL</v>
      </c>
      <c r="S97" s="262">
        <v>14</v>
      </c>
      <c r="T97" s="293" t="str">
        <f>IF($B97="SEL","N/A - SEL",T96*(1-'System Specification'!$D$10)*IF(S97&lt;=$C97,1,0))</f>
        <v>N/A - SEL</v>
      </c>
      <c r="U97" s="293" t="str" cm="1">
        <f t="array" ref="U97">INDEX(PeGu!$B$52:$H$71,$S97,MATCH($A95,_xlfn.ANCHORARRAY(PeGu!$B$48),0))</f>
        <v>N/A - SEL</v>
      </c>
      <c r="V97" s="294" t="str">
        <f>IF($B97="SEL","N/A - SEL",PeGu!$E$14*POWER(1+PeGu!$E$15,$S97-1))</f>
        <v>N/A - SEL</v>
      </c>
      <c r="X97" s="262">
        <v>14</v>
      </c>
      <c r="Y97" s="293" t="str" cm="1">
        <f t="array" ref="Y97">IF($B97="SEL","N/A - SEL",INDEX(PeGu!$B$78:$H$97,$X97,MATCH($A95,PeGu!$B$76:$H$76,0)))</f>
        <v>N/A - SEL</v>
      </c>
      <c r="Z97" s="294" t="str">
        <f>IF($B97="SEL","N/A - SEL",PeGu!$K$12*POWER(1+PeGu!$K$13,$X97-1))</f>
        <v>N/A - SEL</v>
      </c>
      <c r="AB97" s="263">
        <v>14</v>
      </c>
      <c r="AC97" s="264" cm="1">
        <f t="array" ref="AC97">INDEX('Contract Early Termination'!$B$14:$H$33,$AB97,MATCH($A95,_xlfn.ANCHORARRAY('Contract Early Termination'!$B$10),0))</f>
        <v>0</v>
      </c>
      <c r="AE97" s="263">
        <v>14</v>
      </c>
      <c r="AF97" s="264" cm="1">
        <f t="array" ref="AF97">INDEX('Contract Early Termination'!$B$41:$H$60,$AE97,MATCH($A95,_xlfn.ANCHORARRAY('Contract Early Termination'!$B$37),0))</f>
        <v>0</v>
      </c>
      <c r="AH97" s="263">
        <v>14</v>
      </c>
      <c r="AI97" s="264" cm="1">
        <f t="array" ref="AI97">INDEX('Contract Early Termination'!$B$68:$H$87,$AB97,MATCH($A95,_xlfn.ANCHORARRAY('Contract Early Termination'!$B$64),0))</f>
        <v>0</v>
      </c>
      <c r="AK97" s="263">
        <v>14</v>
      </c>
      <c r="AL97" s="293">
        <f>IF($B97="SPPA","N/A - SPPA",AL96*(1-'System Specification'!$D$10)*IF(AK97&lt;=$C97,1,0))</f>
        <v>0</v>
      </c>
      <c r="AM97" s="293">
        <f>IF($B97="SPPA","N/A - SPPA",AM96*(1-INDEX('System Specification'!$Q$14:$Q$20,MATCH($A97,'System Specification'!$D$14:$D$20,0)))*IF(AK97&lt;=$C97,1,0))</f>
        <v>0</v>
      </c>
      <c r="AN97" s="298" t="str" cm="1">
        <f t="array" ref="AN97">IF($B97="SPPA","N/A - SPPA",INDEX(PeGu!$B$78:$H$97,$AK97,MATCH($A95,PeGu!$B$76:$H$76,0)))</f>
        <v/>
      </c>
      <c r="AP97" s="262">
        <v>14</v>
      </c>
      <c r="AQ97" s="269">
        <f>IF($B97="SPPA","N/A - SPPA", INDEX('Microgrid Proposal'!$N$32:$N$38,MATCH($A97,'Microgrid Proposal'!$D$32:$D$38,0))*IF(AP97&lt;=$C97,1,0))</f>
        <v>0</v>
      </c>
      <c r="AR97" s="264">
        <f t="shared" si="12"/>
        <v>0</v>
      </c>
      <c r="AT97" s="262">
        <v>14</v>
      </c>
      <c r="AU97" s="269">
        <f>IF($B97="SPPA","N/A - SPPA", INDEX('Solar+Storage Proposal'!$N$32:$N$38,MATCH($A97,'Solar+Storage Proposal'!$D$32:$D$38,0))*IF(AT97&lt;=$C97,1,0))</f>
        <v>0</v>
      </c>
      <c r="AV97" s="264">
        <f t="shared" si="13"/>
        <v>0</v>
      </c>
      <c r="AX97" s="262">
        <v>14</v>
      </c>
      <c r="AY97" s="269">
        <f>IF($B97="SPPA","N/A - SPPA", INDEX('Solar-Only Proposal'!$M$32:$M$38,MATCH($A97,'Solar-Only Proposal'!$D$32:$D$38,0))*IF(AX97&lt;=$C97,1,0))</f>
        <v>0</v>
      </c>
      <c r="AZ97" s="264">
        <f t="shared" si="14"/>
        <v>0</v>
      </c>
    </row>
    <row r="98" spans="1:52" x14ac:dyDescent="0.35">
      <c r="A98" s="251" t="str">
        <f t="shared" si="10"/>
        <v>33-G4</v>
      </c>
      <c r="B98" s="251" t="str">
        <f t="shared" si="11"/>
        <v>SEL</v>
      </c>
      <c r="C98" s="251">
        <f>INDEX('Site Data'!$S$7:$S$13,MATCH($A98,'Site Data'!$C$7:$C$13,0))</f>
        <v>20</v>
      </c>
      <c r="D98" s="251" t="s">
        <v>189</v>
      </c>
      <c r="F98" s="262" t="s">
        <v>284</v>
      </c>
      <c r="G98" s="271" t="str">
        <f>IF($B98="SEL","N/A - SEL",INDEX('Solar-Only Proposal'!$A$32:$W$38,MATCH($A98,'Solar-Only Proposal'!$D$32:$D$38,0),MATCH($D98,'Solar-Only Proposal'!$A$31:$W$31,0)))</f>
        <v>N/A - SEL</v>
      </c>
      <c r="H98" s="270" t="s">
        <v>285</v>
      </c>
      <c r="N98" s="262">
        <v>15</v>
      </c>
      <c r="O98" s="293" t="str">
        <f>IF($B98="SEL","N/A - SEL",O97*(1-'System Specification'!$D$10)*IF(N98&lt;=$C98,1,0))</f>
        <v>N/A - SEL</v>
      </c>
      <c r="P98" s="293" t="str" cm="1">
        <f t="array" ref="P98">INDEX(PeGu!$B$24:$H$43,$S98,MATCH($A96,_xlfn.ANCHORARRAY(PeGu!$B$20),0))</f>
        <v>N/A - SEL</v>
      </c>
      <c r="Q98" s="294" t="str">
        <f>IF($B98="SEL","N/A - SEL",PeGu!$E$14*POWER(1+PeGu!$E$15,$S98-1))</f>
        <v>N/A - SEL</v>
      </c>
      <c r="S98" s="262">
        <v>15</v>
      </c>
      <c r="T98" s="293" t="str">
        <f>IF($B98="SEL","N/A - SEL",T97*(1-'System Specification'!$D$10)*IF(S98&lt;=$C98,1,0))</f>
        <v>N/A - SEL</v>
      </c>
      <c r="U98" s="293" t="str" cm="1">
        <f t="array" ref="U98">INDEX(PeGu!$B$52:$H$71,$S98,MATCH($A96,_xlfn.ANCHORARRAY(PeGu!$B$48),0))</f>
        <v>N/A - SEL</v>
      </c>
      <c r="V98" s="294" t="str">
        <f>IF($B98="SEL","N/A - SEL",PeGu!$E$14*POWER(1+PeGu!$E$15,$S98-1))</f>
        <v>N/A - SEL</v>
      </c>
      <c r="X98" s="262">
        <v>15</v>
      </c>
      <c r="Y98" s="293" t="str" cm="1">
        <f t="array" ref="Y98">IF($B98="SEL","N/A - SEL",INDEX(PeGu!$B$78:$H$97,$X98,MATCH($A96,PeGu!$B$76:$H$76,0)))</f>
        <v>N/A - SEL</v>
      </c>
      <c r="Z98" s="294" t="str">
        <f>IF($B98="SEL","N/A - SEL",PeGu!$K$12*POWER(1+PeGu!$K$13,$X98-1))</f>
        <v>N/A - SEL</v>
      </c>
      <c r="AB98" s="263">
        <v>15</v>
      </c>
      <c r="AC98" s="264" cm="1">
        <f t="array" ref="AC98">INDEX('Contract Early Termination'!$B$14:$H$33,$AB98,MATCH($A96,_xlfn.ANCHORARRAY('Contract Early Termination'!$B$10),0))</f>
        <v>0</v>
      </c>
      <c r="AE98" s="263">
        <v>15</v>
      </c>
      <c r="AF98" s="264" cm="1">
        <f t="array" ref="AF98">INDEX('Contract Early Termination'!$B$41:$H$60,$AE98,MATCH($A96,_xlfn.ANCHORARRAY('Contract Early Termination'!$B$37),0))</f>
        <v>0</v>
      </c>
      <c r="AH98" s="263">
        <v>15</v>
      </c>
      <c r="AI98" s="264" cm="1">
        <f t="array" ref="AI98">INDEX('Contract Early Termination'!$B$68:$H$87,$AB98,MATCH($A96,_xlfn.ANCHORARRAY('Contract Early Termination'!$B$64),0))</f>
        <v>0</v>
      </c>
      <c r="AK98" s="263">
        <v>15</v>
      </c>
      <c r="AL98" s="293">
        <f>IF($B98="SPPA","N/A - SPPA",AL97*(1-'System Specification'!$D$10)*IF(AK98&lt;=$C98,1,0))</f>
        <v>0</v>
      </c>
      <c r="AM98" s="293">
        <f>IF($B98="SPPA","N/A - SPPA",AM97*(1-INDEX('System Specification'!$Q$14:$Q$20,MATCH($A98,'System Specification'!$D$14:$D$20,0)))*IF(AK98&lt;=$C98,1,0))</f>
        <v>0</v>
      </c>
      <c r="AN98" s="298" t="str" cm="1">
        <f t="array" ref="AN98">IF($B98="SPPA","N/A - SPPA",INDEX(PeGu!$B$78:$H$97,$AK98,MATCH($A96,PeGu!$B$76:$H$76,0)))</f>
        <v/>
      </c>
      <c r="AP98" s="262">
        <v>15</v>
      </c>
      <c r="AQ98" s="269">
        <f>IF($B98="SPPA","N/A - SPPA", INDEX('Microgrid Proposal'!$N$32:$N$38,MATCH($A98,'Microgrid Proposal'!$D$32:$D$38,0))*IF(AP98&lt;=$C98,1,0))</f>
        <v>0</v>
      </c>
      <c r="AR98" s="264">
        <f t="shared" si="12"/>
        <v>0</v>
      </c>
      <c r="AT98" s="262">
        <v>15</v>
      </c>
      <c r="AU98" s="269">
        <f>IF($B98="SPPA","N/A - SPPA", INDEX('Solar+Storage Proposal'!$N$32:$N$38,MATCH($A98,'Solar+Storage Proposal'!$D$32:$D$38,0))*IF(AT98&lt;=$C98,1,0))</f>
        <v>0</v>
      </c>
      <c r="AV98" s="264">
        <f t="shared" si="13"/>
        <v>0</v>
      </c>
      <c r="AX98" s="262">
        <v>15</v>
      </c>
      <c r="AY98" s="269">
        <f>IF($B98="SPPA","N/A - SPPA", INDEX('Solar-Only Proposal'!$M$32:$M$38,MATCH($A98,'Solar-Only Proposal'!$D$32:$D$38,0))*IF(AX98&lt;=$C98,1,0))</f>
        <v>0</v>
      </c>
      <c r="AZ98" s="264">
        <f t="shared" si="14"/>
        <v>0</v>
      </c>
    </row>
    <row r="99" spans="1:52" ht="15" thickBot="1" x14ac:dyDescent="0.4">
      <c r="A99" s="251" t="str">
        <f t="shared" si="10"/>
        <v>33-G4</v>
      </c>
      <c r="B99" s="251" t="str">
        <f t="shared" si="11"/>
        <v>SEL</v>
      </c>
      <c r="C99" s="251">
        <f>INDEX('Site Data'!$S$7:$S$13,MATCH($A99,'Site Data'!$C$7:$C$13,0))</f>
        <v>20</v>
      </c>
      <c r="D99" s="251" t="s">
        <v>190</v>
      </c>
      <c r="F99" s="258" t="s">
        <v>284</v>
      </c>
      <c r="G99" s="272" t="str">
        <f>IF($B99="SEL","N/A - SEL",INDEX('Solar-Only Proposal'!$A$32:$W$38,MATCH($A99,'Solar-Only Proposal'!$D$32:$D$38,0),MATCH($D99,'Solar-Only Proposal'!$A$31:$W$31,0)))</f>
        <v>N/A - SEL</v>
      </c>
      <c r="H99" s="260" t="s">
        <v>286</v>
      </c>
      <c r="N99" s="262">
        <v>16</v>
      </c>
      <c r="O99" s="293" t="str">
        <f>IF($B99="SEL","N/A - SEL",O98*(1-'System Specification'!$D$10)*IF(N99&lt;=$C99,1,0))</f>
        <v>N/A - SEL</v>
      </c>
      <c r="P99" s="293" t="str" cm="1">
        <f t="array" ref="P99">INDEX(PeGu!$B$24:$H$43,$S99,MATCH($A97,_xlfn.ANCHORARRAY(PeGu!$B$20),0))</f>
        <v>N/A - SEL</v>
      </c>
      <c r="Q99" s="294" t="str">
        <f>IF($B99="SEL","N/A - SEL",PeGu!$E$14*POWER(1+PeGu!$E$15,$S99-1))</f>
        <v>N/A - SEL</v>
      </c>
      <c r="S99" s="262">
        <v>16</v>
      </c>
      <c r="T99" s="293" t="str">
        <f>IF($B99="SEL","N/A - SEL",T98*(1-'System Specification'!$D$10)*IF(S99&lt;=$C99,1,0))</f>
        <v>N/A - SEL</v>
      </c>
      <c r="U99" s="293" t="str" cm="1">
        <f t="array" ref="U99">INDEX(PeGu!$B$52:$H$71,$S99,MATCH($A97,_xlfn.ANCHORARRAY(PeGu!$B$48),0))</f>
        <v>N/A - SEL</v>
      </c>
      <c r="V99" s="294" t="str">
        <f>IF($B99="SEL","N/A - SEL",PeGu!$E$14*POWER(1+PeGu!$E$15,$S99-1))</f>
        <v>N/A - SEL</v>
      </c>
      <c r="X99" s="262">
        <v>16</v>
      </c>
      <c r="Y99" s="293" t="str" cm="1">
        <f t="array" ref="Y99">IF($B99="SEL","N/A - SEL",INDEX(PeGu!$B$78:$H$97,$X99,MATCH($A97,PeGu!$B$76:$H$76,0)))</f>
        <v>N/A - SEL</v>
      </c>
      <c r="Z99" s="294" t="str">
        <f>IF($B99="SEL","N/A - SEL",PeGu!$K$12*POWER(1+PeGu!$K$13,$X99-1))</f>
        <v>N/A - SEL</v>
      </c>
      <c r="AB99" s="263">
        <v>16</v>
      </c>
      <c r="AC99" s="264" cm="1">
        <f t="array" ref="AC99">INDEX('Contract Early Termination'!$B$14:$H$33,$AB99,MATCH($A97,_xlfn.ANCHORARRAY('Contract Early Termination'!$B$10),0))</f>
        <v>0</v>
      </c>
      <c r="AE99" s="263">
        <v>16</v>
      </c>
      <c r="AF99" s="264" cm="1">
        <f t="array" ref="AF99">INDEX('Contract Early Termination'!$B$41:$H$60,$AE99,MATCH($A97,_xlfn.ANCHORARRAY('Contract Early Termination'!$B$37),0))</f>
        <v>0</v>
      </c>
      <c r="AH99" s="263">
        <v>16</v>
      </c>
      <c r="AI99" s="264" cm="1">
        <f t="array" ref="AI99">INDEX('Contract Early Termination'!$B$68:$H$87,$AB99,MATCH($A97,_xlfn.ANCHORARRAY('Contract Early Termination'!$B$64),0))</f>
        <v>0</v>
      </c>
      <c r="AK99" s="263">
        <v>16</v>
      </c>
      <c r="AL99" s="293">
        <f>IF($B99="SPPA","N/A - SPPA",AL98*(1-'System Specification'!$D$10)*IF(AK99&lt;=$C99,1,0))</f>
        <v>0</v>
      </c>
      <c r="AM99" s="293">
        <f>IF($B99="SPPA","N/A - SPPA",AM98*(1-INDEX('System Specification'!$Q$14:$Q$20,MATCH($A99,'System Specification'!$D$14:$D$20,0)))*IF(AK99&lt;=$C99,1,0))</f>
        <v>0</v>
      </c>
      <c r="AN99" s="298" t="str" cm="1">
        <f t="array" ref="AN99">IF($B99="SPPA","N/A - SPPA",INDEX(PeGu!$B$78:$H$97,$AK99,MATCH($A97,PeGu!$B$76:$H$76,0)))</f>
        <v/>
      </c>
      <c r="AP99" s="262">
        <v>16</v>
      </c>
      <c r="AQ99" s="269">
        <f>IF($B99="SPPA","N/A - SPPA", INDEX('Microgrid Proposal'!$N$32:$N$38,MATCH($A99,'Microgrid Proposal'!$D$32:$D$38,0))*IF(AP99&lt;=$C99,1,0))</f>
        <v>0</v>
      </c>
      <c r="AR99" s="264">
        <f t="shared" si="12"/>
        <v>0</v>
      </c>
      <c r="AT99" s="262">
        <v>16</v>
      </c>
      <c r="AU99" s="269">
        <f>IF($B99="SPPA","N/A - SPPA", INDEX('Solar+Storage Proposal'!$N$32:$N$38,MATCH($A99,'Solar+Storage Proposal'!$D$32:$D$38,0))*IF(AT99&lt;=$C99,1,0))</f>
        <v>0</v>
      </c>
      <c r="AV99" s="264">
        <f t="shared" si="13"/>
        <v>0</v>
      </c>
      <c r="AX99" s="262">
        <v>16</v>
      </c>
      <c r="AY99" s="269">
        <f>IF($B99="SPPA","N/A - SPPA", INDEX('Solar-Only Proposal'!$M$32:$M$38,MATCH($A99,'Solar-Only Proposal'!$D$32:$D$38,0))*IF(AX99&lt;=$C99,1,0))</f>
        <v>0</v>
      </c>
      <c r="AZ99" s="264">
        <f t="shared" si="14"/>
        <v>0</v>
      </c>
    </row>
    <row r="100" spans="1:52" ht="15" thickBot="1" x14ac:dyDescent="0.4">
      <c r="A100" s="251" t="str">
        <f t="shared" si="10"/>
        <v>33-G4</v>
      </c>
      <c r="B100" s="251" t="str">
        <f t="shared" si="11"/>
        <v>SEL</v>
      </c>
      <c r="C100" s="251">
        <f>INDEX('Site Data'!$S$7:$S$13,MATCH($A100,'Site Data'!$C$7:$C$13,0))</f>
        <v>20</v>
      </c>
      <c r="N100" s="262">
        <v>17</v>
      </c>
      <c r="O100" s="293" t="str">
        <f>IF($B100="SEL","N/A - SEL",O99*(1-'System Specification'!$D$10)*IF(N100&lt;=$C100,1,0))</f>
        <v>N/A - SEL</v>
      </c>
      <c r="P100" s="293" t="str" cm="1">
        <f t="array" ref="P100">INDEX(PeGu!$B$24:$H$43,$S100,MATCH($A98,_xlfn.ANCHORARRAY(PeGu!$B$20),0))</f>
        <v>N/A - SEL</v>
      </c>
      <c r="Q100" s="294" t="str">
        <f>IF($B100="SEL","N/A - SEL",PeGu!$E$14*POWER(1+PeGu!$E$15,$S100-1))</f>
        <v>N/A - SEL</v>
      </c>
      <c r="S100" s="262">
        <v>17</v>
      </c>
      <c r="T100" s="293" t="str">
        <f>IF($B100="SEL","N/A - SEL",T99*(1-'System Specification'!$D$10)*IF(S100&lt;=$C100,1,0))</f>
        <v>N/A - SEL</v>
      </c>
      <c r="U100" s="293" t="str" cm="1">
        <f t="array" ref="U100">INDEX(PeGu!$B$52:$H$71,$S100,MATCH($A98,_xlfn.ANCHORARRAY(PeGu!$B$48),0))</f>
        <v>N/A - SEL</v>
      </c>
      <c r="V100" s="294" t="str">
        <f>IF($B100="SEL","N/A - SEL",PeGu!$E$14*POWER(1+PeGu!$E$15,$S100-1))</f>
        <v>N/A - SEL</v>
      </c>
      <c r="X100" s="262">
        <v>17</v>
      </c>
      <c r="Y100" s="293" t="str" cm="1">
        <f t="array" ref="Y100">IF($B100="SEL","N/A - SEL",INDEX(PeGu!$B$78:$H$97,$X100,MATCH($A98,PeGu!$B$76:$H$76,0)))</f>
        <v>N/A - SEL</v>
      </c>
      <c r="Z100" s="294" t="str">
        <f>IF($B100="SEL","N/A - SEL",PeGu!$K$12*POWER(1+PeGu!$K$13,$X100-1))</f>
        <v>N/A - SEL</v>
      </c>
      <c r="AB100" s="263">
        <v>17</v>
      </c>
      <c r="AC100" s="264" cm="1">
        <f t="array" ref="AC100">INDEX('Contract Early Termination'!$B$14:$H$33,$AB100,MATCH($A98,_xlfn.ANCHORARRAY('Contract Early Termination'!$B$10),0))</f>
        <v>0</v>
      </c>
      <c r="AE100" s="263">
        <v>17</v>
      </c>
      <c r="AF100" s="264" cm="1">
        <f t="array" ref="AF100">INDEX('Contract Early Termination'!$B$41:$H$60,$AE100,MATCH($A98,_xlfn.ANCHORARRAY('Contract Early Termination'!$B$37),0))</f>
        <v>0</v>
      </c>
      <c r="AH100" s="263">
        <v>17</v>
      </c>
      <c r="AI100" s="264" cm="1">
        <f t="array" ref="AI100">INDEX('Contract Early Termination'!$B$68:$H$87,$AB100,MATCH($A98,_xlfn.ANCHORARRAY('Contract Early Termination'!$B$64),0))</f>
        <v>0</v>
      </c>
      <c r="AK100" s="263">
        <v>17</v>
      </c>
      <c r="AL100" s="293">
        <f>IF($B100="SPPA","N/A - SPPA",AL99*(1-'System Specification'!$D$10)*IF(AK100&lt;=$C100,1,0))</f>
        <v>0</v>
      </c>
      <c r="AM100" s="293">
        <f>IF($B100="SPPA","N/A - SPPA",AM99*(1-INDEX('System Specification'!$Q$14:$Q$20,MATCH($A100,'System Specification'!$D$14:$D$20,0)))*IF(AK100&lt;=$C100,1,0))</f>
        <v>0</v>
      </c>
      <c r="AN100" s="298" t="str" cm="1">
        <f t="array" ref="AN100">IF($B100="SPPA","N/A - SPPA",INDEX(PeGu!$B$78:$H$97,$AK100,MATCH($A98,PeGu!$B$76:$H$76,0)))</f>
        <v/>
      </c>
      <c r="AP100" s="262">
        <v>17</v>
      </c>
      <c r="AQ100" s="269">
        <f>IF($B100="SPPA","N/A - SPPA", INDEX('Microgrid Proposal'!$N$32:$N$38,MATCH($A100,'Microgrid Proposal'!$D$32:$D$38,0))*IF(AP100&lt;=$C100,1,0))</f>
        <v>0</v>
      </c>
      <c r="AR100" s="264">
        <f t="shared" si="12"/>
        <v>0</v>
      </c>
      <c r="AT100" s="262">
        <v>17</v>
      </c>
      <c r="AU100" s="269">
        <f>IF($B100="SPPA","N/A - SPPA", INDEX('Solar+Storage Proposal'!$N$32:$N$38,MATCH($A100,'Solar+Storage Proposal'!$D$32:$D$38,0))*IF(AT100&lt;=$C100,1,0))</f>
        <v>0</v>
      </c>
      <c r="AV100" s="264">
        <f t="shared" si="13"/>
        <v>0</v>
      </c>
      <c r="AX100" s="262">
        <v>17</v>
      </c>
      <c r="AY100" s="269">
        <f>IF($B100="SPPA","N/A - SPPA", INDEX('Solar-Only Proposal'!$M$32:$M$38,MATCH($A100,'Solar-Only Proposal'!$D$32:$D$38,0))*IF(AX100&lt;=$C100,1,0))</f>
        <v>0</v>
      </c>
      <c r="AZ100" s="264">
        <f t="shared" si="14"/>
        <v>0</v>
      </c>
    </row>
    <row r="101" spans="1:52" ht="15" thickBot="1" x14ac:dyDescent="0.4">
      <c r="A101" s="251" t="str">
        <f t="shared" si="10"/>
        <v>33-G4</v>
      </c>
      <c r="B101" s="251" t="str">
        <f t="shared" si="11"/>
        <v>SEL</v>
      </c>
      <c r="C101" s="251">
        <f>INDEX('Site Data'!$S$7:$S$13,MATCH($A101,'Site Data'!$C$7:$C$13,0))</f>
        <v>20</v>
      </c>
      <c r="F101" s="502" t="s">
        <v>236</v>
      </c>
      <c r="G101" s="503"/>
      <c r="H101" s="504"/>
      <c r="J101" s="502" t="s">
        <v>237</v>
      </c>
      <c r="K101" s="503"/>
      <c r="L101" s="504"/>
      <c r="N101" s="262">
        <v>18</v>
      </c>
      <c r="O101" s="293" t="str">
        <f>IF($B101="SEL","N/A - SEL",O100*(1-'System Specification'!$D$10)*IF(N101&lt;=$C101,1,0))</f>
        <v>N/A - SEL</v>
      </c>
      <c r="P101" s="293" t="str" cm="1">
        <f t="array" ref="P101">INDEX(PeGu!$B$24:$H$43,$S101,MATCH($A99,_xlfn.ANCHORARRAY(PeGu!$B$20),0))</f>
        <v>N/A - SEL</v>
      </c>
      <c r="Q101" s="294" t="str">
        <f>IF($B101="SEL","N/A - SEL",PeGu!$E$14*POWER(1+PeGu!$E$15,$S101-1))</f>
        <v>N/A - SEL</v>
      </c>
      <c r="S101" s="262">
        <v>18</v>
      </c>
      <c r="T101" s="293" t="str">
        <f>IF($B101="SEL","N/A - SEL",T100*(1-'System Specification'!$D$10)*IF(S101&lt;=$C101,1,0))</f>
        <v>N/A - SEL</v>
      </c>
      <c r="U101" s="293" t="str" cm="1">
        <f t="array" ref="U101">INDEX(PeGu!$B$52:$H$71,$S101,MATCH($A99,_xlfn.ANCHORARRAY(PeGu!$B$48),0))</f>
        <v>N/A - SEL</v>
      </c>
      <c r="V101" s="294" t="str">
        <f>IF($B101="SEL","N/A - SEL",PeGu!$E$14*POWER(1+PeGu!$E$15,$S101-1))</f>
        <v>N/A - SEL</v>
      </c>
      <c r="X101" s="262">
        <v>18</v>
      </c>
      <c r="Y101" s="293" t="str" cm="1">
        <f t="array" ref="Y101">IF($B101="SEL","N/A - SEL",INDEX(PeGu!$B$78:$H$97,$X101,MATCH($A99,PeGu!$B$76:$H$76,0)))</f>
        <v>N/A - SEL</v>
      </c>
      <c r="Z101" s="294" t="str">
        <f>IF($B101="SEL","N/A - SEL",PeGu!$K$12*POWER(1+PeGu!$K$13,$X101-1))</f>
        <v>N/A - SEL</v>
      </c>
      <c r="AB101" s="263">
        <v>18</v>
      </c>
      <c r="AC101" s="264" cm="1">
        <f t="array" ref="AC101">INDEX('Contract Early Termination'!$B$14:$H$33,$AB101,MATCH($A99,_xlfn.ANCHORARRAY('Contract Early Termination'!$B$10),0))</f>
        <v>0</v>
      </c>
      <c r="AE101" s="263">
        <v>18</v>
      </c>
      <c r="AF101" s="264" cm="1">
        <f t="array" ref="AF101">INDEX('Contract Early Termination'!$B$41:$H$60,$AE101,MATCH($A99,_xlfn.ANCHORARRAY('Contract Early Termination'!$B$37),0))</f>
        <v>0</v>
      </c>
      <c r="AH101" s="263">
        <v>18</v>
      </c>
      <c r="AI101" s="264" cm="1">
        <f t="array" ref="AI101">INDEX('Contract Early Termination'!$B$68:$H$87,$AB101,MATCH($A99,_xlfn.ANCHORARRAY('Contract Early Termination'!$B$64),0))</f>
        <v>0</v>
      </c>
      <c r="AK101" s="263">
        <v>18</v>
      </c>
      <c r="AL101" s="293">
        <f>IF($B101="SPPA","N/A - SPPA",AL100*(1-'System Specification'!$D$10)*IF(AK101&lt;=$C101,1,0))</f>
        <v>0</v>
      </c>
      <c r="AM101" s="293">
        <f>IF($B101="SPPA","N/A - SPPA",AM100*(1-INDEX('System Specification'!$Q$14:$Q$20,MATCH($A101,'System Specification'!$D$14:$D$20,0)))*IF(AK101&lt;=$C101,1,0))</f>
        <v>0</v>
      </c>
      <c r="AN101" s="298" t="str" cm="1">
        <f t="array" ref="AN101">IF($B101="SPPA","N/A - SPPA",INDEX(PeGu!$B$78:$H$97,$AK101,MATCH($A99,PeGu!$B$76:$H$76,0)))</f>
        <v/>
      </c>
      <c r="AP101" s="262">
        <v>18</v>
      </c>
      <c r="AQ101" s="269">
        <f>IF($B101="SPPA","N/A - SPPA", INDEX('Microgrid Proposal'!$N$32:$N$38,MATCH($A101,'Microgrid Proposal'!$D$32:$D$38,0))*IF(AP101&lt;=$C101,1,0))</f>
        <v>0</v>
      </c>
      <c r="AR101" s="264">
        <f t="shared" si="12"/>
        <v>0</v>
      </c>
      <c r="AT101" s="262">
        <v>18</v>
      </c>
      <c r="AU101" s="269">
        <f>IF($B101="SPPA","N/A - SPPA", INDEX('Solar+Storage Proposal'!$N$32:$N$38,MATCH($A101,'Solar+Storage Proposal'!$D$32:$D$38,0))*IF(AT101&lt;=$C101,1,0))</f>
        <v>0</v>
      </c>
      <c r="AV101" s="264">
        <f t="shared" si="13"/>
        <v>0</v>
      </c>
      <c r="AX101" s="262">
        <v>18</v>
      </c>
      <c r="AY101" s="269">
        <f>IF($B101="SPPA","N/A - SPPA", INDEX('Solar-Only Proposal'!$M$32:$M$38,MATCH($A101,'Solar-Only Proposal'!$D$32:$D$38,0))*IF(AX101&lt;=$C101,1,0))</f>
        <v>0</v>
      </c>
      <c r="AZ101" s="264">
        <f t="shared" si="14"/>
        <v>0</v>
      </c>
    </row>
    <row r="102" spans="1:52" ht="15" thickBot="1" x14ac:dyDescent="0.4">
      <c r="A102" s="251" t="str">
        <f t="shared" si="10"/>
        <v>33-G4</v>
      </c>
      <c r="B102" s="251" t="str">
        <f t="shared" si="11"/>
        <v>SEL</v>
      </c>
      <c r="C102" s="251">
        <f>INDEX('Site Data'!$S$7:$S$13,MATCH($A102,'Site Data'!$C$7:$C$13,0))</f>
        <v>20</v>
      </c>
      <c r="F102" s="502" t="s">
        <v>290</v>
      </c>
      <c r="G102" s="503"/>
      <c r="H102" s="504"/>
      <c r="J102" s="502" t="s">
        <v>291</v>
      </c>
      <c r="K102" s="503"/>
      <c r="L102" s="504"/>
      <c r="N102" s="262">
        <v>19</v>
      </c>
      <c r="O102" s="293" t="str">
        <f>IF($B102="SEL","N/A - SEL",O101*(1-'System Specification'!$D$10)*IF(N102&lt;=$C102,1,0))</f>
        <v>N/A - SEL</v>
      </c>
      <c r="P102" s="293" t="str" cm="1">
        <f t="array" ref="P102">INDEX(PeGu!$B$24:$H$43,$S102,MATCH($A100,_xlfn.ANCHORARRAY(PeGu!$B$20),0))</f>
        <v>N/A - SEL</v>
      </c>
      <c r="Q102" s="294" t="str">
        <f>IF($B102="SEL","N/A - SEL",PeGu!$E$14*POWER(1+PeGu!$E$15,$S102-1))</f>
        <v>N/A - SEL</v>
      </c>
      <c r="S102" s="262">
        <v>19</v>
      </c>
      <c r="T102" s="293" t="str">
        <f>IF($B102="SEL","N/A - SEL",T101*(1-'System Specification'!$D$10)*IF(S102&lt;=$C102,1,0))</f>
        <v>N/A - SEL</v>
      </c>
      <c r="U102" s="293" t="str" cm="1">
        <f t="array" ref="U102">INDEX(PeGu!$B$52:$H$71,$S102,MATCH($A100,_xlfn.ANCHORARRAY(PeGu!$B$48),0))</f>
        <v>N/A - SEL</v>
      </c>
      <c r="V102" s="294" t="str">
        <f>IF($B102="SEL","N/A - SEL",PeGu!$E$14*POWER(1+PeGu!$E$15,$S102-1))</f>
        <v>N/A - SEL</v>
      </c>
      <c r="X102" s="262">
        <v>19</v>
      </c>
      <c r="Y102" s="293" t="str" cm="1">
        <f t="array" ref="Y102">IF($B102="SEL","N/A - SEL",INDEX(PeGu!$B$78:$H$97,$X102,MATCH($A100,PeGu!$B$76:$H$76,0)))</f>
        <v>N/A - SEL</v>
      </c>
      <c r="Z102" s="294" t="str">
        <f>IF($B102="SEL","N/A - SEL",PeGu!$K$12*POWER(1+PeGu!$K$13,$X102-1))</f>
        <v>N/A - SEL</v>
      </c>
      <c r="AB102" s="263">
        <v>19</v>
      </c>
      <c r="AC102" s="264" cm="1">
        <f t="array" ref="AC102">INDEX('Contract Early Termination'!$B$14:$H$33,$AB102,MATCH($A100,_xlfn.ANCHORARRAY('Contract Early Termination'!$B$10),0))</f>
        <v>0</v>
      </c>
      <c r="AE102" s="263">
        <v>19</v>
      </c>
      <c r="AF102" s="264" cm="1">
        <f t="array" ref="AF102">INDEX('Contract Early Termination'!$B$41:$H$60,$AE102,MATCH($A100,_xlfn.ANCHORARRAY('Contract Early Termination'!$B$37),0))</f>
        <v>0</v>
      </c>
      <c r="AH102" s="263">
        <v>19</v>
      </c>
      <c r="AI102" s="264" cm="1">
        <f t="array" ref="AI102">INDEX('Contract Early Termination'!$B$68:$H$87,$AB102,MATCH($A100,_xlfn.ANCHORARRAY('Contract Early Termination'!$B$64),0))</f>
        <v>0</v>
      </c>
      <c r="AJ102" s="278"/>
      <c r="AK102" s="263">
        <v>19</v>
      </c>
      <c r="AL102" s="293">
        <f>IF($B102="SPPA","N/A - SPPA",AL101*(1-'System Specification'!$D$10)*IF(AK102&lt;=$C102,1,0))</f>
        <v>0</v>
      </c>
      <c r="AM102" s="293">
        <f>IF($B102="SPPA","N/A - SPPA",AM101*(1-INDEX('System Specification'!$Q$14:$Q$20,MATCH($A102,'System Specification'!$D$14:$D$20,0)))*IF(AK102&lt;=$C102,1,0))</f>
        <v>0</v>
      </c>
      <c r="AN102" s="298" t="str" cm="1">
        <f t="array" ref="AN102">IF($B102="SPPA","N/A - SPPA",INDEX(PeGu!$B$78:$H$97,$AK102,MATCH($A100,PeGu!$B$76:$H$76,0)))</f>
        <v/>
      </c>
      <c r="AP102" s="265">
        <v>19</v>
      </c>
      <c r="AQ102" s="269">
        <f>IF($B102="SPPA","N/A - SPPA", INDEX('Microgrid Proposal'!$N$32:$N$38,MATCH($A102,'Microgrid Proposal'!$D$32:$D$38,0))*IF(AP102&lt;=$C102,1,0))</f>
        <v>0</v>
      </c>
      <c r="AR102" s="264">
        <f t="shared" si="12"/>
        <v>0</v>
      </c>
      <c r="AT102" s="265">
        <v>19</v>
      </c>
      <c r="AU102" s="269">
        <f>IF($B102="SPPA","N/A - SPPA", INDEX('Solar+Storage Proposal'!$N$32:$N$38,MATCH($A102,'Solar+Storage Proposal'!$D$32:$D$38,0))*IF(AT102&lt;=$C102,1,0))</f>
        <v>0</v>
      </c>
      <c r="AV102" s="264">
        <f t="shared" si="13"/>
        <v>0</v>
      </c>
      <c r="AX102" s="265">
        <v>19</v>
      </c>
      <c r="AY102" s="269">
        <f>IF($B102="SPPA","N/A - SPPA", INDEX('Solar-Only Proposal'!$M$32:$M$38,MATCH($A102,'Solar-Only Proposal'!$D$32:$D$38,0))*IF(AX102&lt;=$C102,1,0))</f>
        <v>0</v>
      </c>
      <c r="AZ102" s="264">
        <f t="shared" si="14"/>
        <v>0</v>
      </c>
    </row>
    <row r="103" spans="1:52" ht="15" thickBot="1" x14ac:dyDescent="0.4">
      <c r="A103" s="251" t="str">
        <f t="shared" si="10"/>
        <v>33-G4</v>
      </c>
      <c r="B103" s="251" t="str">
        <f t="shared" si="11"/>
        <v>SEL</v>
      </c>
      <c r="C103" s="251">
        <f>INDEX('Site Data'!$S$7:$S$13,MATCH($A103,'Site Data'!$C$7:$C$13,0))</f>
        <v>20</v>
      </c>
      <c r="F103" s="280" t="s">
        <v>292</v>
      </c>
      <c r="G103" s="281" t="str">
        <f>G82</f>
        <v>N/A - SEL</v>
      </c>
      <c r="H103" s="282" t="s">
        <v>250</v>
      </c>
      <c r="J103" s="266" t="s">
        <v>292</v>
      </c>
      <c r="K103" s="285">
        <f>K82</f>
        <v>20</v>
      </c>
      <c r="L103" s="268" t="s">
        <v>250</v>
      </c>
      <c r="N103" s="258">
        <v>20</v>
      </c>
      <c r="O103" s="259" t="str">
        <f>IF($B103="SEL","N/A - SEL",O102*(1-'System Specification'!$D$10)*IF(N103&lt;=$C103,1,0))</f>
        <v>N/A - SEL</v>
      </c>
      <c r="P103" s="259" t="str" cm="1">
        <f t="array" ref="P103">INDEX(PeGu!$B$24:$H$43,$S103,MATCH($A101,_xlfn.ANCHORARRAY(PeGu!$B$20),0))</f>
        <v>N/A - SEL</v>
      </c>
      <c r="Q103" s="295" t="str">
        <f>IF($B103="SEL","N/A - SEL",PeGu!$E$14*POWER(1+PeGu!$E$15,$S103-1))</f>
        <v>N/A - SEL</v>
      </c>
      <c r="S103" s="258">
        <v>20</v>
      </c>
      <c r="T103" s="259" t="str">
        <f>IF($B103="SEL","N/A - SEL",T102*(1-'System Specification'!$D$10)*IF(S103&lt;=$C103,1,0))</f>
        <v>N/A - SEL</v>
      </c>
      <c r="U103" s="259" t="str" cm="1">
        <f t="array" ref="U103">INDEX(PeGu!$B$52:$H$71,$S103,MATCH($A101,_xlfn.ANCHORARRAY(PeGu!$B$48),0))</f>
        <v>N/A - SEL</v>
      </c>
      <c r="V103" s="295" t="str">
        <f>IF($B103="SEL","N/A - SEL",PeGu!$E$14*POWER(1+PeGu!$E$15,$S103-1))</f>
        <v>N/A - SEL</v>
      </c>
      <c r="X103" s="258">
        <v>20</v>
      </c>
      <c r="Y103" s="259" t="str" cm="1">
        <f t="array" ref="Y103">IF($B103="SEL","N/A - SEL",INDEX(PeGu!$B$78:$H$97,$X103,MATCH($A101,PeGu!$B$76:$H$76,0)))</f>
        <v>N/A - SEL</v>
      </c>
      <c r="Z103" s="295" t="str">
        <f>IF($B103="SEL","N/A - SEL",PeGu!$K$12*POWER(1+PeGu!$K$13,$X103-1))</f>
        <v>N/A - SEL</v>
      </c>
      <c r="AB103" s="273">
        <v>20</v>
      </c>
      <c r="AC103" s="274" cm="1">
        <f t="array" ref="AC103">INDEX('Contract Early Termination'!$B$14:$H$33,$AB103,MATCH($A101,_xlfn.ANCHORARRAY('Contract Early Termination'!$B$10),0))</f>
        <v>0</v>
      </c>
      <c r="AD103" s="275"/>
      <c r="AE103" s="273">
        <v>20</v>
      </c>
      <c r="AF103" s="274" cm="1">
        <f t="array" ref="AF103">INDEX('Contract Early Termination'!$B$41:$H$60,$AE103,MATCH($A101,_xlfn.ANCHORARRAY('Contract Early Termination'!$B$37),0))</f>
        <v>0</v>
      </c>
      <c r="AG103" s="277"/>
      <c r="AH103" s="273">
        <v>20</v>
      </c>
      <c r="AI103" s="274" cm="1">
        <f t="array" ref="AI103">INDEX('Contract Early Termination'!$B$68:$H$87,$AB103,MATCH($A101,_xlfn.ANCHORARRAY('Contract Early Termination'!$B$64),0))</f>
        <v>0</v>
      </c>
      <c r="AJ103" s="278"/>
      <c r="AK103" s="273">
        <v>20</v>
      </c>
      <c r="AL103" s="259">
        <f>IF($B103="SPPA","N/A - SPPA",AL102*(1-'System Specification'!$D$10)*IF(AK103&lt;=$C103,1,0))</f>
        <v>0</v>
      </c>
      <c r="AM103" s="259">
        <f>IF($B103="SPPA","N/A - SPPA",AM102*(1-INDEX('System Specification'!$Q$14:$Q$20,MATCH($A103,'System Specification'!$D$14:$D$20,0)))*IF(AK103&lt;=$C103,1,0))</f>
        <v>0</v>
      </c>
      <c r="AN103" s="299" t="str" cm="1">
        <f t="array" ref="AN103">IF($B103="SPPA","N/A - SPPA",INDEX(PeGu!$B$78:$H$97,$AK103,MATCH($A101,PeGu!$B$76:$H$76,0)))</f>
        <v/>
      </c>
      <c r="AP103" s="276">
        <v>20</v>
      </c>
      <c r="AQ103" s="300">
        <f>IF($B103="SPPA","N/A - SPPA", INDEX('Microgrid Proposal'!$N$32:$N$38,MATCH($A103,'Microgrid Proposal'!$D$32:$D$38,0))*IF(AP103&lt;=$C103,1,0))</f>
        <v>0</v>
      </c>
      <c r="AR103" s="274">
        <f t="shared" si="12"/>
        <v>0</v>
      </c>
      <c r="AT103" s="276">
        <v>20</v>
      </c>
      <c r="AU103" s="300">
        <f>IF($B103="SPPA","N/A - SPPA", INDEX('Solar+Storage Proposal'!$N$32:$N$38,MATCH($A103,'Solar+Storage Proposal'!$D$32:$D$38,0))*IF(AT103&lt;=$C103,1,0))</f>
        <v>0</v>
      </c>
      <c r="AV103" s="274">
        <f t="shared" si="13"/>
        <v>0</v>
      </c>
      <c r="AX103" s="276">
        <v>20</v>
      </c>
      <c r="AY103" s="300">
        <f>IF($B103="SPPA","N/A - SPPA", INDEX('Solar-Only Proposal'!$M$32:$M$38,MATCH($A103,'Solar-Only Proposal'!$D$32:$D$38,0))*IF(AX103&lt;=$C103,1,0))</f>
        <v>0</v>
      </c>
      <c r="AZ103" s="274">
        <f t="shared" si="14"/>
        <v>0</v>
      </c>
    </row>
    <row r="104" spans="1:52" ht="15" thickBot="1" x14ac:dyDescent="0.4">
      <c r="A104" s="251" t="str">
        <f t="shared" si="10"/>
        <v>33-G4</v>
      </c>
      <c r="B104" s="251" t="str">
        <f t="shared" si="11"/>
        <v>SEL</v>
      </c>
      <c r="C104" s="251">
        <f>INDEX('Site Data'!$S$7:$S$13,MATCH($A104,'Site Data'!$C$7:$C$13,0))</f>
        <v>20</v>
      </c>
      <c r="F104" s="502" t="s">
        <v>293</v>
      </c>
      <c r="G104" s="503"/>
      <c r="H104" s="504"/>
      <c r="J104" s="258" t="s">
        <v>294</v>
      </c>
      <c r="K104" s="302">
        <f>IF($B104="SPPA","N/A - SPPA",PeGu!$E$16)</f>
        <v>0</v>
      </c>
      <c r="L104" s="260" t="s">
        <v>295</v>
      </c>
      <c r="T104" s="275"/>
      <c r="U104" s="275"/>
      <c r="V104" s="283"/>
      <c r="Y104" s="275"/>
      <c r="Z104" s="275"/>
      <c r="AA104" s="283"/>
      <c r="AD104" s="275"/>
      <c r="AE104" s="283"/>
      <c r="AG104" s="277"/>
      <c r="AH104" s="279"/>
      <c r="AJ104" s="278"/>
      <c r="AK104" s="279"/>
      <c r="AM104" s="278"/>
      <c r="AN104" s="279"/>
      <c r="AP104" s="278"/>
      <c r="AQ104" s="278"/>
      <c r="AR104" s="278"/>
      <c r="AT104" s="278"/>
      <c r="AU104" s="278"/>
      <c r="AV104" s="278"/>
      <c r="AX104" s="278"/>
      <c r="AY104" s="278"/>
      <c r="AZ104" s="278"/>
    </row>
    <row r="105" spans="1:52" ht="15" thickBot="1" x14ac:dyDescent="0.4">
      <c r="A105" s="251" t="str">
        <f t="shared" si="10"/>
        <v>33-G4</v>
      </c>
      <c r="B105" s="251" t="str">
        <f t="shared" si="11"/>
        <v>SEL</v>
      </c>
      <c r="C105" s="251">
        <f>INDEX('Site Data'!$S$7:$S$13,MATCH($A105,'Site Data'!$C$7:$C$13,0))</f>
        <v>20</v>
      </c>
      <c r="F105" s="280" t="s">
        <v>296</v>
      </c>
      <c r="G105" s="284" t="str">
        <f>IF($B105="SEL","N/A - SEL",PeGu!$E$12)</f>
        <v>N/A - SEL</v>
      </c>
      <c r="H105" s="282" t="s">
        <v>295</v>
      </c>
      <c r="T105" s="275"/>
      <c r="U105" s="275"/>
      <c r="V105" s="283"/>
      <c r="Y105" s="275"/>
      <c r="Z105" s="275"/>
      <c r="AA105" s="283"/>
      <c r="AD105" s="275"/>
      <c r="AE105" s="283"/>
      <c r="AG105" s="277"/>
      <c r="AH105" s="279"/>
      <c r="AJ105" s="278"/>
      <c r="AK105" s="279"/>
      <c r="AM105" s="278"/>
      <c r="AN105" s="279"/>
      <c r="AP105" s="278"/>
      <c r="AQ105" s="278"/>
      <c r="AR105" s="278"/>
      <c r="AT105" s="278"/>
      <c r="AU105" s="278"/>
      <c r="AV105" s="278"/>
      <c r="AX105" s="278"/>
      <c r="AY105" s="278"/>
      <c r="AZ105" s="278"/>
    </row>
    <row r="106" spans="1:52" ht="15" thickBot="1" x14ac:dyDescent="0.4"/>
    <row r="107" spans="1:52" x14ac:dyDescent="0.35">
      <c r="F107" s="255" t="s">
        <v>9</v>
      </c>
      <c r="G107" s="522">
        <f>G74+1</f>
        <v>4</v>
      </c>
      <c r="H107" s="523"/>
    </row>
    <row r="108" spans="1:52" x14ac:dyDescent="0.35">
      <c r="F108" s="256" t="s">
        <v>10</v>
      </c>
      <c r="G108" s="524" t="str">
        <f>INDEX(Site_Data_Table,MATCH(G107,'Site Data'!$A$6:$A$13,0),MATCH(F108,Site_Data_Column_Names,0))</f>
        <v>San Bernardino Justice Center</v>
      </c>
      <c r="H108" s="525"/>
    </row>
    <row r="109" spans="1:52" x14ac:dyDescent="0.35">
      <c r="F109" s="256" t="s">
        <v>11</v>
      </c>
      <c r="G109" s="526" t="str">
        <f>INDEX(Site_Data_Table,MATCH(G107,'Site Data'!$A$6:$A$13,0),MATCH(F109,Site_Data_Column_Names,0))</f>
        <v>36-R1</v>
      </c>
      <c r="H109" s="527"/>
    </row>
    <row r="110" spans="1:52" ht="15.65" customHeight="1" thickBot="1" x14ac:dyDescent="0.4">
      <c r="F110" s="257" t="s">
        <v>26</v>
      </c>
      <c r="G110" s="531" t="str">
        <f>INDEX(Site_Data_Table,MATCH(G107,'Site Data'!$A$6:$A$13,0),MATCH(F110,Site_Data_Column_Names,0))</f>
        <v>SPPA</v>
      </c>
      <c r="H110" s="532"/>
    </row>
    <row r="112" spans="1:52" ht="15.65" customHeight="1" thickBot="1" x14ac:dyDescent="0.4">
      <c r="A112" s="301" t="s">
        <v>11</v>
      </c>
      <c r="B112" s="301" t="s">
        <v>26</v>
      </c>
      <c r="C112" s="301" t="s">
        <v>231</v>
      </c>
      <c r="D112" s="301" t="s">
        <v>232</v>
      </c>
      <c r="E112" s="301" t="s">
        <v>233</v>
      </c>
    </row>
    <row r="113" spans="1:52" ht="15" thickBot="1" x14ac:dyDescent="0.4">
      <c r="A113" s="251" t="str">
        <f>G109</f>
        <v>36-R1</v>
      </c>
      <c r="B113" s="251" t="str">
        <f>G110</f>
        <v>SPPA</v>
      </c>
      <c r="C113" s="251">
        <f>INDEX('Site Data'!$S$7:$S$13,MATCH($A113,'Site Data'!$C$7:$C$13,0))</f>
        <v>20</v>
      </c>
      <c r="F113" s="502" t="s">
        <v>234</v>
      </c>
      <c r="G113" s="503"/>
      <c r="H113" s="504"/>
      <c r="J113" s="502" t="s">
        <v>235</v>
      </c>
      <c r="K113" s="503"/>
      <c r="L113" s="504"/>
      <c r="N113" s="513" t="s">
        <v>236</v>
      </c>
      <c r="O113" s="514"/>
      <c r="P113" s="514"/>
      <c r="Q113" s="515"/>
      <c r="S113" s="528" t="s">
        <v>236</v>
      </c>
      <c r="T113" s="529"/>
      <c r="U113" s="529"/>
      <c r="V113" s="530"/>
      <c r="X113" s="516" t="s">
        <v>236</v>
      </c>
      <c r="Y113" s="517"/>
      <c r="Z113" s="518"/>
      <c r="AB113" s="513" t="str">
        <f>IF($B113="SPPA","Attachment E","Attachment N2")</f>
        <v>Attachment E</v>
      </c>
      <c r="AC113" s="515"/>
      <c r="AE113" s="513" t="str">
        <f>IF($B113="SPPA","Attachment E","Attachment N2")</f>
        <v>Attachment E</v>
      </c>
      <c r="AF113" s="515"/>
      <c r="AH113" s="513" t="str">
        <f>IF($B113="SPPA","Attachment E","Attachment N2")</f>
        <v>Attachment E</v>
      </c>
      <c r="AI113" s="515"/>
      <c r="AK113" s="519" t="s">
        <v>237</v>
      </c>
      <c r="AL113" s="520"/>
      <c r="AM113" s="520"/>
      <c r="AN113" s="521"/>
      <c r="AP113" s="541" t="s">
        <v>235</v>
      </c>
      <c r="AQ113" s="542"/>
      <c r="AR113" s="543"/>
      <c r="AT113" s="541" t="s">
        <v>235</v>
      </c>
      <c r="AU113" s="542"/>
      <c r="AV113" s="543"/>
      <c r="AX113" s="541" t="s">
        <v>235</v>
      </c>
      <c r="AY113" s="542"/>
      <c r="AZ113" s="543"/>
    </row>
    <row r="114" spans="1:52" ht="14.65" customHeight="1" thickBot="1" x14ac:dyDescent="0.4">
      <c r="A114" s="251" t="str">
        <f>A113</f>
        <v>36-R1</v>
      </c>
      <c r="B114" s="251" t="str">
        <f>B113</f>
        <v>SPPA</v>
      </c>
      <c r="C114" s="251">
        <f>INDEX('Site Data'!$S$7:$S$13,MATCH($A114,'Site Data'!$C$7:$C$13,0))</f>
        <v>20</v>
      </c>
      <c r="F114" s="505" t="s">
        <v>46</v>
      </c>
      <c r="G114" s="506"/>
      <c r="H114" s="507"/>
      <c r="J114" s="502" t="s">
        <v>238</v>
      </c>
      <c r="K114" s="503"/>
      <c r="L114" s="504"/>
      <c r="N114" s="508" t="s">
        <v>239</v>
      </c>
      <c r="O114" s="509"/>
      <c r="P114" s="509"/>
      <c r="Q114" s="510"/>
      <c r="S114" s="508" t="s">
        <v>240</v>
      </c>
      <c r="T114" s="509"/>
      <c r="U114" s="509"/>
      <c r="V114" s="510"/>
      <c r="W114" s="252"/>
      <c r="X114" s="508" t="s">
        <v>241</v>
      </c>
      <c r="Y114" s="509"/>
      <c r="Z114" s="510"/>
      <c r="AB114" s="511" t="s">
        <v>242</v>
      </c>
      <c r="AC114" s="512"/>
      <c r="AE114" s="511" t="s">
        <v>243</v>
      </c>
      <c r="AF114" s="512"/>
      <c r="AH114" s="511" t="s">
        <v>244</v>
      </c>
      <c r="AI114" s="512"/>
      <c r="AK114" s="538" t="s">
        <v>245</v>
      </c>
      <c r="AL114" s="539"/>
      <c r="AM114" s="539"/>
      <c r="AN114" s="540"/>
      <c r="AP114" s="544" t="s">
        <v>246</v>
      </c>
      <c r="AQ114" s="545"/>
      <c r="AR114" s="546"/>
      <c r="AT114" s="544" t="s">
        <v>247</v>
      </c>
      <c r="AU114" s="545"/>
      <c r="AV114" s="546"/>
      <c r="AX114" s="544" t="s">
        <v>248</v>
      </c>
      <c r="AY114" s="545"/>
      <c r="AZ114" s="546"/>
    </row>
    <row r="115" spans="1:52" ht="15" thickBot="1" x14ac:dyDescent="0.4">
      <c r="A115" s="251" t="str">
        <f t="shared" ref="A115:A138" si="15">A114</f>
        <v>36-R1</v>
      </c>
      <c r="B115" s="251" t="str">
        <f t="shared" ref="B115:B138" si="16">B114</f>
        <v>SPPA</v>
      </c>
      <c r="C115" s="251">
        <f>INDEX('Site Data'!$S$7:$S$13,MATCH($A115,'Site Data'!$C$7:$C$13,0))</f>
        <v>20</v>
      </c>
      <c r="D115" s="251" t="s">
        <v>27</v>
      </c>
      <c r="E115" s="251" t="s">
        <v>27</v>
      </c>
      <c r="F115" s="258" t="s">
        <v>249</v>
      </c>
      <c r="G115" s="259">
        <f>IF($B115="SEL","N/A - SEL",INDEX(Site_Data_Table,MATCH($A115,'Site Data'!$C$6:$C$13,0),MATCH($D115,Site_Data_Column_Names,0)))</f>
        <v>20</v>
      </c>
      <c r="H115" s="260" t="s">
        <v>250</v>
      </c>
      <c r="J115" s="266" t="s">
        <v>251</v>
      </c>
      <c r="K115" s="285" t="str">
        <f>IF($B115="SPPA","N/A - SPPA",INDEX(Site_Data_Table,MATCH($A115,'Site Data'!$C$6:$C$13,0),MATCH($E115,Site_Data_Column_Names,0)))</f>
        <v>N/A - SPPA</v>
      </c>
      <c r="L115" s="268" t="s">
        <v>250</v>
      </c>
      <c r="N115" s="535" t="s">
        <v>252</v>
      </c>
      <c r="O115" s="536"/>
      <c r="P115" s="536"/>
      <c r="Q115" s="537"/>
      <c r="S115" s="535" t="s">
        <v>252</v>
      </c>
      <c r="T115" s="536"/>
      <c r="U115" s="536"/>
      <c r="V115" s="537"/>
      <c r="X115" s="535" t="s">
        <v>253</v>
      </c>
      <c r="Y115" s="536"/>
      <c r="Z115" s="537"/>
      <c r="AB115" s="533" t="s">
        <v>254</v>
      </c>
      <c r="AC115" s="534"/>
      <c r="AE115" s="533" t="s">
        <v>254</v>
      </c>
      <c r="AF115" s="534"/>
      <c r="AH115" s="533" t="s">
        <v>254</v>
      </c>
      <c r="AI115" s="534"/>
      <c r="AK115" s="550" t="s">
        <v>255</v>
      </c>
      <c r="AL115" s="551"/>
      <c r="AM115" s="551"/>
      <c r="AN115" s="552"/>
      <c r="AP115" s="547" t="s">
        <v>256</v>
      </c>
      <c r="AQ115" s="548"/>
      <c r="AR115" s="549"/>
      <c r="AT115" s="547" t="s">
        <v>256</v>
      </c>
      <c r="AU115" s="548"/>
      <c r="AV115" s="549"/>
      <c r="AX115" s="547" t="s">
        <v>256</v>
      </c>
      <c r="AY115" s="548"/>
      <c r="AZ115" s="549"/>
    </row>
    <row r="116" spans="1:52" ht="29.5" thickBot="1" x14ac:dyDescent="0.4">
      <c r="A116" s="251" t="str">
        <f t="shared" si="15"/>
        <v>36-R1</v>
      </c>
      <c r="B116" s="251" t="str">
        <f t="shared" si="16"/>
        <v>SPPA</v>
      </c>
      <c r="C116" s="251">
        <f>INDEX('Site Data'!$S$7:$S$13,MATCH($A116,'Site Data'!$C$7:$C$13,0))</f>
        <v>20</v>
      </c>
      <c r="F116" s="505" t="s">
        <v>257</v>
      </c>
      <c r="G116" s="506"/>
      <c r="H116" s="507"/>
      <c r="J116" s="519" t="s">
        <v>258</v>
      </c>
      <c r="K116" s="520"/>
      <c r="L116" s="521"/>
      <c r="N116" s="332" t="s">
        <v>259</v>
      </c>
      <c r="O116" s="333" t="s">
        <v>260</v>
      </c>
      <c r="P116" s="333" t="s">
        <v>261</v>
      </c>
      <c r="Q116" s="334" t="s">
        <v>262</v>
      </c>
      <c r="S116" s="329" t="s">
        <v>259</v>
      </c>
      <c r="T116" s="330" t="s">
        <v>260</v>
      </c>
      <c r="U116" s="330" t="s">
        <v>261</v>
      </c>
      <c r="V116" s="331" t="s">
        <v>262</v>
      </c>
      <c r="X116" s="332" t="s">
        <v>134</v>
      </c>
      <c r="Y116" s="333" t="s">
        <v>263</v>
      </c>
      <c r="Z116" s="334" t="s">
        <v>264</v>
      </c>
      <c r="AB116" s="332" t="s">
        <v>265</v>
      </c>
      <c r="AC116" s="334" t="s">
        <v>266</v>
      </c>
      <c r="AE116" s="332" t="s">
        <v>265</v>
      </c>
      <c r="AF116" s="334" t="s">
        <v>266</v>
      </c>
      <c r="AH116" s="332" t="s">
        <v>265</v>
      </c>
      <c r="AI116" s="334" t="s">
        <v>266</v>
      </c>
      <c r="AK116" s="289" t="s">
        <v>267</v>
      </c>
      <c r="AL116" s="290" t="s">
        <v>268</v>
      </c>
      <c r="AM116" s="290" t="s">
        <v>269</v>
      </c>
      <c r="AN116" s="291" t="s">
        <v>270</v>
      </c>
      <c r="AP116" s="289" t="s">
        <v>134</v>
      </c>
      <c r="AQ116" s="290" t="s">
        <v>271</v>
      </c>
      <c r="AR116" s="291" t="s">
        <v>272</v>
      </c>
      <c r="AT116" s="289" t="s">
        <v>134</v>
      </c>
      <c r="AU116" s="290" t="s">
        <v>271</v>
      </c>
      <c r="AV116" s="291" t="s">
        <v>272</v>
      </c>
      <c r="AX116" s="289" t="s">
        <v>134</v>
      </c>
      <c r="AY116" s="290" t="s">
        <v>271</v>
      </c>
      <c r="AZ116" s="291" t="s">
        <v>272</v>
      </c>
    </row>
    <row r="117" spans="1:52" ht="15" thickBot="1" x14ac:dyDescent="0.4">
      <c r="A117" s="251" t="str">
        <f t="shared" si="15"/>
        <v>36-R1</v>
      </c>
      <c r="B117" s="251" t="str">
        <f t="shared" si="16"/>
        <v>SPPA</v>
      </c>
      <c r="C117" s="251">
        <f>INDEX('Site Data'!$S$7:$S$13,MATCH($A117,'Site Data'!$C$7:$C$13,0))</f>
        <v>20</v>
      </c>
      <c r="E117" s="251" t="s">
        <v>165</v>
      </c>
      <c r="F117" s="258" t="s">
        <v>273</v>
      </c>
      <c r="G117" s="259">
        <f>G115</f>
        <v>20</v>
      </c>
      <c r="H117" s="260" t="s">
        <v>250</v>
      </c>
      <c r="J117" s="261" t="s">
        <v>274</v>
      </c>
      <c r="K117" s="303" t="str">
        <f>IF($B117="SPPA","N/A - SPPA",INDEX('Microgrid Proposal'!$A$32:$X$38,MATCH($A117,'Microgrid Proposal'!$D$32:$D$38,0),MATCH($E117,'Microgrid Proposal'!$A$31:$X$31,0)))</f>
        <v>N/A - SPPA</v>
      </c>
      <c r="L117" s="304" t="s">
        <v>275</v>
      </c>
      <c r="N117" s="262">
        <v>1</v>
      </c>
      <c r="O117" s="293">
        <f>IF($B117="SEL","N/A - SEL",INDEX(Prod_Yr_1,MATCH($A117,'System Specification'!$D$14:$D$20,0)))</f>
        <v>0</v>
      </c>
      <c r="P117" s="293" t="str" cm="1">
        <f t="array" ref="P117">INDEX(PeGu!$B$24:$H$43,$S117,MATCH($A115,_xlfn.ANCHORARRAY(PeGu!$B$20),0))</f>
        <v/>
      </c>
      <c r="Q117" s="294">
        <f>IF($B117="SEL","N/A - SEL",PeGu!$E$14*POWER(1+PeGu!$E$15,$S117-1))</f>
        <v>0.05</v>
      </c>
      <c r="S117" s="261">
        <v>1</v>
      </c>
      <c r="T117" s="296">
        <f>IF($B115="SEL","N/A -SEL",INDEX(Prod_Yr_1_PV_Only,MATCH($A115,'System Specification'!$D$14:$D$20,0)))</f>
        <v>0</v>
      </c>
      <c r="U117" s="296" t="str" cm="1">
        <f t="array" ref="U117">INDEX(PeGu!$B$52:$H$71,$S117,MATCH($A115,_xlfn.ANCHORARRAY(PeGu!$B$48),0))</f>
        <v/>
      </c>
      <c r="V117" s="297">
        <f>IF($B117="SEL","N/A - SEL",PeGu!$E$14*POWER(1+PeGu!$E$15,$S117-1))</f>
        <v>0.05</v>
      </c>
      <c r="X117" s="262">
        <v>1</v>
      </c>
      <c r="Y117" s="293" t="str" cm="1">
        <f t="array" ref="Y117">IF($B117="SEL","N/A - SEL",INDEX(PeGu!$B$78:$H$97,$X117,MATCH($A115,PeGu!$B$76:$H$76,0)))</f>
        <v/>
      </c>
      <c r="Z117" s="294">
        <f>IF($B117="SEL","N/A - SEL",PeGu!$K$12*POWER(1+PeGu!$K$13,$X117-1))</f>
        <v>0</v>
      </c>
      <c r="AB117" s="263">
        <v>1</v>
      </c>
      <c r="AC117" s="264" cm="1">
        <f t="array" ref="AC117">INDEX('Contract Early Termination'!$B$14:$H$33,$AB117,MATCH($A115,_xlfn.ANCHORARRAY('Contract Early Termination'!$B$10),0))</f>
        <v>0</v>
      </c>
      <c r="AE117" s="263">
        <v>1</v>
      </c>
      <c r="AF117" s="264" cm="1">
        <f t="array" ref="AF117">INDEX('Contract Early Termination'!$B$41:$H$60,$AE117,MATCH($A115,_xlfn.ANCHORARRAY('Contract Early Termination'!$B$37),0))</f>
        <v>0</v>
      </c>
      <c r="AH117" s="263">
        <v>1</v>
      </c>
      <c r="AI117" s="264" cm="1">
        <f t="array" ref="AI117">INDEX('Contract Early Termination'!$B$68:$H$87,$AB117,MATCH($A115,_xlfn.ANCHORARRAY('Contract Early Termination'!$B$64),0))</f>
        <v>0</v>
      </c>
      <c r="AK117" s="263">
        <v>1</v>
      </c>
      <c r="AL117" s="293" t="str">
        <f>IF($B117="SPPA","N/A - SPPA", INDEX(Prod_Yr_1,MATCH($A115,'System Specification'!$D$14:$D$20,0)))</f>
        <v>N/A - SPPA</v>
      </c>
      <c r="AM117" s="293" t="str">
        <f>IF($B117="SPPA","N/A - SPPA", INDEX('System Specification'!$P$14:$P$20,MATCH($A115,'System Specification'!$D$14:$D$20,0)))</f>
        <v>N/A - SPPA</v>
      </c>
      <c r="AN117" s="298" t="str" cm="1">
        <f t="array" ref="AN117">IF($B117="SPPA","N/A - SPPA",INDEX(PeGu!$B$78:$H$97,$AK117,MATCH($A115,PeGu!$B$76:$H$76,0)))</f>
        <v>N/A - SPPA</v>
      </c>
      <c r="AP117" s="262">
        <v>1</v>
      </c>
      <c r="AQ117" s="269" t="str">
        <f>IF($B117="SPPA","N/A - SPPA", INDEX('Microgrid Proposal'!$N$32:$N$38,MATCH($A117,'Microgrid Proposal'!$D$32:$D$38,0))*IF(AP117&lt;=$C117,1,0))</f>
        <v>N/A - SPPA</v>
      </c>
      <c r="AR117" s="264" t="str">
        <f>IF($B117="SPPA","N/A - SPPA",AQ117*12)</f>
        <v>N/A - SPPA</v>
      </c>
      <c r="AT117" s="262">
        <v>1</v>
      </c>
      <c r="AU117" s="269" t="str">
        <f>IF($B117="SPPA","N/A - SPPA", INDEX('Solar+Storage Proposal'!$N$32:$N$38,MATCH($A117,'Solar+Storage Proposal'!$D$32:$D$38,0))*IF(AT117&lt;=$C117,1,0))</f>
        <v>N/A - SPPA</v>
      </c>
      <c r="AV117" s="264" t="str">
        <f>IF($B117="SPPA","N/A - SPPA",AU117*12)</f>
        <v>N/A - SPPA</v>
      </c>
      <c r="AX117" s="262">
        <v>1</v>
      </c>
      <c r="AY117" s="269" t="str">
        <f>IF($B117="SPPA","N/A - SPPA", INDEX('Solar-Only Proposal'!$M$32:$M$38,MATCH($A117,'Solar-Only Proposal'!$D$32:$D$38,0))*IF(AX117&lt;=$C117,1,0))</f>
        <v>N/A - SPPA</v>
      </c>
      <c r="AZ117" s="264" t="str">
        <f>IF($B117="SPPA","N/A - SPPA",AY117*12)</f>
        <v>N/A - SPPA</v>
      </c>
    </row>
    <row r="118" spans="1:52" ht="15" thickBot="1" x14ac:dyDescent="0.4">
      <c r="A118" s="251" t="str">
        <f t="shared" si="15"/>
        <v>36-R1</v>
      </c>
      <c r="B118" s="251" t="str">
        <f t="shared" si="16"/>
        <v>SPPA</v>
      </c>
      <c r="C118" s="251">
        <f>INDEX('Site Data'!$S$7:$S$13,MATCH($A118,'Site Data'!$C$7:$C$13,0))</f>
        <v>20</v>
      </c>
      <c r="E118" s="251" t="s">
        <v>192</v>
      </c>
      <c r="F118" s="502" t="s">
        <v>276</v>
      </c>
      <c r="G118" s="503"/>
      <c r="H118" s="504"/>
      <c r="J118" s="262" t="s">
        <v>277</v>
      </c>
      <c r="K118" s="269" t="str">
        <f>IF($B118="SPPA","N/A - SPPA",INDEX('Microgrid Proposal'!$A$32:$X$38,MATCH($A118,'Microgrid Proposal'!$D$32:$D$38,0),MATCH($E118,'Microgrid Proposal'!$A$31:$X$31,0)))</f>
        <v>N/A - SPPA</v>
      </c>
      <c r="L118" s="270" t="s">
        <v>278</v>
      </c>
      <c r="N118" s="262">
        <v>2</v>
      </c>
      <c r="O118" s="293">
        <f>IF($B118="SEL","N/A - SEL",O117*(1-'System Specification'!$D$10)*IF(N118&lt;=$C118,1,0))</f>
        <v>0</v>
      </c>
      <c r="P118" s="293" t="str" cm="1">
        <f t="array" ref="P118">INDEX(PeGu!$B$24:$H$43,$S118,MATCH($A116,_xlfn.ANCHORARRAY(PeGu!$B$20),0))</f>
        <v/>
      </c>
      <c r="Q118" s="294">
        <f>IF($B118="SEL","N/A - SEL",PeGu!$E$14*POWER(1+PeGu!$E$15,$S118-1))</f>
        <v>5.1500000000000004E-2</v>
      </c>
      <c r="S118" s="262">
        <v>2</v>
      </c>
      <c r="T118" s="293">
        <f>IF($B118="SEL","N/A - SEL",T117*(1-'System Specification'!$D$10)*IF(S118&lt;=$C118,1,0))</f>
        <v>0</v>
      </c>
      <c r="U118" s="293" t="str" cm="1">
        <f t="array" ref="U118">INDEX(PeGu!$B$52:$H$71,$S118,MATCH($A116,_xlfn.ANCHORARRAY(PeGu!$B$48),0))</f>
        <v/>
      </c>
      <c r="V118" s="294">
        <f>IF($B118="SEL","N/A - SEL",PeGu!$E$14*POWER(1+PeGu!$E$15,$S118-1))</f>
        <v>5.1500000000000004E-2</v>
      </c>
      <c r="X118" s="262">
        <v>2</v>
      </c>
      <c r="Y118" s="293" t="str" cm="1">
        <f t="array" ref="Y118">IF($B118="SEL","N/A - SEL",INDEX(PeGu!$B$78:$H$97,$X118,MATCH($A116,PeGu!$B$76:$H$76,0)))</f>
        <v/>
      </c>
      <c r="Z118" s="294">
        <f>IF($B118="SEL","N/A - SEL",PeGu!$K$12*POWER(1+PeGu!$K$13,$X118-1))</f>
        <v>0</v>
      </c>
      <c r="AB118" s="263">
        <v>2</v>
      </c>
      <c r="AC118" s="264" cm="1">
        <f t="array" ref="AC118">INDEX('Contract Early Termination'!$B$14:$H$33,$AB118,MATCH($A116,_xlfn.ANCHORARRAY('Contract Early Termination'!$B$10),0))</f>
        <v>0</v>
      </c>
      <c r="AE118" s="263">
        <v>2</v>
      </c>
      <c r="AF118" s="264" cm="1">
        <f t="array" ref="AF118">INDEX('Contract Early Termination'!$B$41:$H$60,$AE118,MATCH($A116,_xlfn.ANCHORARRAY('Contract Early Termination'!$B$37),0))</f>
        <v>0</v>
      </c>
      <c r="AH118" s="263">
        <v>2</v>
      </c>
      <c r="AI118" s="264" cm="1">
        <f t="array" ref="AI118">INDEX('Contract Early Termination'!$B$68:$H$87,$AB118,MATCH($A116,_xlfn.ANCHORARRAY('Contract Early Termination'!$B$64),0))</f>
        <v>0</v>
      </c>
      <c r="AK118" s="263">
        <v>2</v>
      </c>
      <c r="AL118" s="293" t="str">
        <f>IF($B118="SPPA","N/A - SPPA",AL117*(1-'System Specification'!$D$10)*IF(AK118&lt;=$C118,1,0))</f>
        <v>N/A - SPPA</v>
      </c>
      <c r="AM118" s="293" t="str">
        <f>IF($B118="SPPA","N/A - SPPA",AM117*(1-INDEX('System Specification'!$Q$14:$Q$20,MATCH($A118,'System Specification'!$D$14:$D$20,0)))*IF(AK118&lt;=$C118,1,0))</f>
        <v>N/A - SPPA</v>
      </c>
      <c r="AN118" s="298" t="str" cm="1">
        <f t="array" ref="AN118">IF($B118="SPPA","N/A - SPPA",INDEX(PeGu!$B$78:$H$97,$AK118,MATCH($A116,PeGu!$B$76:$H$76,0)))</f>
        <v>N/A - SPPA</v>
      </c>
      <c r="AP118" s="262">
        <v>2</v>
      </c>
      <c r="AQ118" s="269" t="str">
        <f>IF($B118="SPPA","N/A - SPPA", INDEX('Microgrid Proposal'!$N$32:$N$38,MATCH($A118,'Microgrid Proposal'!$D$32:$D$38,0))*IF(AP118&lt;=$C118,1,0))</f>
        <v>N/A - SPPA</v>
      </c>
      <c r="AR118" s="264" t="str">
        <f t="shared" ref="AR118:AR136" si="17">IF($B118="SPPA","N/A - SPPA",AQ118*12)</f>
        <v>N/A - SPPA</v>
      </c>
      <c r="AT118" s="262">
        <v>2</v>
      </c>
      <c r="AU118" s="269" t="str">
        <f>IF($B118="SPPA","N/A - SPPA", INDEX('Solar+Storage Proposal'!$N$32:$N$38,MATCH($A118,'Solar+Storage Proposal'!$D$32:$D$38,0))*IF(AT118&lt;=$C118,1,0))</f>
        <v>N/A - SPPA</v>
      </c>
      <c r="AV118" s="264" t="str">
        <f t="shared" ref="AV118:AV136" si="18">IF($B118="SPPA","N/A - SPPA",AU118*12)</f>
        <v>N/A - SPPA</v>
      </c>
      <c r="AX118" s="262">
        <v>2</v>
      </c>
      <c r="AY118" s="269" t="str">
        <f>IF($B118="SPPA","N/A - SPPA", INDEX('Solar-Only Proposal'!$M$32:$M$38,MATCH($A118,'Solar-Only Proposal'!$D$32:$D$38,0))*IF(AX118&lt;=$C118,1,0))</f>
        <v>N/A - SPPA</v>
      </c>
      <c r="AZ118" s="264" t="str">
        <f t="shared" ref="AZ118:AZ136" si="19">IF($B118="SPPA","N/A - SPPA",AY118*12)</f>
        <v>N/A - SPPA</v>
      </c>
    </row>
    <row r="119" spans="1:52" ht="15" thickBot="1" x14ac:dyDescent="0.4">
      <c r="A119" s="251" t="str">
        <f t="shared" si="15"/>
        <v>36-R1</v>
      </c>
      <c r="B119" s="251" t="str">
        <f t="shared" si="16"/>
        <v>SPPA</v>
      </c>
      <c r="C119" s="251">
        <f>INDEX('Site Data'!$S$7:$S$13,MATCH($A119,'Site Data'!$C$7:$C$13,0))</f>
        <v>20</v>
      </c>
      <c r="D119" s="251" t="s">
        <v>188</v>
      </c>
      <c r="E119" s="251" t="s">
        <v>193</v>
      </c>
      <c r="F119" s="266" t="s">
        <v>279</v>
      </c>
      <c r="G119" s="267">
        <f>IF($B119="SEL","N/A - SEL",INDEX('Microgrid Proposal'!$A$32:$X$38,MATCH($A119,'Microgrid Proposal'!$D$32:$D$38,0),MATCH($D119,'Microgrid Proposal'!$A$31:$X$31,0)))</f>
        <v>0</v>
      </c>
      <c r="H119" s="268" t="s">
        <v>280</v>
      </c>
      <c r="J119" s="258" t="s">
        <v>277</v>
      </c>
      <c r="K119" s="300" t="str">
        <f>IF($B119="SPPA","N/A - SPPA",INDEX('Microgrid Proposal'!$A$32:$X$38,MATCH($A119,'Microgrid Proposal'!$D$32:$D$38,0),MATCH($E119,'Microgrid Proposal'!$A$31:$X$31,0)))</f>
        <v>N/A - SPPA</v>
      </c>
      <c r="L119" s="260" t="s">
        <v>281</v>
      </c>
      <c r="N119" s="262">
        <v>3</v>
      </c>
      <c r="O119" s="293">
        <f>IF($B119="SEL","N/A - SEL",O118*(1-'System Specification'!$D$10)*IF(N119&lt;=$C119,1,0))</f>
        <v>0</v>
      </c>
      <c r="P119" s="293" t="str" cm="1">
        <f t="array" ref="P119">INDEX(PeGu!$B$24:$H$43,$S119,MATCH($A117,_xlfn.ANCHORARRAY(PeGu!$B$20),0))</f>
        <v/>
      </c>
      <c r="Q119" s="294">
        <f>IF($B119="SEL","N/A - SEL",PeGu!$E$14*POWER(1+PeGu!$E$15,$S119-1))</f>
        <v>5.3045000000000002E-2</v>
      </c>
      <c r="S119" s="262">
        <v>3</v>
      </c>
      <c r="T119" s="293">
        <f>IF($B119="SEL","N/A - SEL",T118*(1-'System Specification'!$D$10)*IF(S119&lt;=$C119,1,0))</f>
        <v>0</v>
      </c>
      <c r="U119" s="293" t="str" cm="1">
        <f t="array" ref="U119">INDEX(PeGu!$B$52:$H$71,$S119,MATCH($A117,_xlfn.ANCHORARRAY(PeGu!$B$48),0))</f>
        <v/>
      </c>
      <c r="V119" s="294">
        <f>IF($B119="SEL","N/A - SEL",PeGu!$E$14*POWER(1+PeGu!$E$15,$S119-1))</f>
        <v>5.3045000000000002E-2</v>
      </c>
      <c r="X119" s="262">
        <v>3</v>
      </c>
      <c r="Y119" s="293" t="str" cm="1">
        <f t="array" ref="Y119">IF($B119="SEL","N/A - SEL",INDEX(PeGu!$B$78:$H$97,$X119,MATCH($A117,PeGu!$B$76:$H$76,0)))</f>
        <v/>
      </c>
      <c r="Z119" s="294">
        <f>IF($B119="SEL","N/A - SEL",PeGu!$K$12*POWER(1+PeGu!$K$13,$X119-1))</f>
        <v>0</v>
      </c>
      <c r="AB119" s="263">
        <v>3</v>
      </c>
      <c r="AC119" s="264" cm="1">
        <f t="array" ref="AC119">INDEX('Contract Early Termination'!$B$14:$H$33,$AB119,MATCH($A117,_xlfn.ANCHORARRAY('Contract Early Termination'!$B$10),0))</f>
        <v>0</v>
      </c>
      <c r="AE119" s="263">
        <v>3</v>
      </c>
      <c r="AF119" s="264" cm="1">
        <f t="array" ref="AF119">INDEX('Contract Early Termination'!$B$41:$H$60,$AE119,MATCH($A117,_xlfn.ANCHORARRAY('Contract Early Termination'!$B$37),0))</f>
        <v>0</v>
      </c>
      <c r="AH119" s="263">
        <v>3</v>
      </c>
      <c r="AI119" s="264" cm="1">
        <f t="array" ref="AI119">INDEX('Contract Early Termination'!$B$68:$H$87,$AB119,MATCH($A117,_xlfn.ANCHORARRAY('Contract Early Termination'!$B$64),0))</f>
        <v>0</v>
      </c>
      <c r="AK119" s="263">
        <v>3</v>
      </c>
      <c r="AL119" s="293" t="str">
        <f>IF($B119="SPPA","N/A - SPPA",AL118*(1-'System Specification'!$D$10)*IF(AK119&lt;=$C119,1,0))</f>
        <v>N/A - SPPA</v>
      </c>
      <c r="AM119" s="293" t="str">
        <f>IF($B119="SPPA","N/A - SPPA",AM118*(1-INDEX('System Specification'!$Q$14:$Q$20,MATCH($A119,'System Specification'!$D$14:$D$20,0)))*IF(AK119&lt;=$C119,1,0))</f>
        <v>N/A - SPPA</v>
      </c>
      <c r="AN119" s="298" t="str" cm="1">
        <f t="array" ref="AN119">IF($B119="SPPA","N/A - SPPA",INDEX(PeGu!$B$78:$H$97,$AK119,MATCH($A117,PeGu!$B$76:$H$76,0)))</f>
        <v>N/A - SPPA</v>
      </c>
      <c r="AP119" s="262">
        <v>3</v>
      </c>
      <c r="AQ119" s="269" t="str">
        <f>IF($B119="SPPA","N/A - SPPA", INDEX('Microgrid Proposal'!$N$32:$N$38,MATCH($A119,'Microgrid Proposal'!$D$32:$D$38,0))*IF(AP119&lt;=$C119,1,0))</f>
        <v>N/A - SPPA</v>
      </c>
      <c r="AR119" s="264" t="str">
        <f t="shared" si="17"/>
        <v>N/A - SPPA</v>
      </c>
      <c r="AT119" s="262">
        <v>3</v>
      </c>
      <c r="AU119" s="269" t="str">
        <f>IF($B119="SPPA","N/A - SPPA", INDEX('Solar+Storage Proposal'!$N$32:$N$38,MATCH($A119,'Solar+Storage Proposal'!$D$32:$D$38,0))*IF(AT119&lt;=$C119,1,0))</f>
        <v>N/A - SPPA</v>
      </c>
      <c r="AV119" s="264" t="str">
        <f t="shared" si="18"/>
        <v>N/A - SPPA</v>
      </c>
      <c r="AX119" s="262">
        <v>3</v>
      </c>
      <c r="AY119" s="269" t="str">
        <f>IF($B119="SPPA","N/A - SPPA", INDEX('Solar-Only Proposal'!$M$32:$M$38,MATCH($A119,'Solar-Only Proposal'!$D$32:$D$38,0))*IF(AX119&lt;=$C119,1,0))</f>
        <v>N/A - SPPA</v>
      </c>
      <c r="AZ119" s="264" t="str">
        <f t="shared" si="19"/>
        <v>N/A - SPPA</v>
      </c>
    </row>
    <row r="120" spans="1:52" ht="15" thickBot="1" x14ac:dyDescent="0.4">
      <c r="A120" s="251" t="str">
        <f t="shared" si="15"/>
        <v>36-R1</v>
      </c>
      <c r="B120" s="251" t="str">
        <f t="shared" si="16"/>
        <v>SPPA</v>
      </c>
      <c r="C120" s="251">
        <f>INDEX('Site Data'!$S$7:$S$13,MATCH($A120,'Site Data'!$C$7:$C$13,0))</f>
        <v>20</v>
      </c>
      <c r="D120" s="251" t="s">
        <v>165</v>
      </c>
      <c r="F120" s="262" t="s">
        <v>282</v>
      </c>
      <c r="G120" s="269">
        <f>IF($B120="SEL","N/A - SEL",INDEX('Microgrid Proposal'!$A$32:$X$38,MATCH($A120,'Microgrid Proposal'!$D$32:$D$38,0),MATCH($D120,'Microgrid Proposal'!$A$31:$X$31,0)))</f>
        <v>0</v>
      </c>
      <c r="H120" s="270" t="s">
        <v>275</v>
      </c>
      <c r="J120" s="519" t="s">
        <v>283</v>
      </c>
      <c r="K120" s="520"/>
      <c r="L120" s="521"/>
      <c r="N120" s="262">
        <v>4</v>
      </c>
      <c r="O120" s="293">
        <f>IF($B120="SEL","N/A - SEL",O119*(1-'System Specification'!$D$10)*IF(N120&lt;=$C120,1,0))</f>
        <v>0</v>
      </c>
      <c r="P120" s="293" t="str" cm="1">
        <f t="array" ref="P120">INDEX(PeGu!$B$24:$H$43,$S120,MATCH($A118,_xlfn.ANCHORARRAY(PeGu!$B$20),0))</f>
        <v/>
      </c>
      <c r="Q120" s="294">
        <f>IF($B120="SEL","N/A - SEL",PeGu!$E$14*POWER(1+PeGu!$E$15,$S120-1))</f>
        <v>5.463635E-2</v>
      </c>
      <c r="S120" s="262">
        <v>4</v>
      </c>
      <c r="T120" s="293">
        <f>IF($B120="SEL","N/A - SEL",T119*(1-'System Specification'!$D$10)*IF(S120&lt;=$C120,1,0))</f>
        <v>0</v>
      </c>
      <c r="U120" s="293" t="str" cm="1">
        <f t="array" ref="U120">INDEX(PeGu!$B$52:$H$71,$S120,MATCH($A118,_xlfn.ANCHORARRAY(PeGu!$B$48),0))</f>
        <v/>
      </c>
      <c r="V120" s="294">
        <f>IF($B120="SEL","N/A - SEL",PeGu!$E$14*POWER(1+PeGu!$E$15,$S120-1))</f>
        <v>5.463635E-2</v>
      </c>
      <c r="X120" s="262">
        <v>4</v>
      </c>
      <c r="Y120" s="293" t="str" cm="1">
        <f t="array" ref="Y120">IF($B120="SEL","N/A - SEL",INDEX(PeGu!$B$78:$H$97,$X120,MATCH($A118,PeGu!$B$76:$H$76,0)))</f>
        <v/>
      </c>
      <c r="Z120" s="294">
        <f>IF($B120="SEL","N/A - SEL",PeGu!$K$12*POWER(1+PeGu!$K$13,$X120-1))</f>
        <v>0</v>
      </c>
      <c r="AB120" s="263">
        <v>4</v>
      </c>
      <c r="AC120" s="264" cm="1">
        <f t="array" ref="AC120">INDEX('Contract Early Termination'!$B$14:$H$33,$AB120,MATCH($A118,_xlfn.ANCHORARRAY('Contract Early Termination'!$B$10),0))</f>
        <v>0</v>
      </c>
      <c r="AE120" s="263">
        <v>4</v>
      </c>
      <c r="AF120" s="264" cm="1">
        <f t="array" ref="AF120">INDEX('Contract Early Termination'!$B$41:$H$60,$AE120,MATCH($A118,_xlfn.ANCHORARRAY('Contract Early Termination'!$B$37),0))</f>
        <v>0</v>
      </c>
      <c r="AH120" s="263">
        <v>4</v>
      </c>
      <c r="AI120" s="264" cm="1">
        <f t="array" ref="AI120">INDEX('Contract Early Termination'!$B$68:$H$87,$AB120,MATCH($A118,_xlfn.ANCHORARRAY('Contract Early Termination'!$B$64),0))</f>
        <v>0</v>
      </c>
      <c r="AK120" s="263">
        <v>4</v>
      </c>
      <c r="AL120" s="293" t="str">
        <f>IF($B120="SPPA","N/A - SPPA",AL119*(1-'System Specification'!$D$10)*IF(AK120&lt;=$C120,1,0))</f>
        <v>N/A - SPPA</v>
      </c>
      <c r="AM120" s="293" t="str">
        <f>IF($B120="SPPA","N/A - SPPA",AM119*(1-INDEX('System Specification'!$Q$14:$Q$20,MATCH($A120,'System Specification'!$D$14:$D$20,0)))*IF(AK120&lt;=$C120,1,0))</f>
        <v>N/A - SPPA</v>
      </c>
      <c r="AN120" s="298" t="str" cm="1">
        <f t="array" ref="AN120">IF($B120="SPPA","N/A - SPPA",INDEX(PeGu!$B$78:$H$97,$AK120,MATCH($A118,PeGu!$B$76:$H$76,0)))</f>
        <v>N/A - SPPA</v>
      </c>
      <c r="AP120" s="262">
        <v>4</v>
      </c>
      <c r="AQ120" s="269" t="str">
        <f>IF($B120="SPPA","N/A - SPPA", INDEX('Microgrid Proposal'!$N$32:$N$38,MATCH($A120,'Microgrid Proposal'!$D$32:$D$38,0))*IF(AP120&lt;=$C120,1,0))</f>
        <v>N/A - SPPA</v>
      </c>
      <c r="AR120" s="264" t="str">
        <f t="shared" si="17"/>
        <v>N/A - SPPA</v>
      </c>
      <c r="AT120" s="262">
        <v>4</v>
      </c>
      <c r="AU120" s="269" t="str">
        <f>IF($B120="SPPA","N/A - SPPA", INDEX('Solar+Storage Proposal'!$N$32:$N$38,MATCH($A120,'Solar+Storage Proposal'!$D$32:$D$38,0))*IF(AT120&lt;=$C120,1,0))</f>
        <v>N/A - SPPA</v>
      </c>
      <c r="AV120" s="264" t="str">
        <f t="shared" si="18"/>
        <v>N/A - SPPA</v>
      </c>
      <c r="AX120" s="262">
        <v>4</v>
      </c>
      <c r="AY120" s="269" t="str">
        <f>IF($B120="SPPA","N/A - SPPA", INDEX('Solar-Only Proposal'!$M$32:$M$38,MATCH($A120,'Solar-Only Proposal'!$D$32:$D$38,0))*IF(AX120&lt;=$C120,1,0))</f>
        <v>N/A - SPPA</v>
      </c>
      <c r="AZ120" s="264" t="str">
        <f t="shared" si="19"/>
        <v>N/A - SPPA</v>
      </c>
    </row>
    <row r="121" spans="1:52" x14ac:dyDescent="0.35">
      <c r="A121" s="251" t="str">
        <f t="shared" si="15"/>
        <v>36-R1</v>
      </c>
      <c r="B121" s="251" t="str">
        <f t="shared" si="16"/>
        <v>SPPA</v>
      </c>
      <c r="C121" s="251">
        <f>INDEX('Site Data'!$S$7:$S$13,MATCH($A121,'Site Data'!$C$7:$C$13,0))</f>
        <v>20</v>
      </c>
      <c r="D121" s="251" t="s">
        <v>189</v>
      </c>
      <c r="E121" s="251" t="s">
        <v>165</v>
      </c>
      <c r="F121" s="262" t="s">
        <v>284</v>
      </c>
      <c r="G121" s="271">
        <f>IF($B121="SEL","N/A - SEL",INDEX('Microgrid Proposal'!$A$32:$X$38,MATCH($A121,'Microgrid Proposal'!$D$32:$D$38,0),MATCH($D121,'Microgrid Proposal'!$A$31:$X$31,0)))</f>
        <v>0</v>
      </c>
      <c r="H121" s="270" t="s">
        <v>285</v>
      </c>
      <c r="J121" s="261" t="s">
        <v>274</v>
      </c>
      <c r="K121" s="303" t="str">
        <f>IF($B121="SPPA","N/A - SPPA",INDEX('Solar+Storage Proposal'!$A$32:$X$38,MATCH($A121,'Solar+Storage Proposal'!$D$32:$D$38,0),MATCH($E121,'Solar+Storage Proposal'!$A$31:$X$31,0)))</f>
        <v>N/A - SPPA</v>
      </c>
      <c r="L121" s="304" t="s">
        <v>275</v>
      </c>
      <c r="N121" s="262">
        <v>5</v>
      </c>
      <c r="O121" s="293">
        <f>IF($B121="SEL","N/A - SEL",O120*(1-'System Specification'!$D$10)*IF(N121&lt;=$C121,1,0))</f>
        <v>0</v>
      </c>
      <c r="P121" s="293" t="str" cm="1">
        <f t="array" ref="P121">INDEX(PeGu!$B$24:$H$43,$S121,MATCH($A119,_xlfn.ANCHORARRAY(PeGu!$B$20),0))</f>
        <v/>
      </c>
      <c r="Q121" s="294">
        <f>IF($B121="SEL","N/A - SEL",PeGu!$E$14*POWER(1+PeGu!$E$15,$S121-1))</f>
        <v>5.6275440499999996E-2</v>
      </c>
      <c r="S121" s="262">
        <v>5</v>
      </c>
      <c r="T121" s="293">
        <f>IF($B121="SEL","N/A - SEL",T120*(1-'System Specification'!$D$10)*IF(S121&lt;=$C121,1,0))</f>
        <v>0</v>
      </c>
      <c r="U121" s="293" t="str" cm="1">
        <f t="array" ref="U121">INDEX(PeGu!$B$52:$H$71,$S121,MATCH($A119,_xlfn.ANCHORARRAY(PeGu!$B$48),0))</f>
        <v/>
      </c>
      <c r="V121" s="294">
        <f>IF($B121="SEL","N/A - SEL",PeGu!$E$14*POWER(1+PeGu!$E$15,$S121-1))</f>
        <v>5.6275440499999996E-2</v>
      </c>
      <c r="X121" s="262">
        <v>5</v>
      </c>
      <c r="Y121" s="293" t="str" cm="1">
        <f t="array" ref="Y121">IF($B121="SEL","N/A - SEL",INDEX(PeGu!$B$78:$H$97,$X121,MATCH($A119,PeGu!$B$76:$H$76,0)))</f>
        <v/>
      </c>
      <c r="Z121" s="294">
        <f>IF($B121="SEL","N/A - SEL",PeGu!$K$12*POWER(1+PeGu!$K$13,$X121-1))</f>
        <v>0</v>
      </c>
      <c r="AB121" s="263">
        <v>5</v>
      </c>
      <c r="AC121" s="264" cm="1">
        <f t="array" ref="AC121">INDEX('Contract Early Termination'!$B$14:$H$33,$AB121,MATCH($A119,_xlfn.ANCHORARRAY('Contract Early Termination'!$B$10),0))</f>
        <v>0</v>
      </c>
      <c r="AE121" s="263">
        <v>5</v>
      </c>
      <c r="AF121" s="264" cm="1">
        <f t="array" ref="AF121">INDEX('Contract Early Termination'!$B$41:$H$60,$AE121,MATCH($A119,_xlfn.ANCHORARRAY('Contract Early Termination'!$B$37),0))</f>
        <v>0</v>
      </c>
      <c r="AH121" s="263">
        <v>5</v>
      </c>
      <c r="AI121" s="264" cm="1">
        <f t="array" ref="AI121">INDEX('Contract Early Termination'!$B$68:$H$87,$AB121,MATCH($A119,_xlfn.ANCHORARRAY('Contract Early Termination'!$B$64),0))</f>
        <v>0</v>
      </c>
      <c r="AK121" s="263">
        <v>5</v>
      </c>
      <c r="AL121" s="293" t="str">
        <f>IF($B121="SPPA","N/A - SPPA",AL120*(1-'System Specification'!$D$10)*IF(AK121&lt;=$C121,1,0))</f>
        <v>N/A - SPPA</v>
      </c>
      <c r="AM121" s="293" t="str">
        <f>IF($B121="SPPA","N/A - SPPA",AM120*(1-INDEX('System Specification'!$Q$14:$Q$20,MATCH($A121,'System Specification'!$D$14:$D$20,0)))*IF(AK121&lt;=$C121,1,0))</f>
        <v>N/A - SPPA</v>
      </c>
      <c r="AN121" s="298" t="str" cm="1">
        <f t="array" ref="AN121">IF($B121="SPPA","N/A - SPPA",INDEX(PeGu!$B$78:$H$97,$AK121,MATCH($A119,PeGu!$B$76:$H$76,0)))</f>
        <v>N/A - SPPA</v>
      </c>
      <c r="AP121" s="262">
        <v>5</v>
      </c>
      <c r="AQ121" s="269" t="str">
        <f>IF($B121="SPPA","N/A - SPPA", INDEX('Microgrid Proposal'!$N$32:$N$38,MATCH($A121,'Microgrid Proposal'!$D$32:$D$38,0))*IF(AP121&lt;=$C121,1,0))</f>
        <v>N/A - SPPA</v>
      </c>
      <c r="AR121" s="264" t="str">
        <f t="shared" si="17"/>
        <v>N/A - SPPA</v>
      </c>
      <c r="AT121" s="262">
        <v>5</v>
      </c>
      <c r="AU121" s="269" t="str">
        <f>IF($B121="SPPA","N/A - SPPA", INDEX('Solar+Storage Proposal'!$N$32:$N$38,MATCH($A121,'Solar+Storage Proposal'!$D$32:$D$38,0))*IF(AT121&lt;=$C121,1,0))</f>
        <v>N/A - SPPA</v>
      </c>
      <c r="AV121" s="264" t="str">
        <f t="shared" si="18"/>
        <v>N/A - SPPA</v>
      </c>
      <c r="AX121" s="262">
        <v>5</v>
      </c>
      <c r="AY121" s="269" t="str">
        <f>IF($B121="SPPA","N/A - SPPA", INDEX('Solar-Only Proposal'!$M$32:$M$38,MATCH($A121,'Solar-Only Proposal'!$D$32:$D$38,0))*IF(AX121&lt;=$C121,1,0))</f>
        <v>N/A - SPPA</v>
      </c>
      <c r="AZ121" s="264" t="str">
        <f t="shared" si="19"/>
        <v>N/A - SPPA</v>
      </c>
    </row>
    <row r="122" spans="1:52" ht="15" thickBot="1" x14ac:dyDescent="0.4">
      <c r="A122" s="251" t="str">
        <f t="shared" si="15"/>
        <v>36-R1</v>
      </c>
      <c r="B122" s="251" t="str">
        <f t="shared" si="16"/>
        <v>SPPA</v>
      </c>
      <c r="C122" s="251">
        <f>INDEX('Site Data'!$S$7:$S$13,MATCH($A122,'Site Data'!$C$7:$C$13,0))</f>
        <v>20</v>
      </c>
      <c r="D122" s="251" t="s">
        <v>190</v>
      </c>
      <c r="E122" s="251" t="s">
        <v>192</v>
      </c>
      <c r="F122" s="258" t="s">
        <v>284</v>
      </c>
      <c r="G122" s="272">
        <f>IF($B122="SEL","N/A - SEL",INDEX('Microgrid Proposal'!$A$32:$X$38,MATCH($A122,'Microgrid Proposal'!$D$32:$D$38,0),MATCH($D122,'Microgrid Proposal'!$A$31:$X$31,0)))</f>
        <v>0</v>
      </c>
      <c r="H122" s="260" t="s">
        <v>286</v>
      </c>
      <c r="J122" s="262" t="s">
        <v>277</v>
      </c>
      <c r="K122" s="269" t="str">
        <f>IF($B122="SPPA","N/A - SPPA",INDEX('Solar+Storage Proposal'!$A$32:$X$38,MATCH($A122,'Solar+Storage Proposal'!$D$32:$D$38,0),MATCH($E122,'Solar+Storage Proposal'!$A$31:$X$31,0)))</f>
        <v>N/A - SPPA</v>
      </c>
      <c r="L122" s="270" t="s">
        <v>278</v>
      </c>
      <c r="N122" s="262">
        <v>6</v>
      </c>
      <c r="O122" s="293">
        <f>IF($B122="SEL","N/A - SEL",O121*(1-'System Specification'!$D$10)*IF(N122&lt;=$C122,1,0))</f>
        <v>0</v>
      </c>
      <c r="P122" s="293" t="str" cm="1">
        <f t="array" ref="P122">INDEX(PeGu!$B$24:$H$43,$S122,MATCH($A120,_xlfn.ANCHORARRAY(PeGu!$B$20),0))</f>
        <v/>
      </c>
      <c r="Q122" s="294">
        <f>IF($B122="SEL","N/A - SEL",PeGu!$E$14*POWER(1+PeGu!$E$15,$S122-1))</f>
        <v>5.7963703714999995E-2</v>
      </c>
      <c r="S122" s="262">
        <v>6</v>
      </c>
      <c r="T122" s="293">
        <f>IF($B122="SEL","N/A - SEL",T121*(1-'System Specification'!$D$10)*IF(S122&lt;=$C122,1,0))</f>
        <v>0</v>
      </c>
      <c r="U122" s="293" t="str" cm="1">
        <f t="array" ref="U122">INDEX(PeGu!$B$52:$H$71,$S122,MATCH($A120,_xlfn.ANCHORARRAY(PeGu!$B$48),0))</f>
        <v/>
      </c>
      <c r="V122" s="294">
        <f>IF($B122="SEL","N/A - SEL",PeGu!$E$14*POWER(1+PeGu!$E$15,$S122-1))</f>
        <v>5.7963703714999995E-2</v>
      </c>
      <c r="X122" s="262">
        <v>6</v>
      </c>
      <c r="Y122" s="293" t="str" cm="1">
        <f t="array" ref="Y122">IF($B122="SEL","N/A - SEL",INDEX(PeGu!$B$78:$H$97,$X122,MATCH($A120,PeGu!$B$76:$H$76,0)))</f>
        <v/>
      </c>
      <c r="Z122" s="294">
        <f>IF($B122="SEL","N/A - SEL",PeGu!$K$12*POWER(1+PeGu!$K$13,$X122-1))</f>
        <v>0</v>
      </c>
      <c r="AB122" s="263">
        <v>6</v>
      </c>
      <c r="AC122" s="264" cm="1">
        <f t="array" ref="AC122">INDEX('Contract Early Termination'!$B$14:$H$33,$AB122,MATCH($A120,_xlfn.ANCHORARRAY('Contract Early Termination'!$B$10),0))</f>
        <v>0</v>
      </c>
      <c r="AE122" s="263">
        <v>6</v>
      </c>
      <c r="AF122" s="264" cm="1">
        <f t="array" ref="AF122">INDEX('Contract Early Termination'!$B$41:$H$60,$AE122,MATCH($A120,_xlfn.ANCHORARRAY('Contract Early Termination'!$B$37),0))</f>
        <v>0</v>
      </c>
      <c r="AH122" s="263">
        <v>6</v>
      </c>
      <c r="AI122" s="264" cm="1">
        <f t="array" ref="AI122">INDEX('Contract Early Termination'!$B$68:$H$87,$AB122,MATCH($A120,_xlfn.ANCHORARRAY('Contract Early Termination'!$B$64),0))</f>
        <v>0</v>
      </c>
      <c r="AK122" s="263">
        <v>6</v>
      </c>
      <c r="AL122" s="293" t="str">
        <f>IF($B122="SPPA","N/A - SPPA",AL121*(1-'System Specification'!$D$10)*IF(AK122&lt;=$C122,1,0))</f>
        <v>N/A - SPPA</v>
      </c>
      <c r="AM122" s="293" t="str">
        <f>IF($B122="SPPA","N/A - SPPA",AM121*(1-INDEX('System Specification'!$Q$14:$Q$20,MATCH($A122,'System Specification'!$D$14:$D$20,0)))*IF(AK122&lt;=$C122,1,0))</f>
        <v>N/A - SPPA</v>
      </c>
      <c r="AN122" s="298" t="str" cm="1">
        <f t="array" ref="AN122">IF($B122="SPPA","N/A - SPPA",INDEX(PeGu!$B$78:$H$97,$AK122,MATCH($A120,PeGu!$B$76:$H$76,0)))</f>
        <v>N/A - SPPA</v>
      </c>
      <c r="AP122" s="262">
        <v>6</v>
      </c>
      <c r="AQ122" s="269" t="str">
        <f>IF($B122="SPPA","N/A - SPPA", INDEX('Microgrid Proposal'!$N$32:$N$38,MATCH($A122,'Microgrid Proposal'!$D$32:$D$38,0))*IF(AP122&lt;=$C122,1,0))</f>
        <v>N/A - SPPA</v>
      </c>
      <c r="AR122" s="264" t="str">
        <f t="shared" si="17"/>
        <v>N/A - SPPA</v>
      </c>
      <c r="AT122" s="262">
        <v>6</v>
      </c>
      <c r="AU122" s="269" t="str">
        <f>IF($B122="SPPA","N/A - SPPA", INDEX('Solar+Storage Proposal'!$N$32:$N$38,MATCH($A122,'Solar+Storage Proposal'!$D$32:$D$38,0))*IF(AT122&lt;=$C122,1,0))</f>
        <v>N/A - SPPA</v>
      </c>
      <c r="AV122" s="264" t="str">
        <f t="shared" si="18"/>
        <v>N/A - SPPA</v>
      </c>
      <c r="AX122" s="262">
        <v>6</v>
      </c>
      <c r="AY122" s="269" t="str">
        <f>IF($B122="SPPA","N/A - SPPA", INDEX('Solar-Only Proposal'!$M$32:$M$38,MATCH($A122,'Solar-Only Proposal'!$D$32:$D$38,0))*IF(AX122&lt;=$C122,1,0))</f>
        <v>N/A - SPPA</v>
      </c>
      <c r="AZ122" s="264" t="str">
        <f t="shared" si="19"/>
        <v>N/A - SPPA</v>
      </c>
    </row>
    <row r="123" spans="1:52" ht="15" thickBot="1" x14ac:dyDescent="0.4">
      <c r="A123" s="251" t="str">
        <f t="shared" si="15"/>
        <v>36-R1</v>
      </c>
      <c r="B123" s="251" t="str">
        <f t="shared" si="16"/>
        <v>SPPA</v>
      </c>
      <c r="C123" s="251">
        <f>INDEX('Site Data'!$S$7:$S$13,MATCH($A123,'Site Data'!$C$7:$C$13,0))</f>
        <v>20</v>
      </c>
      <c r="E123" s="251" t="s">
        <v>193</v>
      </c>
      <c r="F123" s="538" t="s">
        <v>287</v>
      </c>
      <c r="G123" s="539"/>
      <c r="H123" s="540"/>
      <c r="J123" s="258" t="s">
        <v>277</v>
      </c>
      <c r="K123" s="300" t="str">
        <f>IF($B123="SPPA","N/A - SPPA",INDEX('Solar+Storage Proposal'!$A$32:$X$38,MATCH($A123,'Solar+Storage Proposal'!$D$32:$D$38,0),MATCH($E123,'Solar+Storage Proposal'!$A$31:$X$31,0)))</f>
        <v>N/A - SPPA</v>
      </c>
      <c r="L123" s="260" t="s">
        <v>281</v>
      </c>
      <c r="N123" s="262">
        <v>7</v>
      </c>
      <c r="O123" s="293">
        <f>IF($B123="SEL","N/A - SEL",O122*(1-'System Specification'!$D$10)*IF(N123&lt;=$C123,1,0))</f>
        <v>0</v>
      </c>
      <c r="P123" s="293" t="str" cm="1">
        <f t="array" ref="P123">INDEX(PeGu!$B$24:$H$43,$S123,MATCH($A121,_xlfn.ANCHORARRAY(PeGu!$B$20),0))</f>
        <v/>
      </c>
      <c r="Q123" s="294">
        <f>IF($B123="SEL","N/A - SEL",PeGu!$E$14*POWER(1+PeGu!$E$15,$S123-1))</f>
        <v>5.970261482645E-2</v>
      </c>
      <c r="S123" s="262">
        <v>7</v>
      </c>
      <c r="T123" s="293">
        <f>IF($B123="SEL","N/A - SEL",T122*(1-'System Specification'!$D$10)*IF(S123&lt;=$C123,1,0))</f>
        <v>0</v>
      </c>
      <c r="U123" s="293" t="str" cm="1">
        <f t="array" ref="U123">INDEX(PeGu!$B$52:$H$71,$S123,MATCH($A121,_xlfn.ANCHORARRAY(PeGu!$B$48),0))</f>
        <v/>
      </c>
      <c r="V123" s="294">
        <f>IF($B123="SEL","N/A - SEL",PeGu!$E$14*POWER(1+PeGu!$E$15,$S123-1))</f>
        <v>5.970261482645E-2</v>
      </c>
      <c r="X123" s="262">
        <v>7</v>
      </c>
      <c r="Y123" s="293" t="str" cm="1">
        <f t="array" ref="Y123">IF($B123="SEL","N/A - SEL",INDEX(PeGu!$B$78:$H$97,$X123,MATCH($A121,PeGu!$B$76:$H$76,0)))</f>
        <v/>
      </c>
      <c r="Z123" s="294">
        <f>IF($B123="SEL","N/A - SEL",PeGu!$K$12*POWER(1+PeGu!$K$13,$X123-1))</f>
        <v>0</v>
      </c>
      <c r="AB123" s="263">
        <v>7</v>
      </c>
      <c r="AC123" s="264" cm="1">
        <f t="array" ref="AC123">INDEX('Contract Early Termination'!$B$14:$H$33,$AB123,MATCH($A121,_xlfn.ANCHORARRAY('Contract Early Termination'!$B$10),0))</f>
        <v>0</v>
      </c>
      <c r="AE123" s="263">
        <v>7</v>
      </c>
      <c r="AF123" s="264" cm="1">
        <f t="array" ref="AF123">INDEX('Contract Early Termination'!$B$41:$H$60,$AE123,MATCH($A121,_xlfn.ANCHORARRAY('Contract Early Termination'!$B$37),0))</f>
        <v>0</v>
      </c>
      <c r="AH123" s="263">
        <v>7</v>
      </c>
      <c r="AI123" s="264" cm="1">
        <f t="array" ref="AI123">INDEX('Contract Early Termination'!$B$68:$H$87,$AB123,MATCH($A121,_xlfn.ANCHORARRAY('Contract Early Termination'!$B$64),0))</f>
        <v>0</v>
      </c>
      <c r="AK123" s="263">
        <v>7</v>
      </c>
      <c r="AL123" s="293" t="str">
        <f>IF($B123="SPPA","N/A - SPPA",AL122*(1-'System Specification'!$D$10)*IF(AK123&lt;=$C123,1,0))</f>
        <v>N/A - SPPA</v>
      </c>
      <c r="AM123" s="293" t="str">
        <f>IF($B123="SPPA","N/A - SPPA",AM122*(1-INDEX('System Specification'!$Q$14:$Q$20,MATCH($A123,'System Specification'!$D$14:$D$20,0)))*IF(AK123&lt;=$C123,1,0))</f>
        <v>N/A - SPPA</v>
      </c>
      <c r="AN123" s="298" t="str" cm="1">
        <f t="array" ref="AN123">IF($B123="SPPA","N/A - SPPA",INDEX(PeGu!$B$78:$H$97,$AK123,MATCH($A121,PeGu!$B$76:$H$76,0)))</f>
        <v>N/A - SPPA</v>
      </c>
      <c r="AP123" s="262">
        <v>7</v>
      </c>
      <c r="AQ123" s="269" t="str">
        <f>IF($B123="SPPA","N/A - SPPA", INDEX('Microgrid Proposal'!$N$32:$N$38,MATCH($A123,'Microgrid Proposal'!$D$32:$D$38,0))*IF(AP123&lt;=$C123,1,0))</f>
        <v>N/A - SPPA</v>
      </c>
      <c r="AR123" s="264" t="str">
        <f t="shared" si="17"/>
        <v>N/A - SPPA</v>
      </c>
      <c r="AT123" s="262">
        <v>7</v>
      </c>
      <c r="AU123" s="269" t="str">
        <f>IF($B123="SPPA","N/A - SPPA", INDEX('Solar+Storage Proposal'!$N$32:$N$38,MATCH($A123,'Solar+Storage Proposal'!$D$32:$D$38,0))*IF(AT123&lt;=$C123,1,0))</f>
        <v>N/A - SPPA</v>
      </c>
      <c r="AV123" s="264" t="str">
        <f t="shared" si="18"/>
        <v>N/A - SPPA</v>
      </c>
      <c r="AX123" s="262">
        <v>7</v>
      </c>
      <c r="AY123" s="269" t="str">
        <f>IF($B123="SPPA","N/A - SPPA", INDEX('Solar-Only Proposal'!$M$32:$M$38,MATCH($A123,'Solar-Only Proposal'!$D$32:$D$38,0))*IF(AX123&lt;=$C123,1,0))</f>
        <v>N/A - SPPA</v>
      </c>
      <c r="AZ123" s="264" t="str">
        <f t="shared" si="19"/>
        <v>N/A - SPPA</v>
      </c>
    </row>
    <row r="124" spans="1:52" ht="15" thickBot="1" x14ac:dyDescent="0.4">
      <c r="A124" s="251" t="str">
        <f t="shared" si="15"/>
        <v>36-R1</v>
      </c>
      <c r="B124" s="251" t="str">
        <f t="shared" si="16"/>
        <v>SPPA</v>
      </c>
      <c r="C124" s="251">
        <f>INDEX('Site Data'!$S$7:$S$13,MATCH($A124,'Site Data'!$C$7:$C$13,0))</f>
        <v>20</v>
      </c>
      <c r="D124" s="251" t="s">
        <v>188</v>
      </c>
      <c r="F124" s="266" t="s">
        <v>279</v>
      </c>
      <c r="G124" s="267">
        <f>IF($B124="SEL","N/A - SEL",INDEX('Solar+Storage Proposal'!$A$32:$X$38,MATCH($A124,'Solar+Storage Proposal'!$D$32:$D$38,0),MATCH($D124,'Solar+Storage Proposal'!$A$31:$X$31,0)))</f>
        <v>0</v>
      </c>
      <c r="H124" s="268" t="s">
        <v>280</v>
      </c>
      <c r="J124" s="519" t="s">
        <v>288</v>
      </c>
      <c r="K124" s="520"/>
      <c r="L124" s="521"/>
      <c r="N124" s="262">
        <v>8</v>
      </c>
      <c r="O124" s="293">
        <f>IF($B124="SEL","N/A - SEL",O123*(1-'System Specification'!$D$10)*IF(N124&lt;=$C124,1,0))</f>
        <v>0</v>
      </c>
      <c r="P124" s="293" t="str" cm="1">
        <f t="array" ref="P124">INDEX(PeGu!$B$24:$H$43,$S124,MATCH($A122,_xlfn.ANCHORARRAY(PeGu!$B$20),0))</f>
        <v/>
      </c>
      <c r="Q124" s="294">
        <f>IF($B124="SEL","N/A - SEL",PeGu!$E$14*POWER(1+PeGu!$E$15,$S124-1))</f>
        <v>6.1493693271243502E-2</v>
      </c>
      <c r="S124" s="262">
        <v>8</v>
      </c>
      <c r="T124" s="293">
        <f>IF($B124="SEL","N/A - SEL",T123*(1-'System Specification'!$D$10)*IF(S124&lt;=$C124,1,0))</f>
        <v>0</v>
      </c>
      <c r="U124" s="293" t="str" cm="1">
        <f t="array" ref="U124">INDEX(PeGu!$B$52:$H$71,$S124,MATCH($A122,_xlfn.ANCHORARRAY(PeGu!$B$48),0))</f>
        <v/>
      </c>
      <c r="V124" s="294">
        <f>IF($B124="SEL","N/A - SEL",PeGu!$E$14*POWER(1+PeGu!$E$15,$S124-1))</f>
        <v>6.1493693271243502E-2</v>
      </c>
      <c r="X124" s="262">
        <v>8</v>
      </c>
      <c r="Y124" s="293" t="str" cm="1">
        <f t="array" ref="Y124">IF($B124="SEL","N/A - SEL",INDEX(PeGu!$B$78:$H$97,$X124,MATCH($A122,PeGu!$B$76:$H$76,0)))</f>
        <v/>
      </c>
      <c r="Z124" s="294">
        <f>IF($B124="SEL","N/A - SEL",PeGu!$K$12*POWER(1+PeGu!$K$13,$X124-1))</f>
        <v>0</v>
      </c>
      <c r="AB124" s="263">
        <v>8</v>
      </c>
      <c r="AC124" s="264" cm="1">
        <f t="array" ref="AC124">INDEX('Contract Early Termination'!$B$14:$H$33,$AB124,MATCH($A122,_xlfn.ANCHORARRAY('Contract Early Termination'!$B$10),0))</f>
        <v>0</v>
      </c>
      <c r="AE124" s="263">
        <v>8</v>
      </c>
      <c r="AF124" s="264" cm="1">
        <f t="array" ref="AF124">INDEX('Contract Early Termination'!$B$41:$H$60,$AE124,MATCH($A122,_xlfn.ANCHORARRAY('Contract Early Termination'!$B$37),0))</f>
        <v>0</v>
      </c>
      <c r="AH124" s="263">
        <v>8</v>
      </c>
      <c r="AI124" s="264" cm="1">
        <f t="array" ref="AI124">INDEX('Contract Early Termination'!$B$68:$H$87,$AB124,MATCH($A122,_xlfn.ANCHORARRAY('Contract Early Termination'!$B$64),0))</f>
        <v>0</v>
      </c>
      <c r="AK124" s="263">
        <v>8</v>
      </c>
      <c r="AL124" s="293" t="str">
        <f>IF($B124="SPPA","N/A - SPPA",AL123*(1-'System Specification'!$D$10)*IF(AK124&lt;=$C124,1,0))</f>
        <v>N/A - SPPA</v>
      </c>
      <c r="AM124" s="293" t="str">
        <f>IF($B124="SPPA","N/A - SPPA",AM123*(1-INDEX('System Specification'!$Q$14:$Q$20,MATCH($A124,'System Specification'!$D$14:$D$20,0)))*IF(AK124&lt;=$C124,1,0))</f>
        <v>N/A - SPPA</v>
      </c>
      <c r="AN124" s="298" t="str" cm="1">
        <f t="array" ref="AN124">IF($B124="SPPA","N/A - SPPA",INDEX(PeGu!$B$78:$H$97,$AK124,MATCH($A122,PeGu!$B$76:$H$76,0)))</f>
        <v>N/A - SPPA</v>
      </c>
      <c r="AP124" s="262">
        <v>8</v>
      </c>
      <c r="AQ124" s="269" t="str">
        <f>IF($B124="SPPA","N/A - SPPA", INDEX('Microgrid Proposal'!$N$32:$N$38,MATCH($A124,'Microgrid Proposal'!$D$32:$D$38,0))*IF(AP124&lt;=$C124,1,0))</f>
        <v>N/A - SPPA</v>
      </c>
      <c r="AR124" s="264" t="str">
        <f t="shared" si="17"/>
        <v>N/A - SPPA</v>
      </c>
      <c r="AT124" s="262">
        <v>8</v>
      </c>
      <c r="AU124" s="269" t="str">
        <f>IF($B124="SPPA","N/A - SPPA", INDEX('Solar+Storage Proposal'!$N$32:$N$38,MATCH($A124,'Solar+Storage Proposal'!$D$32:$D$38,0))*IF(AT124&lt;=$C124,1,0))</f>
        <v>N/A - SPPA</v>
      </c>
      <c r="AV124" s="264" t="str">
        <f t="shared" si="18"/>
        <v>N/A - SPPA</v>
      </c>
      <c r="AX124" s="262">
        <v>8</v>
      </c>
      <c r="AY124" s="269" t="str">
        <f>IF($B124="SPPA","N/A - SPPA", INDEX('Solar-Only Proposal'!$M$32:$M$38,MATCH($A124,'Solar-Only Proposal'!$D$32:$D$38,0))*IF(AX124&lt;=$C124,1,0))</f>
        <v>N/A - SPPA</v>
      </c>
      <c r="AZ124" s="264" t="str">
        <f t="shared" si="19"/>
        <v>N/A - SPPA</v>
      </c>
    </row>
    <row r="125" spans="1:52" x14ac:dyDescent="0.35">
      <c r="A125" s="251" t="str">
        <f t="shared" si="15"/>
        <v>36-R1</v>
      </c>
      <c r="B125" s="251" t="str">
        <f t="shared" si="16"/>
        <v>SPPA</v>
      </c>
      <c r="C125" s="251">
        <f>INDEX('Site Data'!$S$7:$S$13,MATCH($A125,'Site Data'!$C$7:$C$13,0))</f>
        <v>20</v>
      </c>
      <c r="D125" s="251" t="s">
        <v>165</v>
      </c>
      <c r="E125" s="251" t="s">
        <v>165</v>
      </c>
      <c r="F125" s="262" t="s">
        <v>282</v>
      </c>
      <c r="G125" s="269">
        <f>IF($B125="SEL","N/A - SEL",INDEX('Solar+Storage Proposal'!$A$32:$X$38,MATCH($A125,'Solar+Storage Proposal'!$D$32:$D$38,0),MATCH($D125,'Solar+Storage Proposal'!$A$31:$X$31,0)))</f>
        <v>0</v>
      </c>
      <c r="H125" s="270" t="s">
        <v>275</v>
      </c>
      <c r="J125" s="261" t="s">
        <v>274</v>
      </c>
      <c r="K125" s="303" t="str">
        <f>IF($B125="SPPA","N/A - SPPA",INDEX('Solar-Only Proposal'!$A$32:$W$38,MATCH($A125,'Solar-Only Proposal'!$D$32:$D$38,0),MATCH($E125,'Solar-Only Proposal'!$A$31:$W$31,0)))</f>
        <v>N/A - SPPA</v>
      </c>
      <c r="L125" s="304" t="s">
        <v>275</v>
      </c>
      <c r="N125" s="262">
        <v>9</v>
      </c>
      <c r="O125" s="293">
        <f>IF($B125="SEL","N/A - SEL",O124*(1-'System Specification'!$D$10)*IF(N125&lt;=$C125,1,0))</f>
        <v>0</v>
      </c>
      <c r="P125" s="293" t="str" cm="1">
        <f t="array" ref="P125">INDEX(PeGu!$B$24:$H$43,$S125,MATCH($A123,_xlfn.ANCHORARRAY(PeGu!$B$20),0))</f>
        <v/>
      </c>
      <c r="Q125" s="294">
        <f>IF($B125="SEL","N/A - SEL",PeGu!$E$14*POWER(1+PeGu!$E$15,$S125-1))</f>
        <v>6.3338504069380797E-2</v>
      </c>
      <c r="S125" s="262">
        <v>9</v>
      </c>
      <c r="T125" s="293">
        <f>IF($B125="SEL","N/A - SEL",T124*(1-'System Specification'!$D$10)*IF(S125&lt;=$C125,1,0))</f>
        <v>0</v>
      </c>
      <c r="U125" s="293" t="str" cm="1">
        <f t="array" ref="U125">INDEX(PeGu!$B$52:$H$71,$S125,MATCH($A123,_xlfn.ANCHORARRAY(PeGu!$B$48),0))</f>
        <v/>
      </c>
      <c r="V125" s="294">
        <f>IF($B125="SEL","N/A - SEL",PeGu!$E$14*POWER(1+PeGu!$E$15,$S125-1))</f>
        <v>6.3338504069380797E-2</v>
      </c>
      <c r="X125" s="262">
        <v>9</v>
      </c>
      <c r="Y125" s="293" t="str" cm="1">
        <f t="array" ref="Y125">IF($B125="SEL","N/A - SEL",INDEX(PeGu!$B$78:$H$97,$X125,MATCH($A123,PeGu!$B$76:$H$76,0)))</f>
        <v/>
      </c>
      <c r="Z125" s="294">
        <f>IF($B125="SEL","N/A - SEL",PeGu!$K$12*POWER(1+PeGu!$K$13,$X125-1))</f>
        <v>0</v>
      </c>
      <c r="AB125" s="263">
        <v>9</v>
      </c>
      <c r="AC125" s="264" cm="1">
        <f t="array" ref="AC125">INDEX('Contract Early Termination'!$B$14:$H$33,$AB125,MATCH($A123,_xlfn.ANCHORARRAY('Contract Early Termination'!$B$10),0))</f>
        <v>0</v>
      </c>
      <c r="AE125" s="263">
        <v>9</v>
      </c>
      <c r="AF125" s="264" cm="1">
        <f t="array" ref="AF125">INDEX('Contract Early Termination'!$B$41:$H$60,$AE125,MATCH($A123,_xlfn.ANCHORARRAY('Contract Early Termination'!$B$37),0))</f>
        <v>0</v>
      </c>
      <c r="AH125" s="263">
        <v>9</v>
      </c>
      <c r="AI125" s="264" cm="1">
        <f t="array" ref="AI125">INDEX('Contract Early Termination'!$B$68:$H$87,$AB125,MATCH($A123,_xlfn.ANCHORARRAY('Contract Early Termination'!$B$64),0))</f>
        <v>0</v>
      </c>
      <c r="AK125" s="263">
        <v>9</v>
      </c>
      <c r="AL125" s="293" t="str">
        <f>IF($B125="SPPA","N/A - SPPA",AL124*(1-'System Specification'!$D$10)*IF(AK125&lt;=$C125,1,0))</f>
        <v>N/A - SPPA</v>
      </c>
      <c r="AM125" s="293" t="str">
        <f>IF($B125="SPPA","N/A - SPPA",AM124*(1-INDEX('System Specification'!$Q$14:$Q$20,MATCH($A125,'System Specification'!$D$14:$D$20,0)))*IF(AK125&lt;=$C125,1,0))</f>
        <v>N/A - SPPA</v>
      </c>
      <c r="AN125" s="298" t="str" cm="1">
        <f t="array" ref="AN125">IF($B125="SPPA","N/A - SPPA",INDEX(PeGu!$B$78:$H$97,$AK125,MATCH($A123,PeGu!$B$76:$H$76,0)))</f>
        <v>N/A - SPPA</v>
      </c>
      <c r="AP125" s="262">
        <v>9</v>
      </c>
      <c r="AQ125" s="269" t="str">
        <f>IF($B125="SPPA","N/A - SPPA", INDEX('Microgrid Proposal'!$N$32:$N$38,MATCH($A125,'Microgrid Proposal'!$D$32:$D$38,0))*IF(AP125&lt;=$C125,1,0))</f>
        <v>N/A - SPPA</v>
      </c>
      <c r="AR125" s="264" t="str">
        <f t="shared" si="17"/>
        <v>N/A - SPPA</v>
      </c>
      <c r="AT125" s="262">
        <v>9</v>
      </c>
      <c r="AU125" s="269" t="str">
        <f>IF($B125="SPPA","N/A - SPPA", INDEX('Solar+Storage Proposal'!$N$32:$N$38,MATCH($A125,'Solar+Storage Proposal'!$D$32:$D$38,0))*IF(AT125&lt;=$C125,1,0))</f>
        <v>N/A - SPPA</v>
      </c>
      <c r="AV125" s="264" t="str">
        <f t="shared" si="18"/>
        <v>N/A - SPPA</v>
      </c>
      <c r="AX125" s="262">
        <v>9</v>
      </c>
      <c r="AY125" s="269" t="str">
        <f>IF($B125="SPPA","N/A - SPPA", INDEX('Solar-Only Proposal'!$M$32:$M$38,MATCH($A125,'Solar-Only Proposal'!$D$32:$D$38,0))*IF(AX125&lt;=$C125,1,0))</f>
        <v>N/A - SPPA</v>
      </c>
      <c r="AZ125" s="264" t="str">
        <f t="shared" si="19"/>
        <v>N/A - SPPA</v>
      </c>
    </row>
    <row r="126" spans="1:52" x14ac:dyDescent="0.35">
      <c r="A126" s="251" t="str">
        <f t="shared" si="15"/>
        <v>36-R1</v>
      </c>
      <c r="B126" s="251" t="str">
        <f t="shared" si="16"/>
        <v>SPPA</v>
      </c>
      <c r="C126" s="251">
        <f>INDEX('Site Data'!$S$7:$S$13,MATCH($A126,'Site Data'!$C$7:$C$13,0))</f>
        <v>20</v>
      </c>
      <c r="D126" s="251" t="s">
        <v>189</v>
      </c>
      <c r="E126" s="251" t="s">
        <v>192</v>
      </c>
      <c r="F126" s="262" t="s">
        <v>284</v>
      </c>
      <c r="G126" s="271">
        <f>IF($B126="SEL","N/A - SEL",INDEX('Solar+Storage Proposal'!$A$32:$X$38,MATCH($A126,'Solar+Storage Proposal'!$D$32:$D$38,0),MATCH($D126,'Solar+Storage Proposal'!$A$31:$X$31,0)))</f>
        <v>0</v>
      </c>
      <c r="H126" s="270" t="s">
        <v>285</v>
      </c>
      <c r="J126" s="262" t="s">
        <v>277</v>
      </c>
      <c r="K126" s="269" t="str">
        <f>IF($B126="SPPA","N/A - SPPA",INDEX('Solar-Only Proposal'!$A$32:$W$38,MATCH($A126,'Solar-Only Proposal'!$D$32:$D$38,0),MATCH($E126,'Solar-Only Proposal'!$A$31:$W$31,0)))</f>
        <v>N/A - SPPA</v>
      </c>
      <c r="L126" s="270" t="s">
        <v>278</v>
      </c>
      <c r="N126" s="262">
        <v>10</v>
      </c>
      <c r="O126" s="293">
        <f>IF($B126="SEL","N/A - SEL",O125*(1-'System Specification'!$D$10)*IF(N126&lt;=$C126,1,0))</f>
        <v>0</v>
      </c>
      <c r="P126" s="293" t="str" cm="1">
        <f t="array" ref="P126">INDEX(PeGu!$B$24:$H$43,$S126,MATCH($A124,_xlfn.ANCHORARRAY(PeGu!$B$20),0))</f>
        <v/>
      </c>
      <c r="Q126" s="294">
        <f>IF($B126="SEL","N/A - SEL",PeGu!$E$14*POWER(1+PeGu!$E$15,$S126-1))</f>
        <v>6.5238659191462225E-2</v>
      </c>
      <c r="S126" s="262">
        <v>10</v>
      </c>
      <c r="T126" s="293">
        <f>IF($B126="SEL","N/A - SEL",T125*(1-'System Specification'!$D$10)*IF(S126&lt;=$C126,1,0))</f>
        <v>0</v>
      </c>
      <c r="U126" s="293" t="str" cm="1">
        <f t="array" ref="U126">INDEX(PeGu!$B$52:$H$71,$S126,MATCH($A124,_xlfn.ANCHORARRAY(PeGu!$B$48),0))</f>
        <v/>
      </c>
      <c r="V126" s="294">
        <f>IF($B126="SEL","N/A - SEL",PeGu!$E$14*POWER(1+PeGu!$E$15,$S126-1))</f>
        <v>6.5238659191462225E-2</v>
      </c>
      <c r="X126" s="262">
        <v>10</v>
      </c>
      <c r="Y126" s="293" t="str" cm="1">
        <f t="array" ref="Y126">IF($B126="SEL","N/A - SEL",INDEX(PeGu!$B$78:$H$97,$X126,MATCH($A124,PeGu!$B$76:$H$76,0)))</f>
        <v/>
      </c>
      <c r="Z126" s="294">
        <f>IF($B126="SEL","N/A - SEL",PeGu!$K$12*POWER(1+PeGu!$K$13,$X126-1))</f>
        <v>0</v>
      </c>
      <c r="AB126" s="263">
        <v>10</v>
      </c>
      <c r="AC126" s="264" cm="1">
        <f t="array" ref="AC126">INDEX('Contract Early Termination'!$B$14:$H$33,$AB126,MATCH($A124,_xlfn.ANCHORARRAY('Contract Early Termination'!$B$10),0))</f>
        <v>0</v>
      </c>
      <c r="AE126" s="263">
        <v>10</v>
      </c>
      <c r="AF126" s="264" cm="1">
        <f t="array" ref="AF126">INDEX('Contract Early Termination'!$B$41:$H$60,$AE126,MATCH($A124,_xlfn.ANCHORARRAY('Contract Early Termination'!$B$37),0))</f>
        <v>0</v>
      </c>
      <c r="AH126" s="263">
        <v>10</v>
      </c>
      <c r="AI126" s="264" cm="1">
        <f t="array" ref="AI126">INDEX('Contract Early Termination'!$B$68:$H$87,$AB126,MATCH($A124,_xlfn.ANCHORARRAY('Contract Early Termination'!$B$64),0))</f>
        <v>0</v>
      </c>
      <c r="AK126" s="263">
        <v>10</v>
      </c>
      <c r="AL126" s="293" t="str">
        <f>IF($B126="SPPA","N/A - SPPA",AL125*(1-'System Specification'!$D$10)*IF(AK126&lt;=$C126,1,0))</f>
        <v>N/A - SPPA</v>
      </c>
      <c r="AM126" s="293" t="str">
        <f>IF($B126="SPPA","N/A - SPPA",AM125*(1-INDEX('System Specification'!$Q$14:$Q$20,MATCH($A126,'System Specification'!$D$14:$D$20,0)))*IF(AK126&lt;=$C126,1,0))</f>
        <v>N/A - SPPA</v>
      </c>
      <c r="AN126" s="298" t="str" cm="1">
        <f t="array" ref="AN126">IF($B126="SPPA","N/A - SPPA",INDEX(PeGu!$B$78:$H$97,$AK126,MATCH($A124,PeGu!$B$76:$H$76,0)))</f>
        <v>N/A - SPPA</v>
      </c>
      <c r="AP126" s="262">
        <v>10</v>
      </c>
      <c r="AQ126" s="269" t="str">
        <f>IF($B126="SPPA","N/A - SPPA", INDEX('Microgrid Proposal'!$N$32:$N$38,MATCH($A126,'Microgrid Proposal'!$D$32:$D$38,0))*IF(AP126&lt;=$C126,1,0))</f>
        <v>N/A - SPPA</v>
      </c>
      <c r="AR126" s="264" t="str">
        <f t="shared" si="17"/>
        <v>N/A - SPPA</v>
      </c>
      <c r="AT126" s="262">
        <v>10</v>
      </c>
      <c r="AU126" s="269" t="str">
        <f>IF($B126="SPPA","N/A - SPPA", INDEX('Solar+Storage Proposal'!$N$32:$N$38,MATCH($A126,'Solar+Storage Proposal'!$D$32:$D$38,0))*IF(AT126&lt;=$C126,1,0))</f>
        <v>N/A - SPPA</v>
      </c>
      <c r="AV126" s="264" t="str">
        <f t="shared" si="18"/>
        <v>N/A - SPPA</v>
      </c>
      <c r="AX126" s="262">
        <v>10</v>
      </c>
      <c r="AY126" s="269" t="str">
        <f>IF($B126="SPPA","N/A - SPPA", INDEX('Solar-Only Proposal'!$M$32:$M$38,MATCH($A126,'Solar-Only Proposal'!$D$32:$D$38,0))*IF(AX126&lt;=$C126,1,0))</f>
        <v>N/A - SPPA</v>
      </c>
      <c r="AZ126" s="264" t="str">
        <f t="shared" si="19"/>
        <v>N/A - SPPA</v>
      </c>
    </row>
    <row r="127" spans="1:52" ht="15" thickBot="1" x14ac:dyDescent="0.4">
      <c r="A127" s="251" t="str">
        <f t="shared" si="15"/>
        <v>36-R1</v>
      </c>
      <c r="B127" s="251" t="str">
        <f t="shared" si="16"/>
        <v>SPPA</v>
      </c>
      <c r="C127" s="251">
        <f>INDEX('Site Data'!$S$7:$S$13,MATCH($A127,'Site Data'!$C$7:$C$13,0))</f>
        <v>20</v>
      </c>
      <c r="D127" s="251" t="s">
        <v>190</v>
      </c>
      <c r="E127" s="251" t="s">
        <v>193</v>
      </c>
      <c r="F127" s="258" t="s">
        <v>284</v>
      </c>
      <c r="G127" s="272">
        <f>IF($B127="SEL","N/A - SEL",INDEX('Solar+Storage Proposal'!$A$32:$X$38,MATCH($A127,'Solar+Storage Proposal'!$D$32:$D$38,0),MATCH($D127,'Solar+Storage Proposal'!$A$31:$X$31,0)))</f>
        <v>0</v>
      </c>
      <c r="H127" s="260" t="s">
        <v>286</v>
      </c>
      <c r="J127" s="258" t="s">
        <v>277</v>
      </c>
      <c r="K127" s="300" t="str">
        <f>IF($B127="SPPA","N/A - SPPA",INDEX('Solar-Only Proposal'!$A$32:$W$38,MATCH($A127,'Solar-Only Proposal'!$D$32:$D$38,0),MATCH($E127,'Solar-Only Proposal'!$A$31:$W$31,0)))</f>
        <v>N/A - SPPA</v>
      </c>
      <c r="L127" s="260" t="s">
        <v>281</v>
      </c>
      <c r="N127" s="262">
        <v>11</v>
      </c>
      <c r="O127" s="293">
        <f>IF($B127="SEL","N/A - SEL",O126*(1-'System Specification'!$D$10)*IF(N127&lt;=$C127,1,0))</f>
        <v>0</v>
      </c>
      <c r="P127" s="293" t="str" cm="1">
        <f t="array" ref="P127">INDEX(PeGu!$B$24:$H$43,$S127,MATCH($A125,_xlfn.ANCHORARRAY(PeGu!$B$20),0))</f>
        <v/>
      </c>
      <c r="Q127" s="294">
        <f>IF($B127="SEL","N/A - SEL",PeGu!$E$14*POWER(1+PeGu!$E$15,$S127-1))</f>
        <v>6.7195818967206097E-2</v>
      </c>
      <c r="S127" s="262">
        <v>11</v>
      </c>
      <c r="T127" s="293">
        <f>IF($B127="SEL","N/A - SEL",T126*(1-'System Specification'!$D$10)*IF(S127&lt;=$C127,1,0))</f>
        <v>0</v>
      </c>
      <c r="U127" s="293" t="str" cm="1">
        <f t="array" ref="U127">INDEX(PeGu!$B$52:$H$71,$S127,MATCH($A125,_xlfn.ANCHORARRAY(PeGu!$B$48),0))</f>
        <v/>
      </c>
      <c r="V127" s="294">
        <f>IF($B127="SEL","N/A - SEL",PeGu!$E$14*POWER(1+PeGu!$E$15,$S127-1))</f>
        <v>6.7195818967206097E-2</v>
      </c>
      <c r="X127" s="262">
        <v>11</v>
      </c>
      <c r="Y127" s="293" t="str" cm="1">
        <f t="array" ref="Y127">IF($B127="SEL","N/A - SEL",INDEX(PeGu!$B$78:$H$97,$X127,MATCH($A125,PeGu!$B$76:$H$76,0)))</f>
        <v/>
      </c>
      <c r="Z127" s="294">
        <f>IF($B127="SEL","N/A - SEL",PeGu!$K$12*POWER(1+PeGu!$K$13,$X127-1))</f>
        <v>0</v>
      </c>
      <c r="AB127" s="263">
        <v>11</v>
      </c>
      <c r="AC127" s="264" cm="1">
        <f t="array" ref="AC127">INDEX('Contract Early Termination'!$B$14:$H$33,$AB127,MATCH($A125,_xlfn.ANCHORARRAY('Contract Early Termination'!$B$10),0))</f>
        <v>0</v>
      </c>
      <c r="AE127" s="263">
        <v>11</v>
      </c>
      <c r="AF127" s="264" cm="1">
        <f t="array" ref="AF127">INDEX('Contract Early Termination'!$B$41:$H$60,$AE127,MATCH($A125,_xlfn.ANCHORARRAY('Contract Early Termination'!$B$37),0))</f>
        <v>0</v>
      </c>
      <c r="AH127" s="263">
        <v>11</v>
      </c>
      <c r="AI127" s="264" cm="1">
        <f t="array" ref="AI127">INDEX('Contract Early Termination'!$B$68:$H$87,$AB127,MATCH($A125,_xlfn.ANCHORARRAY('Contract Early Termination'!$B$64),0))</f>
        <v>0</v>
      </c>
      <c r="AK127" s="263">
        <v>11</v>
      </c>
      <c r="AL127" s="293" t="str">
        <f>IF($B127="SPPA","N/A - SPPA",AL126*(1-'System Specification'!$D$10)*IF(AK127&lt;=$C127,1,0))</f>
        <v>N/A - SPPA</v>
      </c>
      <c r="AM127" s="293" t="str">
        <f>IF($B127="SPPA","N/A - SPPA",AM126*(1-INDEX('System Specification'!$Q$14:$Q$20,MATCH($A127,'System Specification'!$D$14:$D$20,0)))*IF(AK127&lt;=$C127,1,0))</f>
        <v>N/A - SPPA</v>
      </c>
      <c r="AN127" s="298" t="str" cm="1">
        <f t="array" ref="AN127">IF($B127="SPPA","N/A - SPPA",INDEX(PeGu!$B$78:$H$97,$AK127,MATCH($A125,PeGu!$B$76:$H$76,0)))</f>
        <v>N/A - SPPA</v>
      </c>
      <c r="AP127" s="262">
        <v>11</v>
      </c>
      <c r="AQ127" s="269" t="str">
        <f>IF($B127="SPPA","N/A - SPPA", INDEX('Microgrid Proposal'!$N$32:$N$38,MATCH($A127,'Microgrid Proposal'!$D$32:$D$38,0))*IF(AP127&lt;=$C127,1,0))</f>
        <v>N/A - SPPA</v>
      </c>
      <c r="AR127" s="264" t="str">
        <f t="shared" si="17"/>
        <v>N/A - SPPA</v>
      </c>
      <c r="AT127" s="262">
        <v>11</v>
      </c>
      <c r="AU127" s="269" t="str">
        <f>IF($B127="SPPA","N/A - SPPA", INDEX('Solar+Storage Proposal'!$N$32:$N$38,MATCH($A127,'Solar+Storage Proposal'!$D$32:$D$38,0))*IF(AT127&lt;=$C127,1,0))</f>
        <v>N/A - SPPA</v>
      </c>
      <c r="AV127" s="264" t="str">
        <f t="shared" si="18"/>
        <v>N/A - SPPA</v>
      </c>
      <c r="AX127" s="262">
        <v>11</v>
      </c>
      <c r="AY127" s="269" t="str">
        <f>IF($B127="SPPA","N/A - SPPA", INDEX('Solar-Only Proposal'!$M$32:$M$38,MATCH($A127,'Solar-Only Proposal'!$D$32:$D$38,0))*IF(AX127&lt;=$C127,1,0))</f>
        <v>N/A - SPPA</v>
      </c>
      <c r="AZ127" s="264" t="str">
        <f t="shared" si="19"/>
        <v>N/A - SPPA</v>
      </c>
    </row>
    <row r="128" spans="1:52" ht="15" thickBot="1" x14ac:dyDescent="0.4">
      <c r="A128" s="251" t="str">
        <f t="shared" si="15"/>
        <v>36-R1</v>
      </c>
      <c r="B128" s="251" t="str">
        <f t="shared" si="16"/>
        <v>SPPA</v>
      </c>
      <c r="C128" s="251">
        <f>INDEX('Site Data'!$S$7:$S$13,MATCH($A128,'Site Data'!$C$7:$C$13,0))</f>
        <v>20</v>
      </c>
      <c r="F128" s="505" t="s">
        <v>289</v>
      </c>
      <c r="G128" s="506"/>
      <c r="H128" s="507"/>
      <c r="N128" s="262">
        <v>12</v>
      </c>
      <c r="O128" s="293">
        <f>IF($B128="SEL","N/A - SEL",O127*(1-'System Specification'!$D$10)*IF(N128&lt;=$C128,1,0))</f>
        <v>0</v>
      </c>
      <c r="P128" s="293" t="str" cm="1">
        <f t="array" ref="P128">INDEX(PeGu!$B$24:$H$43,$S128,MATCH($A126,_xlfn.ANCHORARRAY(PeGu!$B$20),0))</f>
        <v/>
      </c>
      <c r="Q128" s="294">
        <f>IF($B128="SEL","N/A - SEL",PeGu!$E$14*POWER(1+PeGu!$E$15,$S128-1))</f>
        <v>6.921169353622228E-2</v>
      </c>
      <c r="S128" s="262">
        <v>12</v>
      </c>
      <c r="T128" s="293">
        <f>IF($B128="SEL","N/A - SEL",T127*(1-'System Specification'!$D$10)*IF(S128&lt;=$C128,1,0))</f>
        <v>0</v>
      </c>
      <c r="U128" s="293" t="str" cm="1">
        <f t="array" ref="U128">INDEX(PeGu!$B$52:$H$71,$S128,MATCH($A126,_xlfn.ANCHORARRAY(PeGu!$B$48),0))</f>
        <v/>
      </c>
      <c r="V128" s="294">
        <f>IF($B128="SEL","N/A - SEL",PeGu!$E$14*POWER(1+PeGu!$E$15,$S128-1))</f>
        <v>6.921169353622228E-2</v>
      </c>
      <c r="X128" s="262">
        <v>12</v>
      </c>
      <c r="Y128" s="293" t="str" cm="1">
        <f t="array" ref="Y128">IF($B128="SEL","N/A - SEL",INDEX(PeGu!$B$78:$H$97,$X128,MATCH($A126,PeGu!$B$76:$H$76,0)))</f>
        <v/>
      </c>
      <c r="Z128" s="294">
        <f>IF($B128="SEL","N/A - SEL",PeGu!$K$12*POWER(1+PeGu!$K$13,$X128-1))</f>
        <v>0</v>
      </c>
      <c r="AB128" s="263">
        <v>12</v>
      </c>
      <c r="AC128" s="264" cm="1">
        <f t="array" ref="AC128">INDEX('Contract Early Termination'!$B$14:$H$33,$AB128,MATCH($A126,_xlfn.ANCHORARRAY('Contract Early Termination'!$B$10),0))</f>
        <v>0</v>
      </c>
      <c r="AE128" s="263">
        <v>12</v>
      </c>
      <c r="AF128" s="264" cm="1">
        <f t="array" ref="AF128">INDEX('Contract Early Termination'!$B$41:$H$60,$AE128,MATCH($A126,_xlfn.ANCHORARRAY('Contract Early Termination'!$B$37),0))</f>
        <v>0</v>
      </c>
      <c r="AH128" s="263">
        <v>12</v>
      </c>
      <c r="AI128" s="264" cm="1">
        <f t="array" ref="AI128">INDEX('Contract Early Termination'!$B$68:$H$87,$AB128,MATCH($A126,_xlfn.ANCHORARRAY('Contract Early Termination'!$B$64),0))</f>
        <v>0</v>
      </c>
      <c r="AK128" s="263">
        <v>12</v>
      </c>
      <c r="AL128" s="293" t="str">
        <f>IF($B128="SPPA","N/A - SPPA",AL127*(1-'System Specification'!$D$10)*IF(AK128&lt;=$C128,1,0))</f>
        <v>N/A - SPPA</v>
      </c>
      <c r="AM128" s="293" t="str">
        <f>IF($B128="SPPA","N/A - SPPA",AM127*(1-INDEX('System Specification'!$Q$14:$Q$20,MATCH($A128,'System Specification'!$D$14:$D$20,0)))*IF(AK128&lt;=$C128,1,0))</f>
        <v>N/A - SPPA</v>
      </c>
      <c r="AN128" s="298" t="str" cm="1">
        <f t="array" ref="AN128">IF($B128="SPPA","N/A - SPPA",INDEX(PeGu!$B$78:$H$97,$AK128,MATCH($A126,PeGu!$B$76:$H$76,0)))</f>
        <v>N/A - SPPA</v>
      </c>
      <c r="AP128" s="262">
        <v>12</v>
      </c>
      <c r="AQ128" s="269" t="str">
        <f>IF($B128="SPPA","N/A - SPPA", INDEX('Microgrid Proposal'!$N$32:$N$38,MATCH($A128,'Microgrid Proposal'!$D$32:$D$38,0))*IF(AP128&lt;=$C128,1,0))</f>
        <v>N/A - SPPA</v>
      </c>
      <c r="AR128" s="264" t="str">
        <f t="shared" si="17"/>
        <v>N/A - SPPA</v>
      </c>
      <c r="AT128" s="262">
        <v>12</v>
      </c>
      <c r="AU128" s="269" t="str">
        <f>IF($B128="SPPA","N/A - SPPA", INDEX('Solar+Storage Proposal'!$N$32:$N$38,MATCH($A128,'Solar+Storage Proposal'!$D$32:$D$38,0))*IF(AT128&lt;=$C128,1,0))</f>
        <v>N/A - SPPA</v>
      </c>
      <c r="AV128" s="264" t="str">
        <f t="shared" si="18"/>
        <v>N/A - SPPA</v>
      </c>
      <c r="AX128" s="262">
        <v>12</v>
      </c>
      <c r="AY128" s="269" t="str">
        <f>IF($B128="SPPA","N/A - SPPA", INDEX('Solar-Only Proposal'!$M$32:$M$38,MATCH($A128,'Solar-Only Proposal'!$D$32:$D$38,0))*IF(AX128&lt;=$C128,1,0))</f>
        <v>N/A - SPPA</v>
      </c>
      <c r="AZ128" s="264" t="str">
        <f t="shared" si="19"/>
        <v>N/A - SPPA</v>
      </c>
    </row>
    <row r="129" spans="1:52" x14ac:dyDescent="0.35">
      <c r="A129" s="251" t="str">
        <f t="shared" si="15"/>
        <v>36-R1</v>
      </c>
      <c r="B129" s="251" t="str">
        <f t="shared" si="16"/>
        <v>SPPA</v>
      </c>
      <c r="C129" s="251">
        <f>INDEX('Site Data'!$S$7:$S$13,MATCH($A129,'Site Data'!$C$7:$C$13,0))</f>
        <v>20</v>
      </c>
      <c r="D129" s="251" t="s">
        <v>188</v>
      </c>
      <c r="F129" s="266" t="s">
        <v>279</v>
      </c>
      <c r="G129" s="267">
        <f>IF($B129="SEL","N/A - SEL",INDEX('Solar-Only Proposal'!$A$32:$W$38,MATCH($A129,'Solar-Only Proposal'!$D$32:$D$38,0),MATCH($D129,'Solar-Only Proposal'!$A$31:$W$31,0)))</f>
        <v>0</v>
      </c>
      <c r="H129" s="268" t="s">
        <v>280</v>
      </c>
      <c r="N129" s="262">
        <v>13</v>
      </c>
      <c r="O129" s="293">
        <f>IF($B129="SEL","N/A - SEL",O128*(1-'System Specification'!$D$10)*IF(N129&lt;=$C129,1,0))</f>
        <v>0</v>
      </c>
      <c r="P129" s="293" t="str" cm="1">
        <f t="array" ref="P129">INDEX(PeGu!$B$24:$H$43,$S129,MATCH($A127,_xlfn.ANCHORARRAY(PeGu!$B$20),0))</f>
        <v/>
      </c>
      <c r="Q129" s="294">
        <f>IF($B129="SEL","N/A - SEL",PeGu!$E$14*POWER(1+PeGu!$E$15,$S129-1))</f>
        <v>7.128804434230894E-2</v>
      </c>
      <c r="S129" s="262">
        <v>13</v>
      </c>
      <c r="T129" s="293">
        <f>IF($B129="SEL","N/A - SEL",T128*(1-'System Specification'!$D$10)*IF(S129&lt;=$C129,1,0))</f>
        <v>0</v>
      </c>
      <c r="U129" s="293" t="str" cm="1">
        <f t="array" ref="U129">INDEX(PeGu!$B$52:$H$71,$S129,MATCH($A127,_xlfn.ANCHORARRAY(PeGu!$B$48),0))</f>
        <v/>
      </c>
      <c r="V129" s="294">
        <f>IF($B129="SEL","N/A - SEL",PeGu!$E$14*POWER(1+PeGu!$E$15,$S129-1))</f>
        <v>7.128804434230894E-2</v>
      </c>
      <c r="X129" s="262">
        <v>13</v>
      </c>
      <c r="Y129" s="293" t="str" cm="1">
        <f t="array" ref="Y129">IF($B129="SEL","N/A - SEL",INDEX(PeGu!$B$78:$H$97,$X129,MATCH($A127,PeGu!$B$76:$H$76,0)))</f>
        <v/>
      </c>
      <c r="Z129" s="294">
        <f>IF($B129="SEL","N/A - SEL",PeGu!$K$12*POWER(1+PeGu!$K$13,$X129-1))</f>
        <v>0</v>
      </c>
      <c r="AB129" s="263">
        <v>13</v>
      </c>
      <c r="AC129" s="264" cm="1">
        <f t="array" ref="AC129">INDEX('Contract Early Termination'!$B$14:$H$33,$AB129,MATCH($A127,_xlfn.ANCHORARRAY('Contract Early Termination'!$B$10),0))</f>
        <v>0</v>
      </c>
      <c r="AE129" s="263">
        <v>13</v>
      </c>
      <c r="AF129" s="264" cm="1">
        <f t="array" ref="AF129">INDEX('Contract Early Termination'!$B$41:$H$60,$AE129,MATCH($A127,_xlfn.ANCHORARRAY('Contract Early Termination'!$B$37),0))</f>
        <v>0</v>
      </c>
      <c r="AH129" s="263">
        <v>13</v>
      </c>
      <c r="AI129" s="264" cm="1">
        <f t="array" ref="AI129">INDEX('Contract Early Termination'!$B$68:$H$87,$AB129,MATCH($A127,_xlfn.ANCHORARRAY('Contract Early Termination'!$B$64),0))</f>
        <v>0</v>
      </c>
      <c r="AK129" s="263">
        <v>13</v>
      </c>
      <c r="AL129" s="293" t="str">
        <f>IF($B129="SPPA","N/A - SPPA",AL128*(1-'System Specification'!$D$10)*IF(AK129&lt;=$C129,1,0))</f>
        <v>N/A - SPPA</v>
      </c>
      <c r="AM129" s="293" t="str">
        <f>IF($B129="SPPA","N/A - SPPA",AM128*(1-INDEX('System Specification'!$Q$14:$Q$20,MATCH($A129,'System Specification'!$D$14:$D$20,0)))*IF(AK129&lt;=$C129,1,0))</f>
        <v>N/A - SPPA</v>
      </c>
      <c r="AN129" s="298" t="str" cm="1">
        <f t="array" ref="AN129">IF($B129="SPPA","N/A - SPPA",INDEX(PeGu!$B$78:$H$97,$AK129,MATCH($A127,PeGu!$B$76:$H$76,0)))</f>
        <v>N/A - SPPA</v>
      </c>
      <c r="AP129" s="262">
        <v>13</v>
      </c>
      <c r="AQ129" s="269" t="str">
        <f>IF($B129="SPPA","N/A - SPPA", INDEX('Microgrid Proposal'!$N$32:$N$38,MATCH($A129,'Microgrid Proposal'!$D$32:$D$38,0))*IF(AP129&lt;=$C129,1,0))</f>
        <v>N/A - SPPA</v>
      </c>
      <c r="AR129" s="264" t="str">
        <f t="shared" si="17"/>
        <v>N/A - SPPA</v>
      </c>
      <c r="AT129" s="262">
        <v>13</v>
      </c>
      <c r="AU129" s="269" t="str">
        <f>IF($B129="SPPA","N/A - SPPA", INDEX('Solar+Storage Proposal'!$N$32:$N$38,MATCH($A129,'Solar+Storage Proposal'!$D$32:$D$38,0))*IF(AT129&lt;=$C129,1,0))</f>
        <v>N/A - SPPA</v>
      </c>
      <c r="AV129" s="264" t="str">
        <f t="shared" si="18"/>
        <v>N/A - SPPA</v>
      </c>
      <c r="AX129" s="262">
        <v>13</v>
      </c>
      <c r="AY129" s="269" t="str">
        <f>IF($B129="SPPA","N/A - SPPA", INDEX('Solar-Only Proposal'!$M$32:$M$38,MATCH($A129,'Solar-Only Proposal'!$D$32:$D$38,0))*IF(AX129&lt;=$C129,1,0))</f>
        <v>N/A - SPPA</v>
      </c>
      <c r="AZ129" s="264" t="str">
        <f t="shared" si="19"/>
        <v>N/A - SPPA</v>
      </c>
    </row>
    <row r="130" spans="1:52" x14ac:dyDescent="0.35">
      <c r="A130" s="251" t="str">
        <f t="shared" si="15"/>
        <v>36-R1</v>
      </c>
      <c r="B130" s="251" t="str">
        <f t="shared" si="16"/>
        <v>SPPA</v>
      </c>
      <c r="C130" s="251">
        <f>INDEX('Site Data'!$S$7:$S$13,MATCH($A130,'Site Data'!$C$7:$C$13,0))</f>
        <v>20</v>
      </c>
      <c r="D130" s="251" t="s">
        <v>165</v>
      </c>
      <c r="F130" s="262" t="s">
        <v>282</v>
      </c>
      <c r="G130" s="269">
        <f>IF($B130="SEL","N/A - SEL",INDEX('Solar-Only Proposal'!$A$32:$W$38,MATCH($A130,'Solar-Only Proposal'!$D$32:$D$38,0),MATCH($D130,'Solar-Only Proposal'!$A$31:$W$31,0)))</f>
        <v>0</v>
      </c>
      <c r="H130" s="270" t="s">
        <v>275</v>
      </c>
      <c r="N130" s="262">
        <v>14</v>
      </c>
      <c r="O130" s="293">
        <f>IF($B130="SEL","N/A - SEL",O129*(1-'System Specification'!$D$10)*IF(N130&lt;=$C130,1,0))</f>
        <v>0</v>
      </c>
      <c r="P130" s="293" t="str" cm="1">
        <f t="array" ref="P130">INDEX(PeGu!$B$24:$H$43,$S130,MATCH($A128,_xlfn.ANCHORARRAY(PeGu!$B$20),0))</f>
        <v/>
      </c>
      <c r="Q130" s="294">
        <f>IF($B130="SEL","N/A - SEL",PeGu!$E$14*POWER(1+PeGu!$E$15,$S130-1))</f>
        <v>7.3426685672578193E-2</v>
      </c>
      <c r="S130" s="262">
        <v>14</v>
      </c>
      <c r="T130" s="293">
        <f>IF($B130="SEL","N/A - SEL",T129*(1-'System Specification'!$D$10)*IF(S130&lt;=$C130,1,0))</f>
        <v>0</v>
      </c>
      <c r="U130" s="293" t="str" cm="1">
        <f t="array" ref="U130">INDEX(PeGu!$B$52:$H$71,$S130,MATCH($A128,_xlfn.ANCHORARRAY(PeGu!$B$48),0))</f>
        <v/>
      </c>
      <c r="V130" s="294">
        <f>IF($B130="SEL","N/A - SEL",PeGu!$E$14*POWER(1+PeGu!$E$15,$S130-1))</f>
        <v>7.3426685672578193E-2</v>
      </c>
      <c r="X130" s="262">
        <v>14</v>
      </c>
      <c r="Y130" s="293" t="str" cm="1">
        <f t="array" ref="Y130">IF($B130="SEL","N/A - SEL",INDEX(PeGu!$B$78:$H$97,$X130,MATCH($A128,PeGu!$B$76:$H$76,0)))</f>
        <v/>
      </c>
      <c r="Z130" s="294">
        <f>IF($B130="SEL","N/A - SEL",PeGu!$K$12*POWER(1+PeGu!$K$13,$X130-1))</f>
        <v>0</v>
      </c>
      <c r="AB130" s="263">
        <v>14</v>
      </c>
      <c r="AC130" s="264" cm="1">
        <f t="array" ref="AC130">INDEX('Contract Early Termination'!$B$14:$H$33,$AB130,MATCH($A128,_xlfn.ANCHORARRAY('Contract Early Termination'!$B$10),0))</f>
        <v>0</v>
      </c>
      <c r="AE130" s="263">
        <v>14</v>
      </c>
      <c r="AF130" s="264" cm="1">
        <f t="array" ref="AF130">INDEX('Contract Early Termination'!$B$41:$H$60,$AE130,MATCH($A128,_xlfn.ANCHORARRAY('Contract Early Termination'!$B$37),0))</f>
        <v>0</v>
      </c>
      <c r="AH130" s="263">
        <v>14</v>
      </c>
      <c r="AI130" s="264" cm="1">
        <f t="array" ref="AI130">INDEX('Contract Early Termination'!$B$68:$H$87,$AB130,MATCH($A128,_xlfn.ANCHORARRAY('Contract Early Termination'!$B$64),0))</f>
        <v>0</v>
      </c>
      <c r="AK130" s="263">
        <v>14</v>
      </c>
      <c r="AL130" s="293" t="str">
        <f>IF($B130="SPPA","N/A - SPPA",AL129*(1-'System Specification'!$D$10)*IF(AK130&lt;=$C130,1,0))</f>
        <v>N/A - SPPA</v>
      </c>
      <c r="AM130" s="293" t="str">
        <f>IF($B130="SPPA","N/A - SPPA",AM129*(1-INDEX('System Specification'!$Q$14:$Q$20,MATCH($A130,'System Specification'!$D$14:$D$20,0)))*IF(AK130&lt;=$C130,1,0))</f>
        <v>N/A - SPPA</v>
      </c>
      <c r="AN130" s="298" t="str" cm="1">
        <f t="array" ref="AN130">IF($B130="SPPA","N/A - SPPA",INDEX(PeGu!$B$78:$H$97,$AK130,MATCH($A128,PeGu!$B$76:$H$76,0)))</f>
        <v>N/A - SPPA</v>
      </c>
      <c r="AP130" s="262">
        <v>14</v>
      </c>
      <c r="AQ130" s="269" t="str">
        <f>IF($B130="SPPA","N/A - SPPA", INDEX('Microgrid Proposal'!$N$32:$N$38,MATCH($A130,'Microgrid Proposal'!$D$32:$D$38,0))*IF(AP130&lt;=$C130,1,0))</f>
        <v>N/A - SPPA</v>
      </c>
      <c r="AR130" s="264" t="str">
        <f t="shared" si="17"/>
        <v>N/A - SPPA</v>
      </c>
      <c r="AT130" s="262">
        <v>14</v>
      </c>
      <c r="AU130" s="269" t="str">
        <f>IF($B130="SPPA","N/A - SPPA", INDEX('Solar+Storage Proposal'!$N$32:$N$38,MATCH($A130,'Solar+Storage Proposal'!$D$32:$D$38,0))*IF(AT130&lt;=$C130,1,0))</f>
        <v>N/A - SPPA</v>
      </c>
      <c r="AV130" s="264" t="str">
        <f t="shared" si="18"/>
        <v>N/A - SPPA</v>
      </c>
      <c r="AX130" s="262">
        <v>14</v>
      </c>
      <c r="AY130" s="269" t="str">
        <f>IF($B130="SPPA","N/A - SPPA", INDEX('Solar-Only Proposal'!$M$32:$M$38,MATCH($A130,'Solar-Only Proposal'!$D$32:$D$38,0))*IF(AX130&lt;=$C130,1,0))</f>
        <v>N/A - SPPA</v>
      </c>
      <c r="AZ130" s="264" t="str">
        <f t="shared" si="19"/>
        <v>N/A - SPPA</v>
      </c>
    </row>
    <row r="131" spans="1:52" x14ac:dyDescent="0.35">
      <c r="A131" s="251" t="str">
        <f t="shared" si="15"/>
        <v>36-R1</v>
      </c>
      <c r="B131" s="251" t="str">
        <f t="shared" si="16"/>
        <v>SPPA</v>
      </c>
      <c r="C131" s="251">
        <f>INDEX('Site Data'!$S$7:$S$13,MATCH($A131,'Site Data'!$C$7:$C$13,0))</f>
        <v>20</v>
      </c>
      <c r="D131" s="251" t="s">
        <v>189</v>
      </c>
      <c r="F131" s="262" t="s">
        <v>284</v>
      </c>
      <c r="G131" s="271">
        <f>IF($B131="SEL","N/A - SEL",INDEX('Solar-Only Proposal'!$A$32:$W$38,MATCH($A131,'Solar-Only Proposal'!$D$32:$D$38,0),MATCH($D131,'Solar-Only Proposal'!$A$31:$W$31,0)))</f>
        <v>0</v>
      </c>
      <c r="H131" s="270" t="s">
        <v>285</v>
      </c>
      <c r="N131" s="262">
        <v>15</v>
      </c>
      <c r="O131" s="293">
        <f>IF($B131="SEL","N/A - SEL",O130*(1-'System Specification'!$D$10)*IF(N131&lt;=$C131,1,0))</f>
        <v>0</v>
      </c>
      <c r="P131" s="293" t="str" cm="1">
        <f t="array" ref="P131">INDEX(PeGu!$B$24:$H$43,$S131,MATCH($A129,_xlfn.ANCHORARRAY(PeGu!$B$20),0))</f>
        <v/>
      </c>
      <c r="Q131" s="294">
        <f>IF($B131="SEL","N/A - SEL",PeGu!$E$14*POWER(1+PeGu!$E$15,$S131-1))</f>
        <v>7.5629486242755561E-2</v>
      </c>
      <c r="S131" s="262">
        <v>15</v>
      </c>
      <c r="T131" s="293">
        <f>IF($B131="SEL","N/A - SEL",T130*(1-'System Specification'!$D$10)*IF(S131&lt;=$C131,1,0))</f>
        <v>0</v>
      </c>
      <c r="U131" s="293" t="str" cm="1">
        <f t="array" ref="U131">INDEX(PeGu!$B$52:$H$71,$S131,MATCH($A129,_xlfn.ANCHORARRAY(PeGu!$B$48),0))</f>
        <v/>
      </c>
      <c r="V131" s="294">
        <f>IF($B131="SEL","N/A - SEL",PeGu!$E$14*POWER(1+PeGu!$E$15,$S131-1))</f>
        <v>7.5629486242755561E-2</v>
      </c>
      <c r="X131" s="262">
        <v>15</v>
      </c>
      <c r="Y131" s="293" t="str" cm="1">
        <f t="array" ref="Y131">IF($B131="SEL","N/A - SEL",INDEX(PeGu!$B$78:$H$97,$X131,MATCH($A129,PeGu!$B$76:$H$76,0)))</f>
        <v/>
      </c>
      <c r="Z131" s="294">
        <f>IF($B131="SEL","N/A - SEL",PeGu!$K$12*POWER(1+PeGu!$K$13,$X131-1))</f>
        <v>0</v>
      </c>
      <c r="AB131" s="263">
        <v>15</v>
      </c>
      <c r="AC131" s="264" cm="1">
        <f t="array" ref="AC131">INDEX('Contract Early Termination'!$B$14:$H$33,$AB131,MATCH($A129,_xlfn.ANCHORARRAY('Contract Early Termination'!$B$10),0))</f>
        <v>0</v>
      </c>
      <c r="AE131" s="263">
        <v>15</v>
      </c>
      <c r="AF131" s="264" cm="1">
        <f t="array" ref="AF131">INDEX('Contract Early Termination'!$B$41:$H$60,$AE131,MATCH($A129,_xlfn.ANCHORARRAY('Contract Early Termination'!$B$37),0))</f>
        <v>0</v>
      </c>
      <c r="AH131" s="263">
        <v>15</v>
      </c>
      <c r="AI131" s="264" cm="1">
        <f t="array" ref="AI131">INDEX('Contract Early Termination'!$B$68:$H$87,$AB131,MATCH($A129,_xlfn.ANCHORARRAY('Contract Early Termination'!$B$64),0))</f>
        <v>0</v>
      </c>
      <c r="AK131" s="263">
        <v>15</v>
      </c>
      <c r="AL131" s="293" t="str">
        <f>IF($B131="SPPA","N/A - SPPA",AL130*(1-'System Specification'!$D$10)*IF(AK131&lt;=$C131,1,0))</f>
        <v>N/A - SPPA</v>
      </c>
      <c r="AM131" s="293" t="str">
        <f>IF($B131="SPPA","N/A - SPPA",AM130*(1-INDEX('System Specification'!$Q$14:$Q$20,MATCH($A131,'System Specification'!$D$14:$D$20,0)))*IF(AK131&lt;=$C131,1,0))</f>
        <v>N/A - SPPA</v>
      </c>
      <c r="AN131" s="298" t="str" cm="1">
        <f t="array" ref="AN131">IF($B131="SPPA","N/A - SPPA",INDEX(PeGu!$B$78:$H$97,$AK131,MATCH($A129,PeGu!$B$76:$H$76,0)))</f>
        <v>N/A - SPPA</v>
      </c>
      <c r="AP131" s="262">
        <v>15</v>
      </c>
      <c r="AQ131" s="269" t="str">
        <f>IF($B131="SPPA","N/A - SPPA", INDEX('Microgrid Proposal'!$N$32:$N$38,MATCH($A131,'Microgrid Proposal'!$D$32:$D$38,0))*IF(AP131&lt;=$C131,1,0))</f>
        <v>N/A - SPPA</v>
      </c>
      <c r="AR131" s="264" t="str">
        <f t="shared" si="17"/>
        <v>N/A - SPPA</v>
      </c>
      <c r="AT131" s="262">
        <v>15</v>
      </c>
      <c r="AU131" s="269" t="str">
        <f>IF($B131="SPPA","N/A - SPPA", INDEX('Solar+Storage Proposal'!$N$32:$N$38,MATCH($A131,'Solar+Storage Proposal'!$D$32:$D$38,0))*IF(AT131&lt;=$C131,1,0))</f>
        <v>N/A - SPPA</v>
      </c>
      <c r="AV131" s="264" t="str">
        <f t="shared" si="18"/>
        <v>N/A - SPPA</v>
      </c>
      <c r="AX131" s="262">
        <v>15</v>
      </c>
      <c r="AY131" s="269" t="str">
        <f>IF($B131="SPPA","N/A - SPPA", INDEX('Solar-Only Proposal'!$M$32:$M$38,MATCH($A131,'Solar-Only Proposal'!$D$32:$D$38,0))*IF(AX131&lt;=$C131,1,0))</f>
        <v>N/A - SPPA</v>
      </c>
      <c r="AZ131" s="264" t="str">
        <f t="shared" si="19"/>
        <v>N/A - SPPA</v>
      </c>
    </row>
    <row r="132" spans="1:52" ht="15" thickBot="1" x14ac:dyDescent="0.4">
      <c r="A132" s="251" t="str">
        <f t="shared" si="15"/>
        <v>36-R1</v>
      </c>
      <c r="B132" s="251" t="str">
        <f t="shared" si="16"/>
        <v>SPPA</v>
      </c>
      <c r="C132" s="251">
        <f>INDEX('Site Data'!$S$7:$S$13,MATCH($A132,'Site Data'!$C$7:$C$13,0))</f>
        <v>20</v>
      </c>
      <c r="D132" s="251" t="s">
        <v>190</v>
      </c>
      <c r="F132" s="258" t="s">
        <v>284</v>
      </c>
      <c r="G132" s="272">
        <f>IF($B132="SEL","N/A - SEL",INDEX('Solar-Only Proposal'!$A$32:$W$38,MATCH($A132,'Solar-Only Proposal'!$D$32:$D$38,0),MATCH($D132,'Solar-Only Proposal'!$A$31:$W$31,0)))</f>
        <v>0</v>
      </c>
      <c r="H132" s="260" t="s">
        <v>286</v>
      </c>
      <c r="N132" s="262">
        <v>16</v>
      </c>
      <c r="O132" s="293">
        <f>IF($B132="SEL","N/A - SEL",O131*(1-'System Specification'!$D$10)*IF(N132&lt;=$C132,1,0))</f>
        <v>0</v>
      </c>
      <c r="P132" s="293" t="str" cm="1">
        <f t="array" ref="P132">INDEX(PeGu!$B$24:$H$43,$S132,MATCH($A130,_xlfn.ANCHORARRAY(PeGu!$B$20),0))</f>
        <v/>
      </c>
      <c r="Q132" s="294">
        <f>IF($B132="SEL","N/A - SEL",PeGu!$E$14*POWER(1+PeGu!$E$15,$S132-1))</f>
        <v>7.7898370830038227E-2</v>
      </c>
      <c r="S132" s="262">
        <v>16</v>
      </c>
      <c r="T132" s="293">
        <f>IF($B132="SEL","N/A - SEL",T131*(1-'System Specification'!$D$10)*IF(S132&lt;=$C132,1,0))</f>
        <v>0</v>
      </c>
      <c r="U132" s="293" t="str" cm="1">
        <f t="array" ref="U132">INDEX(PeGu!$B$52:$H$71,$S132,MATCH($A130,_xlfn.ANCHORARRAY(PeGu!$B$48),0))</f>
        <v/>
      </c>
      <c r="V132" s="294">
        <f>IF($B132="SEL","N/A - SEL",PeGu!$E$14*POWER(1+PeGu!$E$15,$S132-1))</f>
        <v>7.7898370830038227E-2</v>
      </c>
      <c r="X132" s="262">
        <v>16</v>
      </c>
      <c r="Y132" s="293" t="str" cm="1">
        <f t="array" ref="Y132">IF($B132="SEL","N/A - SEL",INDEX(PeGu!$B$78:$H$97,$X132,MATCH($A130,PeGu!$B$76:$H$76,0)))</f>
        <v/>
      </c>
      <c r="Z132" s="294">
        <f>IF($B132="SEL","N/A - SEL",PeGu!$K$12*POWER(1+PeGu!$K$13,$X132-1))</f>
        <v>0</v>
      </c>
      <c r="AB132" s="263">
        <v>16</v>
      </c>
      <c r="AC132" s="264" cm="1">
        <f t="array" ref="AC132">INDEX('Contract Early Termination'!$B$14:$H$33,$AB132,MATCH($A130,_xlfn.ANCHORARRAY('Contract Early Termination'!$B$10),0))</f>
        <v>0</v>
      </c>
      <c r="AE132" s="263">
        <v>16</v>
      </c>
      <c r="AF132" s="264" cm="1">
        <f t="array" ref="AF132">INDEX('Contract Early Termination'!$B$41:$H$60,$AE132,MATCH($A130,_xlfn.ANCHORARRAY('Contract Early Termination'!$B$37),0))</f>
        <v>0</v>
      </c>
      <c r="AH132" s="263">
        <v>16</v>
      </c>
      <c r="AI132" s="264" cm="1">
        <f t="array" ref="AI132">INDEX('Contract Early Termination'!$B$68:$H$87,$AB132,MATCH($A130,_xlfn.ANCHORARRAY('Contract Early Termination'!$B$64),0))</f>
        <v>0</v>
      </c>
      <c r="AK132" s="263">
        <v>16</v>
      </c>
      <c r="AL132" s="293" t="str">
        <f>IF($B132="SPPA","N/A - SPPA",AL131*(1-'System Specification'!$D$10)*IF(AK132&lt;=$C132,1,0))</f>
        <v>N/A - SPPA</v>
      </c>
      <c r="AM132" s="293" t="str">
        <f>IF($B132="SPPA","N/A - SPPA",AM131*(1-INDEX('System Specification'!$Q$14:$Q$20,MATCH($A132,'System Specification'!$D$14:$D$20,0)))*IF(AK132&lt;=$C132,1,0))</f>
        <v>N/A - SPPA</v>
      </c>
      <c r="AN132" s="298" t="str" cm="1">
        <f t="array" ref="AN132">IF($B132="SPPA","N/A - SPPA",INDEX(PeGu!$B$78:$H$97,$AK132,MATCH($A130,PeGu!$B$76:$H$76,0)))</f>
        <v>N/A - SPPA</v>
      </c>
      <c r="AP132" s="262">
        <v>16</v>
      </c>
      <c r="AQ132" s="269" t="str">
        <f>IF($B132="SPPA","N/A - SPPA", INDEX('Microgrid Proposal'!$N$32:$N$38,MATCH($A132,'Microgrid Proposal'!$D$32:$D$38,0))*IF(AP132&lt;=$C132,1,0))</f>
        <v>N/A - SPPA</v>
      </c>
      <c r="AR132" s="264" t="str">
        <f t="shared" si="17"/>
        <v>N/A - SPPA</v>
      </c>
      <c r="AT132" s="262">
        <v>16</v>
      </c>
      <c r="AU132" s="269" t="str">
        <f>IF($B132="SPPA","N/A - SPPA", INDEX('Solar+Storage Proposal'!$N$32:$N$38,MATCH($A132,'Solar+Storage Proposal'!$D$32:$D$38,0))*IF(AT132&lt;=$C132,1,0))</f>
        <v>N/A - SPPA</v>
      </c>
      <c r="AV132" s="264" t="str">
        <f t="shared" si="18"/>
        <v>N/A - SPPA</v>
      </c>
      <c r="AX132" s="262">
        <v>16</v>
      </c>
      <c r="AY132" s="269" t="str">
        <f>IF($B132="SPPA","N/A - SPPA", INDEX('Solar-Only Proposal'!$M$32:$M$38,MATCH($A132,'Solar-Only Proposal'!$D$32:$D$38,0))*IF(AX132&lt;=$C132,1,0))</f>
        <v>N/A - SPPA</v>
      </c>
      <c r="AZ132" s="264" t="str">
        <f t="shared" si="19"/>
        <v>N/A - SPPA</v>
      </c>
    </row>
    <row r="133" spans="1:52" ht="15" thickBot="1" x14ac:dyDescent="0.4">
      <c r="A133" s="251" t="str">
        <f t="shared" si="15"/>
        <v>36-R1</v>
      </c>
      <c r="B133" s="251" t="str">
        <f t="shared" si="16"/>
        <v>SPPA</v>
      </c>
      <c r="C133" s="251">
        <f>INDEX('Site Data'!$S$7:$S$13,MATCH($A133,'Site Data'!$C$7:$C$13,0))</f>
        <v>20</v>
      </c>
      <c r="N133" s="262">
        <v>17</v>
      </c>
      <c r="O133" s="293">
        <f>IF($B133="SEL","N/A - SEL",O132*(1-'System Specification'!$D$10)*IF(N133&lt;=$C133,1,0))</f>
        <v>0</v>
      </c>
      <c r="P133" s="293" t="str" cm="1">
        <f t="array" ref="P133">INDEX(PeGu!$B$24:$H$43,$S133,MATCH($A131,_xlfn.ANCHORARRAY(PeGu!$B$20),0))</f>
        <v/>
      </c>
      <c r="Q133" s="294">
        <f>IF($B133="SEL","N/A - SEL",PeGu!$E$14*POWER(1+PeGu!$E$15,$S133-1))</f>
        <v>8.0235321954939362E-2</v>
      </c>
      <c r="S133" s="262">
        <v>17</v>
      </c>
      <c r="T133" s="293">
        <f>IF($B133="SEL","N/A - SEL",T132*(1-'System Specification'!$D$10)*IF(S133&lt;=$C133,1,0))</f>
        <v>0</v>
      </c>
      <c r="U133" s="293" t="str" cm="1">
        <f t="array" ref="U133">INDEX(PeGu!$B$52:$H$71,$S133,MATCH($A131,_xlfn.ANCHORARRAY(PeGu!$B$48),0))</f>
        <v/>
      </c>
      <c r="V133" s="294">
        <f>IF($B133="SEL","N/A - SEL",PeGu!$E$14*POWER(1+PeGu!$E$15,$S133-1))</f>
        <v>8.0235321954939362E-2</v>
      </c>
      <c r="X133" s="262">
        <v>17</v>
      </c>
      <c r="Y133" s="293" t="str" cm="1">
        <f t="array" ref="Y133">IF($B133="SEL","N/A - SEL",INDEX(PeGu!$B$78:$H$97,$X133,MATCH($A131,PeGu!$B$76:$H$76,0)))</f>
        <v/>
      </c>
      <c r="Z133" s="294">
        <f>IF($B133="SEL","N/A - SEL",PeGu!$K$12*POWER(1+PeGu!$K$13,$X133-1))</f>
        <v>0</v>
      </c>
      <c r="AB133" s="263">
        <v>17</v>
      </c>
      <c r="AC133" s="264" cm="1">
        <f t="array" ref="AC133">INDEX('Contract Early Termination'!$B$14:$H$33,$AB133,MATCH($A131,_xlfn.ANCHORARRAY('Contract Early Termination'!$B$10),0))</f>
        <v>0</v>
      </c>
      <c r="AE133" s="263">
        <v>17</v>
      </c>
      <c r="AF133" s="264" cm="1">
        <f t="array" ref="AF133">INDEX('Contract Early Termination'!$B$41:$H$60,$AE133,MATCH($A131,_xlfn.ANCHORARRAY('Contract Early Termination'!$B$37),0))</f>
        <v>0</v>
      </c>
      <c r="AH133" s="263">
        <v>17</v>
      </c>
      <c r="AI133" s="264" cm="1">
        <f t="array" ref="AI133">INDEX('Contract Early Termination'!$B$68:$H$87,$AB133,MATCH($A131,_xlfn.ANCHORARRAY('Contract Early Termination'!$B$64),0))</f>
        <v>0</v>
      </c>
      <c r="AK133" s="263">
        <v>17</v>
      </c>
      <c r="AL133" s="293" t="str">
        <f>IF($B133="SPPA","N/A - SPPA",AL132*(1-'System Specification'!$D$10)*IF(AK133&lt;=$C133,1,0))</f>
        <v>N/A - SPPA</v>
      </c>
      <c r="AM133" s="293" t="str">
        <f>IF($B133="SPPA","N/A - SPPA",AM132*(1-INDEX('System Specification'!$Q$14:$Q$20,MATCH($A133,'System Specification'!$D$14:$D$20,0)))*IF(AK133&lt;=$C133,1,0))</f>
        <v>N/A - SPPA</v>
      </c>
      <c r="AN133" s="298" t="str" cm="1">
        <f t="array" ref="AN133">IF($B133="SPPA","N/A - SPPA",INDEX(PeGu!$B$78:$H$97,$AK133,MATCH($A131,PeGu!$B$76:$H$76,0)))</f>
        <v>N/A - SPPA</v>
      </c>
      <c r="AP133" s="262">
        <v>17</v>
      </c>
      <c r="AQ133" s="269" t="str">
        <f>IF($B133="SPPA","N/A - SPPA", INDEX('Microgrid Proposal'!$N$32:$N$38,MATCH($A133,'Microgrid Proposal'!$D$32:$D$38,0))*IF(AP133&lt;=$C133,1,0))</f>
        <v>N/A - SPPA</v>
      </c>
      <c r="AR133" s="264" t="str">
        <f t="shared" si="17"/>
        <v>N/A - SPPA</v>
      </c>
      <c r="AT133" s="262">
        <v>17</v>
      </c>
      <c r="AU133" s="269" t="str">
        <f>IF($B133="SPPA","N/A - SPPA", INDEX('Solar+Storage Proposal'!$N$32:$N$38,MATCH($A133,'Solar+Storage Proposal'!$D$32:$D$38,0))*IF(AT133&lt;=$C133,1,0))</f>
        <v>N/A - SPPA</v>
      </c>
      <c r="AV133" s="264" t="str">
        <f t="shared" si="18"/>
        <v>N/A - SPPA</v>
      </c>
      <c r="AX133" s="262">
        <v>17</v>
      </c>
      <c r="AY133" s="269" t="str">
        <f>IF($B133="SPPA","N/A - SPPA", INDEX('Solar-Only Proposal'!$M$32:$M$38,MATCH($A133,'Solar-Only Proposal'!$D$32:$D$38,0))*IF(AX133&lt;=$C133,1,0))</f>
        <v>N/A - SPPA</v>
      </c>
      <c r="AZ133" s="264" t="str">
        <f t="shared" si="19"/>
        <v>N/A - SPPA</v>
      </c>
    </row>
    <row r="134" spans="1:52" ht="15" thickBot="1" x14ac:dyDescent="0.4">
      <c r="A134" s="251" t="str">
        <f t="shared" si="15"/>
        <v>36-R1</v>
      </c>
      <c r="B134" s="251" t="str">
        <f t="shared" si="16"/>
        <v>SPPA</v>
      </c>
      <c r="C134" s="251">
        <f>INDEX('Site Data'!$S$7:$S$13,MATCH($A134,'Site Data'!$C$7:$C$13,0))</f>
        <v>20</v>
      </c>
      <c r="F134" s="502" t="s">
        <v>236</v>
      </c>
      <c r="G134" s="503"/>
      <c r="H134" s="504"/>
      <c r="J134" s="502" t="s">
        <v>237</v>
      </c>
      <c r="K134" s="503"/>
      <c r="L134" s="504"/>
      <c r="N134" s="262">
        <v>18</v>
      </c>
      <c r="O134" s="293">
        <f>IF($B134="SEL","N/A - SEL",O133*(1-'System Specification'!$D$10)*IF(N134&lt;=$C134,1,0))</f>
        <v>0</v>
      </c>
      <c r="P134" s="293" t="str" cm="1">
        <f t="array" ref="P134">INDEX(PeGu!$B$24:$H$43,$S134,MATCH($A132,_xlfn.ANCHORARRAY(PeGu!$B$20),0))</f>
        <v/>
      </c>
      <c r="Q134" s="294">
        <f>IF($B134="SEL","N/A - SEL",PeGu!$E$14*POWER(1+PeGu!$E$15,$S134-1))</f>
        <v>8.2642381613587543E-2</v>
      </c>
      <c r="S134" s="262">
        <v>18</v>
      </c>
      <c r="T134" s="293">
        <f>IF($B134="SEL","N/A - SEL",T133*(1-'System Specification'!$D$10)*IF(S134&lt;=$C134,1,0))</f>
        <v>0</v>
      </c>
      <c r="U134" s="293" t="str" cm="1">
        <f t="array" ref="U134">INDEX(PeGu!$B$52:$H$71,$S134,MATCH($A132,_xlfn.ANCHORARRAY(PeGu!$B$48),0))</f>
        <v/>
      </c>
      <c r="V134" s="294">
        <f>IF($B134="SEL","N/A - SEL",PeGu!$E$14*POWER(1+PeGu!$E$15,$S134-1))</f>
        <v>8.2642381613587543E-2</v>
      </c>
      <c r="X134" s="262">
        <v>18</v>
      </c>
      <c r="Y134" s="293" t="str" cm="1">
        <f t="array" ref="Y134">IF($B134="SEL","N/A - SEL",INDEX(PeGu!$B$78:$H$97,$X134,MATCH($A132,PeGu!$B$76:$H$76,0)))</f>
        <v/>
      </c>
      <c r="Z134" s="294">
        <f>IF($B134="SEL","N/A - SEL",PeGu!$K$12*POWER(1+PeGu!$K$13,$X134-1))</f>
        <v>0</v>
      </c>
      <c r="AB134" s="263">
        <v>18</v>
      </c>
      <c r="AC134" s="264" cm="1">
        <f t="array" ref="AC134">INDEX('Contract Early Termination'!$B$14:$H$33,$AB134,MATCH($A132,_xlfn.ANCHORARRAY('Contract Early Termination'!$B$10),0))</f>
        <v>0</v>
      </c>
      <c r="AE134" s="263">
        <v>18</v>
      </c>
      <c r="AF134" s="264" cm="1">
        <f t="array" ref="AF134">INDEX('Contract Early Termination'!$B$41:$H$60,$AE134,MATCH($A132,_xlfn.ANCHORARRAY('Contract Early Termination'!$B$37),0))</f>
        <v>0</v>
      </c>
      <c r="AH134" s="263">
        <v>18</v>
      </c>
      <c r="AI134" s="264" cm="1">
        <f t="array" ref="AI134">INDEX('Contract Early Termination'!$B$68:$H$87,$AB134,MATCH($A132,_xlfn.ANCHORARRAY('Contract Early Termination'!$B$64),0))</f>
        <v>0</v>
      </c>
      <c r="AK134" s="263">
        <v>18</v>
      </c>
      <c r="AL134" s="293" t="str">
        <f>IF($B134="SPPA","N/A - SPPA",AL133*(1-'System Specification'!$D$10)*IF(AK134&lt;=$C134,1,0))</f>
        <v>N/A - SPPA</v>
      </c>
      <c r="AM134" s="293" t="str">
        <f>IF($B134="SPPA","N/A - SPPA",AM133*(1-INDEX('System Specification'!$Q$14:$Q$20,MATCH($A134,'System Specification'!$D$14:$D$20,0)))*IF(AK134&lt;=$C134,1,0))</f>
        <v>N/A - SPPA</v>
      </c>
      <c r="AN134" s="298" t="str" cm="1">
        <f t="array" ref="AN134">IF($B134="SPPA","N/A - SPPA",INDEX(PeGu!$B$78:$H$97,$AK134,MATCH($A132,PeGu!$B$76:$H$76,0)))</f>
        <v>N/A - SPPA</v>
      </c>
      <c r="AP134" s="262">
        <v>18</v>
      </c>
      <c r="AQ134" s="269" t="str">
        <f>IF($B134="SPPA","N/A - SPPA", INDEX('Microgrid Proposal'!$N$32:$N$38,MATCH($A134,'Microgrid Proposal'!$D$32:$D$38,0))*IF(AP134&lt;=$C134,1,0))</f>
        <v>N/A - SPPA</v>
      </c>
      <c r="AR134" s="264" t="str">
        <f t="shared" si="17"/>
        <v>N/A - SPPA</v>
      </c>
      <c r="AT134" s="262">
        <v>18</v>
      </c>
      <c r="AU134" s="269" t="str">
        <f>IF($B134="SPPA","N/A - SPPA", INDEX('Solar+Storage Proposal'!$N$32:$N$38,MATCH($A134,'Solar+Storage Proposal'!$D$32:$D$38,0))*IF(AT134&lt;=$C134,1,0))</f>
        <v>N/A - SPPA</v>
      </c>
      <c r="AV134" s="264" t="str">
        <f t="shared" si="18"/>
        <v>N/A - SPPA</v>
      </c>
      <c r="AX134" s="262">
        <v>18</v>
      </c>
      <c r="AY134" s="269" t="str">
        <f>IF($B134="SPPA","N/A - SPPA", INDEX('Solar-Only Proposal'!$M$32:$M$38,MATCH($A134,'Solar-Only Proposal'!$D$32:$D$38,0))*IF(AX134&lt;=$C134,1,0))</f>
        <v>N/A - SPPA</v>
      </c>
      <c r="AZ134" s="264" t="str">
        <f t="shared" si="19"/>
        <v>N/A - SPPA</v>
      </c>
    </row>
    <row r="135" spans="1:52" ht="15" thickBot="1" x14ac:dyDescent="0.4">
      <c r="A135" s="251" t="str">
        <f t="shared" si="15"/>
        <v>36-R1</v>
      </c>
      <c r="B135" s="251" t="str">
        <f t="shared" si="16"/>
        <v>SPPA</v>
      </c>
      <c r="C135" s="251">
        <f>INDEX('Site Data'!$S$7:$S$13,MATCH($A135,'Site Data'!$C$7:$C$13,0))</f>
        <v>20</v>
      </c>
      <c r="F135" s="502" t="s">
        <v>290</v>
      </c>
      <c r="G135" s="503"/>
      <c r="H135" s="504"/>
      <c r="J135" s="502" t="s">
        <v>291</v>
      </c>
      <c r="K135" s="503"/>
      <c r="L135" s="504"/>
      <c r="N135" s="262">
        <v>19</v>
      </c>
      <c r="O135" s="293">
        <f>IF($B135="SEL","N/A - SEL",O134*(1-'System Specification'!$D$10)*IF(N135&lt;=$C135,1,0))</f>
        <v>0</v>
      </c>
      <c r="P135" s="293" t="str" cm="1">
        <f t="array" ref="P135">INDEX(PeGu!$B$24:$H$43,$S135,MATCH($A133,_xlfn.ANCHORARRAY(PeGu!$B$20),0))</f>
        <v/>
      </c>
      <c r="Q135" s="294">
        <f>IF($B135="SEL","N/A - SEL",PeGu!$E$14*POWER(1+PeGu!$E$15,$S135-1))</f>
        <v>8.5121653061995164E-2</v>
      </c>
      <c r="S135" s="262">
        <v>19</v>
      </c>
      <c r="T135" s="293">
        <f>IF($B135="SEL","N/A - SEL",T134*(1-'System Specification'!$D$10)*IF(S135&lt;=$C135,1,0))</f>
        <v>0</v>
      </c>
      <c r="U135" s="293" t="str" cm="1">
        <f t="array" ref="U135">INDEX(PeGu!$B$52:$H$71,$S135,MATCH($A133,_xlfn.ANCHORARRAY(PeGu!$B$48),0))</f>
        <v/>
      </c>
      <c r="V135" s="294">
        <f>IF($B135="SEL","N/A - SEL",PeGu!$E$14*POWER(1+PeGu!$E$15,$S135-1))</f>
        <v>8.5121653061995164E-2</v>
      </c>
      <c r="X135" s="262">
        <v>19</v>
      </c>
      <c r="Y135" s="293" t="str" cm="1">
        <f t="array" ref="Y135">IF($B135="SEL","N/A - SEL",INDEX(PeGu!$B$78:$H$97,$X135,MATCH($A133,PeGu!$B$76:$H$76,0)))</f>
        <v/>
      </c>
      <c r="Z135" s="294">
        <f>IF($B135="SEL","N/A - SEL",PeGu!$K$12*POWER(1+PeGu!$K$13,$X135-1))</f>
        <v>0</v>
      </c>
      <c r="AB135" s="263">
        <v>19</v>
      </c>
      <c r="AC135" s="264" cm="1">
        <f t="array" ref="AC135">INDEX('Contract Early Termination'!$B$14:$H$33,$AB135,MATCH($A133,_xlfn.ANCHORARRAY('Contract Early Termination'!$B$10),0))</f>
        <v>0</v>
      </c>
      <c r="AE135" s="263">
        <v>19</v>
      </c>
      <c r="AF135" s="264" cm="1">
        <f t="array" ref="AF135">INDEX('Contract Early Termination'!$B$41:$H$60,$AE135,MATCH($A133,_xlfn.ANCHORARRAY('Contract Early Termination'!$B$37),0))</f>
        <v>0</v>
      </c>
      <c r="AH135" s="263">
        <v>19</v>
      </c>
      <c r="AI135" s="264" cm="1">
        <f t="array" ref="AI135">INDEX('Contract Early Termination'!$B$68:$H$87,$AB135,MATCH($A133,_xlfn.ANCHORARRAY('Contract Early Termination'!$B$64),0))</f>
        <v>0</v>
      </c>
      <c r="AJ135" s="278"/>
      <c r="AK135" s="263">
        <v>19</v>
      </c>
      <c r="AL135" s="293" t="str">
        <f>IF($B135="SPPA","N/A - SPPA",AL134*(1-'System Specification'!$D$10)*IF(AK135&lt;=$C135,1,0))</f>
        <v>N/A - SPPA</v>
      </c>
      <c r="AM135" s="293" t="str">
        <f>IF($B135="SPPA","N/A - SPPA",AM134*(1-INDEX('System Specification'!$Q$14:$Q$20,MATCH($A135,'System Specification'!$D$14:$D$20,0)))*IF(AK135&lt;=$C135,1,0))</f>
        <v>N/A - SPPA</v>
      </c>
      <c r="AN135" s="298" t="str" cm="1">
        <f t="array" ref="AN135">IF($B135="SPPA","N/A - SPPA",INDEX(PeGu!$B$78:$H$97,$AK135,MATCH($A133,PeGu!$B$76:$H$76,0)))</f>
        <v>N/A - SPPA</v>
      </c>
      <c r="AP135" s="265">
        <v>19</v>
      </c>
      <c r="AQ135" s="269" t="str">
        <f>IF($B135="SPPA","N/A - SPPA", INDEX('Microgrid Proposal'!$N$32:$N$38,MATCH($A135,'Microgrid Proposal'!$D$32:$D$38,0))*IF(AP135&lt;=$C135,1,0))</f>
        <v>N/A - SPPA</v>
      </c>
      <c r="AR135" s="264" t="str">
        <f t="shared" si="17"/>
        <v>N/A - SPPA</v>
      </c>
      <c r="AT135" s="265">
        <v>19</v>
      </c>
      <c r="AU135" s="269" t="str">
        <f>IF($B135="SPPA","N/A - SPPA", INDEX('Solar+Storage Proposal'!$N$32:$N$38,MATCH($A135,'Solar+Storage Proposal'!$D$32:$D$38,0))*IF(AT135&lt;=$C135,1,0))</f>
        <v>N/A - SPPA</v>
      </c>
      <c r="AV135" s="264" t="str">
        <f t="shared" si="18"/>
        <v>N/A - SPPA</v>
      </c>
      <c r="AX135" s="265">
        <v>19</v>
      </c>
      <c r="AY135" s="269" t="str">
        <f>IF($B135="SPPA","N/A - SPPA", INDEX('Solar-Only Proposal'!$M$32:$M$38,MATCH($A135,'Solar-Only Proposal'!$D$32:$D$38,0))*IF(AX135&lt;=$C135,1,0))</f>
        <v>N/A - SPPA</v>
      </c>
      <c r="AZ135" s="264" t="str">
        <f t="shared" si="19"/>
        <v>N/A - SPPA</v>
      </c>
    </row>
    <row r="136" spans="1:52" ht="15" thickBot="1" x14ac:dyDescent="0.4">
      <c r="A136" s="251" t="str">
        <f t="shared" si="15"/>
        <v>36-R1</v>
      </c>
      <c r="B136" s="251" t="str">
        <f t="shared" si="16"/>
        <v>SPPA</v>
      </c>
      <c r="C136" s="251">
        <f>INDEX('Site Data'!$S$7:$S$13,MATCH($A136,'Site Data'!$C$7:$C$13,0))</f>
        <v>20</v>
      </c>
      <c r="F136" s="280" t="s">
        <v>292</v>
      </c>
      <c r="G136" s="281">
        <f>G115</f>
        <v>20</v>
      </c>
      <c r="H136" s="282" t="s">
        <v>250</v>
      </c>
      <c r="J136" s="266" t="s">
        <v>292</v>
      </c>
      <c r="K136" s="285" t="str">
        <f>K115</f>
        <v>N/A - SPPA</v>
      </c>
      <c r="L136" s="268" t="s">
        <v>250</v>
      </c>
      <c r="N136" s="258">
        <v>20</v>
      </c>
      <c r="O136" s="259">
        <f>IF($B136="SEL","N/A - SEL",O135*(1-'System Specification'!$D$10)*IF(N136&lt;=$C136,1,0))</f>
        <v>0</v>
      </c>
      <c r="P136" s="259" t="str" cm="1">
        <f t="array" ref="P136">INDEX(PeGu!$B$24:$H$43,$S136,MATCH($A134,_xlfn.ANCHORARRAY(PeGu!$B$20),0))</f>
        <v/>
      </c>
      <c r="Q136" s="295">
        <f>IF($B136="SEL","N/A - SEL",PeGu!$E$14*POWER(1+PeGu!$E$15,$S136-1))</f>
        <v>8.7675302653855022E-2</v>
      </c>
      <c r="S136" s="258">
        <v>20</v>
      </c>
      <c r="T136" s="259">
        <f>IF($B136="SEL","N/A - SEL",T135*(1-'System Specification'!$D$10)*IF(S136&lt;=$C136,1,0))</f>
        <v>0</v>
      </c>
      <c r="U136" s="259" t="str" cm="1">
        <f t="array" ref="U136">INDEX(PeGu!$B$52:$H$71,$S136,MATCH($A134,_xlfn.ANCHORARRAY(PeGu!$B$48),0))</f>
        <v/>
      </c>
      <c r="V136" s="295">
        <f>IF($B136="SEL","N/A - SEL",PeGu!$E$14*POWER(1+PeGu!$E$15,$S136-1))</f>
        <v>8.7675302653855022E-2</v>
      </c>
      <c r="X136" s="258">
        <v>20</v>
      </c>
      <c r="Y136" s="259" t="str" cm="1">
        <f t="array" ref="Y136">IF($B136="SEL","N/A - SEL",INDEX(PeGu!$B$78:$H$97,$X136,MATCH($A134,PeGu!$B$76:$H$76,0)))</f>
        <v/>
      </c>
      <c r="Z136" s="295">
        <f>IF($B136="SEL","N/A - SEL",PeGu!$K$12*POWER(1+PeGu!$K$13,$X136-1))</f>
        <v>0</v>
      </c>
      <c r="AB136" s="273">
        <v>20</v>
      </c>
      <c r="AC136" s="274" cm="1">
        <f t="array" ref="AC136">INDEX('Contract Early Termination'!$B$14:$H$33,$AB136,MATCH($A134,_xlfn.ANCHORARRAY('Contract Early Termination'!$B$10),0))</f>
        <v>0</v>
      </c>
      <c r="AD136" s="275"/>
      <c r="AE136" s="273">
        <v>20</v>
      </c>
      <c r="AF136" s="274" cm="1">
        <f t="array" ref="AF136">INDEX('Contract Early Termination'!$B$41:$H$60,$AE136,MATCH($A134,_xlfn.ANCHORARRAY('Contract Early Termination'!$B$37),0))</f>
        <v>0</v>
      </c>
      <c r="AG136" s="277"/>
      <c r="AH136" s="273">
        <v>20</v>
      </c>
      <c r="AI136" s="274" cm="1">
        <f t="array" ref="AI136">INDEX('Contract Early Termination'!$B$68:$H$87,$AB136,MATCH($A134,_xlfn.ANCHORARRAY('Contract Early Termination'!$B$64),0))</f>
        <v>0</v>
      </c>
      <c r="AJ136" s="278"/>
      <c r="AK136" s="273">
        <v>20</v>
      </c>
      <c r="AL136" s="259" t="str">
        <f>IF($B136="SPPA","N/A - SPPA",AL135*(1-'System Specification'!$D$10)*IF(AK136&lt;=$C136,1,0))</f>
        <v>N/A - SPPA</v>
      </c>
      <c r="AM136" s="259" t="str">
        <f>IF($B136="SPPA","N/A - SPPA",AM135*(1-INDEX('System Specification'!$Q$14:$Q$20,MATCH($A136,'System Specification'!$D$14:$D$20,0)))*IF(AK136&lt;=$C136,1,0))</f>
        <v>N/A - SPPA</v>
      </c>
      <c r="AN136" s="299" t="str" cm="1">
        <f t="array" ref="AN136">IF($B136="SPPA","N/A - SPPA",INDEX(PeGu!$B$78:$H$97,$AK136,MATCH($A134,PeGu!$B$76:$H$76,0)))</f>
        <v>N/A - SPPA</v>
      </c>
      <c r="AP136" s="276">
        <v>20</v>
      </c>
      <c r="AQ136" s="300" t="str">
        <f>IF($B136="SPPA","N/A - SPPA", INDEX('Microgrid Proposal'!$N$32:$N$38,MATCH($A136,'Microgrid Proposal'!$D$32:$D$38,0))*IF(AP136&lt;=$C136,1,0))</f>
        <v>N/A - SPPA</v>
      </c>
      <c r="AR136" s="274" t="str">
        <f t="shared" si="17"/>
        <v>N/A - SPPA</v>
      </c>
      <c r="AT136" s="276">
        <v>20</v>
      </c>
      <c r="AU136" s="300" t="str">
        <f>IF($B136="SPPA","N/A - SPPA", INDEX('Solar+Storage Proposal'!$N$32:$N$38,MATCH($A136,'Solar+Storage Proposal'!$D$32:$D$38,0))*IF(AT136&lt;=$C136,1,0))</f>
        <v>N/A - SPPA</v>
      </c>
      <c r="AV136" s="274" t="str">
        <f t="shared" si="18"/>
        <v>N/A - SPPA</v>
      </c>
      <c r="AX136" s="276">
        <v>20</v>
      </c>
      <c r="AY136" s="300" t="str">
        <f>IF($B136="SPPA","N/A - SPPA", INDEX('Solar-Only Proposal'!$M$32:$M$38,MATCH($A136,'Solar-Only Proposal'!$D$32:$D$38,0))*IF(AX136&lt;=$C136,1,0))</f>
        <v>N/A - SPPA</v>
      </c>
      <c r="AZ136" s="274" t="str">
        <f t="shared" si="19"/>
        <v>N/A - SPPA</v>
      </c>
    </row>
    <row r="137" spans="1:52" ht="15" thickBot="1" x14ac:dyDescent="0.4">
      <c r="A137" s="251" t="str">
        <f t="shared" si="15"/>
        <v>36-R1</v>
      </c>
      <c r="B137" s="251" t="str">
        <f t="shared" si="16"/>
        <v>SPPA</v>
      </c>
      <c r="C137" s="251">
        <f>INDEX('Site Data'!$S$7:$S$13,MATCH($A137,'Site Data'!$C$7:$C$13,0))</f>
        <v>20</v>
      </c>
      <c r="F137" s="502" t="s">
        <v>293</v>
      </c>
      <c r="G137" s="503"/>
      <c r="H137" s="504"/>
      <c r="J137" s="258" t="s">
        <v>294</v>
      </c>
      <c r="K137" s="302" t="str">
        <f>IF($B137="SPPA","N/A - SPPA",PeGu!$E$16)</f>
        <v>N/A - SPPA</v>
      </c>
      <c r="L137" s="260" t="s">
        <v>295</v>
      </c>
      <c r="T137" s="275"/>
      <c r="U137" s="275"/>
      <c r="V137" s="283"/>
      <c r="Y137" s="275"/>
      <c r="Z137" s="275"/>
      <c r="AA137" s="283"/>
      <c r="AD137" s="275"/>
      <c r="AE137" s="283"/>
      <c r="AG137" s="277"/>
      <c r="AH137" s="279"/>
      <c r="AJ137" s="278"/>
      <c r="AK137" s="279"/>
      <c r="AM137" s="278"/>
      <c r="AN137" s="279"/>
      <c r="AP137" s="278"/>
      <c r="AQ137" s="278"/>
      <c r="AR137" s="278"/>
      <c r="AT137" s="278"/>
      <c r="AU137" s="278"/>
      <c r="AV137" s="278"/>
      <c r="AX137" s="278"/>
      <c r="AY137" s="278"/>
      <c r="AZ137" s="278"/>
    </row>
    <row r="138" spans="1:52" ht="15" thickBot="1" x14ac:dyDescent="0.4">
      <c r="A138" s="251" t="str">
        <f t="shared" si="15"/>
        <v>36-R1</v>
      </c>
      <c r="B138" s="251" t="str">
        <f t="shared" si="16"/>
        <v>SPPA</v>
      </c>
      <c r="C138" s="251">
        <f>INDEX('Site Data'!$S$7:$S$13,MATCH($A138,'Site Data'!$C$7:$C$13,0))</f>
        <v>20</v>
      </c>
      <c r="F138" s="280" t="s">
        <v>296</v>
      </c>
      <c r="G138" s="284">
        <f>IF($B138="SEL","N/A - SEL",PeGu!$E$12)</f>
        <v>0</v>
      </c>
      <c r="H138" s="282" t="s">
        <v>295</v>
      </c>
      <c r="T138" s="275"/>
      <c r="U138" s="275"/>
      <c r="V138" s="283"/>
      <c r="Y138" s="275"/>
      <c r="Z138" s="275"/>
      <c r="AA138" s="283"/>
      <c r="AD138" s="275"/>
      <c r="AE138" s="283"/>
      <c r="AG138" s="277"/>
      <c r="AH138" s="279"/>
      <c r="AJ138" s="278"/>
      <c r="AK138" s="279"/>
      <c r="AM138" s="278"/>
      <c r="AN138" s="279"/>
      <c r="AP138" s="278"/>
      <c r="AQ138" s="278"/>
      <c r="AR138" s="278"/>
      <c r="AT138" s="278"/>
      <c r="AU138" s="278"/>
      <c r="AV138" s="278"/>
      <c r="AX138" s="278"/>
      <c r="AY138" s="278"/>
      <c r="AZ138" s="278"/>
    </row>
    <row r="139" spans="1:52" ht="15" thickBot="1" x14ac:dyDescent="0.4"/>
    <row r="140" spans="1:52" x14ac:dyDescent="0.35">
      <c r="F140" s="255" t="s">
        <v>9</v>
      </c>
      <c r="G140" s="522">
        <f>G107+1</f>
        <v>5</v>
      </c>
      <c r="H140" s="523"/>
    </row>
    <row r="141" spans="1:52" x14ac:dyDescent="0.35">
      <c r="F141" s="256" t="s">
        <v>10</v>
      </c>
      <c r="G141" s="524" t="str">
        <f>INDEX(Site_Data_Table,MATCH(G140,'Site Data'!$A$6:$A$13,0),MATCH(F141,Site_Data_Column_Names,0))</f>
        <v>Kearny Mesa Court</v>
      </c>
      <c r="H141" s="525"/>
    </row>
    <row r="142" spans="1:52" x14ac:dyDescent="0.35">
      <c r="F142" s="256" t="s">
        <v>11</v>
      </c>
      <c r="G142" s="526" t="str">
        <f>INDEX(Site_Data_Table,MATCH(G140,'Site Data'!$A$6:$A$13,0),MATCH(F142,Site_Data_Column_Names,0))</f>
        <v>37-C1</v>
      </c>
      <c r="H142" s="527"/>
    </row>
    <row r="143" spans="1:52" ht="15.65" customHeight="1" thickBot="1" x14ac:dyDescent="0.4">
      <c r="F143" s="257" t="s">
        <v>26</v>
      </c>
      <c r="G143" s="531" t="str">
        <f>INDEX(Site_Data_Table,MATCH(G140,'Site Data'!$A$6:$A$13,0),MATCH(F143,Site_Data_Column_Names,0))</f>
        <v>SPPA</v>
      </c>
      <c r="H143" s="532"/>
    </row>
    <row r="145" spans="1:52" ht="15.65" customHeight="1" thickBot="1" x14ac:dyDescent="0.4">
      <c r="A145" s="301" t="s">
        <v>11</v>
      </c>
      <c r="B145" s="301" t="s">
        <v>26</v>
      </c>
      <c r="C145" s="301" t="s">
        <v>231</v>
      </c>
      <c r="D145" s="301" t="s">
        <v>232</v>
      </c>
      <c r="E145" s="301" t="s">
        <v>233</v>
      </c>
    </row>
    <row r="146" spans="1:52" ht="15" thickBot="1" x14ac:dyDescent="0.4">
      <c r="A146" s="251" t="str">
        <f>G142</f>
        <v>37-C1</v>
      </c>
      <c r="B146" s="251" t="str">
        <f>G143</f>
        <v>SPPA</v>
      </c>
      <c r="C146" s="251">
        <f>INDEX('Site Data'!$S$7:$S$13,MATCH($A146,'Site Data'!$C$7:$C$13,0))</f>
        <v>20</v>
      </c>
      <c r="F146" s="502" t="s">
        <v>234</v>
      </c>
      <c r="G146" s="503"/>
      <c r="H146" s="504"/>
      <c r="J146" s="502" t="s">
        <v>235</v>
      </c>
      <c r="K146" s="503"/>
      <c r="L146" s="504"/>
      <c r="N146" s="513" t="s">
        <v>236</v>
      </c>
      <c r="O146" s="514"/>
      <c r="P146" s="514"/>
      <c r="Q146" s="515"/>
      <c r="S146" s="528" t="s">
        <v>236</v>
      </c>
      <c r="T146" s="529"/>
      <c r="U146" s="529"/>
      <c r="V146" s="530"/>
      <c r="X146" s="516" t="s">
        <v>236</v>
      </c>
      <c r="Y146" s="517"/>
      <c r="Z146" s="518"/>
      <c r="AB146" s="513" t="str">
        <f>IF($B146="SPPA","Attachment E","Attachment N2")</f>
        <v>Attachment E</v>
      </c>
      <c r="AC146" s="515"/>
      <c r="AE146" s="513" t="str">
        <f>IF($B146="SPPA","Attachment E","Attachment N2")</f>
        <v>Attachment E</v>
      </c>
      <c r="AF146" s="515"/>
      <c r="AH146" s="513" t="str">
        <f>IF($B146="SPPA","Attachment E","Attachment N2")</f>
        <v>Attachment E</v>
      </c>
      <c r="AI146" s="515"/>
      <c r="AK146" s="519" t="s">
        <v>237</v>
      </c>
      <c r="AL146" s="520"/>
      <c r="AM146" s="520"/>
      <c r="AN146" s="521"/>
      <c r="AP146" s="541" t="s">
        <v>235</v>
      </c>
      <c r="AQ146" s="542"/>
      <c r="AR146" s="543"/>
      <c r="AT146" s="541" t="s">
        <v>235</v>
      </c>
      <c r="AU146" s="542"/>
      <c r="AV146" s="543"/>
      <c r="AX146" s="541" t="s">
        <v>235</v>
      </c>
      <c r="AY146" s="542"/>
      <c r="AZ146" s="543"/>
    </row>
    <row r="147" spans="1:52" ht="14.65" customHeight="1" thickBot="1" x14ac:dyDescent="0.4">
      <c r="A147" s="251" t="str">
        <f>A146</f>
        <v>37-C1</v>
      </c>
      <c r="B147" s="251" t="str">
        <f>B146</f>
        <v>SPPA</v>
      </c>
      <c r="C147" s="251">
        <f>INDEX('Site Data'!$S$7:$S$13,MATCH($A147,'Site Data'!$C$7:$C$13,0))</f>
        <v>20</v>
      </c>
      <c r="F147" s="505" t="s">
        <v>46</v>
      </c>
      <c r="G147" s="506"/>
      <c r="H147" s="507"/>
      <c r="J147" s="502" t="s">
        <v>238</v>
      </c>
      <c r="K147" s="503"/>
      <c r="L147" s="504"/>
      <c r="N147" s="508" t="s">
        <v>239</v>
      </c>
      <c r="O147" s="509"/>
      <c r="P147" s="509"/>
      <c r="Q147" s="510"/>
      <c r="S147" s="508" t="s">
        <v>240</v>
      </c>
      <c r="T147" s="509"/>
      <c r="U147" s="509"/>
      <c r="V147" s="510"/>
      <c r="W147" s="252"/>
      <c r="X147" s="508" t="s">
        <v>241</v>
      </c>
      <c r="Y147" s="509"/>
      <c r="Z147" s="510"/>
      <c r="AB147" s="511" t="s">
        <v>242</v>
      </c>
      <c r="AC147" s="512"/>
      <c r="AE147" s="511" t="s">
        <v>243</v>
      </c>
      <c r="AF147" s="512"/>
      <c r="AH147" s="511" t="s">
        <v>244</v>
      </c>
      <c r="AI147" s="512"/>
      <c r="AK147" s="538" t="s">
        <v>245</v>
      </c>
      <c r="AL147" s="539"/>
      <c r="AM147" s="539"/>
      <c r="AN147" s="540"/>
      <c r="AP147" s="544" t="s">
        <v>246</v>
      </c>
      <c r="AQ147" s="545"/>
      <c r="AR147" s="546"/>
      <c r="AT147" s="544" t="s">
        <v>247</v>
      </c>
      <c r="AU147" s="545"/>
      <c r="AV147" s="546"/>
      <c r="AX147" s="544" t="s">
        <v>248</v>
      </c>
      <c r="AY147" s="545"/>
      <c r="AZ147" s="546"/>
    </row>
    <row r="148" spans="1:52" ht="15" thickBot="1" x14ac:dyDescent="0.4">
      <c r="A148" s="251" t="str">
        <f t="shared" ref="A148:A171" si="20">A147</f>
        <v>37-C1</v>
      </c>
      <c r="B148" s="251" t="str">
        <f t="shared" ref="B148:B171" si="21">B147</f>
        <v>SPPA</v>
      </c>
      <c r="C148" s="251">
        <f>INDEX('Site Data'!$S$7:$S$13,MATCH($A148,'Site Data'!$C$7:$C$13,0))</f>
        <v>20</v>
      </c>
      <c r="D148" s="251" t="s">
        <v>27</v>
      </c>
      <c r="E148" s="251" t="s">
        <v>27</v>
      </c>
      <c r="F148" s="258" t="s">
        <v>249</v>
      </c>
      <c r="G148" s="259">
        <f>IF($B148="SEL","N/A - SEL",INDEX(Site_Data_Table,MATCH($A148,'Site Data'!$C$6:$C$13,0),MATCH($D148,Site_Data_Column_Names,0)))</f>
        <v>20</v>
      </c>
      <c r="H148" s="260" t="s">
        <v>250</v>
      </c>
      <c r="J148" s="266" t="s">
        <v>251</v>
      </c>
      <c r="K148" s="285" t="str">
        <f>IF($B148="SPPA","N/A - SPPA",INDEX(Site_Data_Table,MATCH($A148,'Site Data'!$C$6:$C$13,0),MATCH($E148,Site_Data_Column_Names,0)))</f>
        <v>N/A - SPPA</v>
      </c>
      <c r="L148" s="268" t="s">
        <v>250</v>
      </c>
      <c r="N148" s="535" t="s">
        <v>252</v>
      </c>
      <c r="O148" s="536"/>
      <c r="P148" s="536"/>
      <c r="Q148" s="537"/>
      <c r="S148" s="535" t="s">
        <v>252</v>
      </c>
      <c r="T148" s="536"/>
      <c r="U148" s="536"/>
      <c r="V148" s="537"/>
      <c r="X148" s="535" t="s">
        <v>253</v>
      </c>
      <c r="Y148" s="536"/>
      <c r="Z148" s="537"/>
      <c r="AB148" s="533" t="s">
        <v>254</v>
      </c>
      <c r="AC148" s="534"/>
      <c r="AE148" s="533" t="s">
        <v>254</v>
      </c>
      <c r="AF148" s="534"/>
      <c r="AH148" s="533" t="s">
        <v>254</v>
      </c>
      <c r="AI148" s="534"/>
      <c r="AK148" s="550" t="s">
        <v>255</v>
      </c>
      <c r="AL148" s="551"/>
      <c r="AM148" s="551"/>
      <c r="AN148" s="552"/>
      <c r="AP148" s="547" t="s">
        <v>256</v>
      </c>
      <c r="AQ148" s="548"/>
      <c r="AR148" s="549"/>
      <c r="AT148" s="547" t="s">
        <v>256</v>
      </c>
      <c r="AU148" s="548"/>
      <c r="AV148" s="549"/>
      <c r="AX148" s="547" t="s">
        <v>256</v>
      </c>
      <c r="AY148" s="548"/>
      <c r="AZ148" s="549"/>
    </row>
    <row r="149" spans="1:52" ht="29.5" thickBot="1" x14ac:dyDescent="0.4">
      <c r="A149" s="251" t="str">
        <f t="shared" si="20"/>
        <v>37-C1</v>
      </c>
      <c r="B149" s="251" t="str">
        <f t="shared" si="21"/>
        <v>SPPA</v>
      </c>
      <c r="C149" s="251">
        <f>INDEX('Site Data'!$S$7:$S$13,MATCH($A149,'Site Data'!$C$7:$C$13,0))</f>
        <v>20</v>
      </c>
      <c r="F149" s="505" t="s">
        <v>257</v>
      </c>
      <c r="G149" s="506"/>
      <c r="H149" s="507"/>
      <c r="J149" s="519" t="s">
        <v>258</v>
      </c>
      <c r="K149" s="520"/>
      <c r="L149" s="521"/>
      <c r="N149" s="332" t="s">
        <v>259</v>
      </c>
      <c r="O149" s="333" t="s">
        <v>260</v>
      </c>
      <c r="P149" s="333" t="s">
        <v>261</v>
      </c>
      <c r="Q149" s="334" t="s">
        <v>262</v>
      </c>
      <c r="S149" s="329" t="s">
        <v>259</v>
      </c>
      <c r="T149" s="330" t="s">
        <v>260</v>
      </c>
      <c r="U149" s="330" t="s">
        <v>261</v>
      </c>
      <c r="V149" s="331" t="s">
        <v>262</v>
      </c>
      <c r="X149" s="332" t="s">
        <v>134</v>
      </c>
      <c r="Y149" s="333" t="s">
        <v>263</v>
      </c>
      <c r="Z149" s="334" t="s">
        <v>264</v>
      </c>
      <c r="AB149" s="332" t="s">
        <v>265</v>
      </c>
      <c r="AC149" s="334" t="s">
        <v>266</v>
      </c>
      <c r="AE149" s="332" t="s">
        <v>265</v>
      </c>
      <c r="AF149" s="334" t="s">
        <v>266</v>
      </c>
      <c r="AH149" s="332" t="s">
        <v>265</v>
      </c>
      <c r="AI149" s="334" t="s">
        <v>266</v>
      </c>
      <c r="AK149" s="289" t="s">
        <v>267</v>
      </c>
      <c r="AL149" s="290" t="s">
        <v>268</v>
      </c>
      <c r="AM149" s="290" t="s">
        <v>269</v>
      </c>
      <c r="AN149" s="291" t="s">
        <v>270</v>
      </c>
      <c r="AP149" s="289" t="s">
        <v>134</v>
      </c>
      <c r="AQ149" s="290" t="s">
        <v>271</v>
      </c>
      <c r="AR149" s="291" t="s">
        <v>272</v>
      </c>
      <c r="AT149" s="289" t="s">
        <v>134</v>
      </c>
      <c r="AU149" s="290" t="s">
        <v>271</v>
      </c>
      <c r="AV149" s="291" t="s">
        <v>272</v>
      </c>
      <c r="AX149" s="289" t="s">
        <v>134</v>
      </c>
      <c r="AY149" s="290" t="s">
        <v>271</v>
      </c>
      <c r="AZ149" s="291" t="s">
        <v>272</v>
      </c>
    </row>
    <row r="150" spans="1:52" ht="15" thickBot="1" x14ac:dyDescent="0.4">
      <c r="A150" s="251" t="str">
        <f t="shared" si="20"/>
        <v>37-C1</v>
      </c>
      <c r="B150" s="251" t="str">
        <f t="shared" si="21"/>
        <v>SPPA</v>
      </c>
      <c r="C150" s="251">
        <f>INDEX('Site Data'!$S$7:$S$13,MATCH($A150,'Site Data'!$C$7:$C$13,0))</f>
        <v>20</v>
      </c>
      <c r="E150" s="251" t="s">
        <v>165</v>
      </c>
      <c r="F150" s="258" t="s">
        <v>273</v>
      </c>
      <c r="G150" s="259">
        <f>G148</f>
        <v>20</v>
      </c>
      <c r="H150" s="260" t="s">
        <v>250</v>
      </c>
      <c r="J150" s="261" t="s">
        <v>274</v>
      </c>
      <c r="K150" s="303" t="str">
        <f>IF($B150="SPPA","N/A - SPPA",INDEX('Microgrid Proposal'!$A$32:$X$38,MATCH($A150,'Microgrid Proposal'!$D$32:$D$38,0),MATCH($E150,'Microgrid Proposal'!$A$31:$X$31,0)))</f>
        <v>N/A - SPPA</v>
      </c>
      <c r="L150" s="304" t="s">
        <v>275</v>
      </c>
      <c r="N150" s="262">
        <v>1</v>
      </c>
      <c r="O150" s="293">
        <f>IF($B150="SEL","N/A - SEL",INDEX(Prod_Yr_1,MATCH($A150,'System Specification'!$D$14:$D$20,0)))</f>
        <v>0</v>
      </c>
      <c r="P150" s="293" t="str" cm="1">
        <f t="array" ref="P150">INDEX(PeGu!$B$24:$H$43,$S150,MATCH($A148,_xlfn.ANCHORARRAY(PeGu!$B$20),0))</f>
        <v/>
      </c>
      <c r="Q150" s="294">
        <f>IF($B150="SEL","N/A - SEL",PeGu!$E$14*POWER(1+PeGu!$E$15,$S150-1))</f>
        <v>0.05</v>
      </c>
      <c r="S150" s="261">
        <v>1</v>
      </c>
      <c r="T150" s="296">
        <f>IF($B148="SEL","N/A -SEL",INDEX(Prod_Yr_1_PV_Only,MATCH($A148,'System Specification'!$D$14:$D$20,0)))</f>
        <v>0</v>
      </c>
      <c r="U150" s="296" t="str" cm="1">
        <f t="array" ref="U150">INDEX(PeGu!$B$52:$H$71,$S150,MATCH($A148,_xlfn.ANCHORARRAY(PeGu!$B$48),0))</f>
        <v/>
      </c>
      <c r="V150" s="297">
        <f>IF($B150="SEL","N/A - SEL",PeGu!$E$14*POWER(1+PeGu!$E$15,$S150-1))</f>
        <v>0.05</v>
      </c>
      <c r="X150" s="262">
        <v>1</v>
      </c>
      <c r="Y150" s="293" t="str" cm="1">
        <f t="array" ref="Y150">IF($B150="SEL","N/A - SEL",INDEX(PeGu!$B$78:$H$97,$X150,MATCH($A148,PeGu!$B$76:$H$76,0)))</f>
        <v/>
      </c>
      <c r="Z150" s="294">
        <f>IF($B150="SEL","N/A - SEL",PeGu!$K$12*POWER(1+PeGu!$K$13,$X150-1))</f>
        <v>0</v>
      </c>
      <c r="AB150" s="263">
        <v>1</v>
      </c>
      <c r="AC150" s="264" cm="1">
        <f t="array" ref="AC150">INDEX('Contract Early Termination'!$B$14:$H$33,$AB150,MATCH($A148,_xlfn.ANCHORARRAY('Contract Early Termination'!$B$10),0))</f>
        <v>0</v>
      </c>
      <c r="AE150" s="263">
        <v>1</v>
      </c>
      <c r="AF150" s="264" cm="1">
        <f t="array" ref="AF150">INDEX('Contract Early Termination'!$B$41:$H$60,$AE150,MATCH($A148,_xlfn.ANCHORARRAY('Contract Early Termination'!$B$37),0))</f>
        <v>0</v>
      </c>
      <c r="AH150" s="263">
        <v>1</v>
      </c>
      <c r="AI150" s="264" cm="1">
        <f t="array" ref="AI150">INDEX('Contract Early Termination'!$B$68:$H$87,$AB150,MATCH($A148,_xlfn.ANCHORARRAY('Contract Early Termination'!$B$64),0))</f>
        <v>0</v>
      </c>
      <c r="AK150" s="263">
        <v>1</v>
      </c>
      <c r="AL150" s="293" t="str">
        <f>IF($B150="SPPA","N/A - SPPA", INDEX(Prod_Yr_1,MATCH($A148,'System Specification'!$D$14:$D$20,0)))</f>
        <v>N/A - SPPA</v>
      </c>
      <c r="AM150" s="293" t="str">
        <f>IF($B150="SPPA","N/A - SPPA", INDEX('System Specification'!$P$14:$P$20,MATCH($A148,'System Specification'!$D$14:$D$20,0)))</f>
        <v>N/A - SPPA</v>
      </c>
      <c r="AN150" s="298" t="str" cm="1">
        <f t="array" ref="AN150">IF($B150="SPPA","N/A - SPPA",INDEX(PeGu!$B$78:$H$97,$AK150,MATCH($A148,PeGu!$B$76:$H$76,0)))</f>
        <v>N/A - SPPA</v>
      </c>
      <c r="AP150" s="262">
        <v>1</v>
      </c>
      <c r="AQ150" s="269" t="str">
        <f>IF($B150="SPPA","N/A - SPPA", INDEX('Microgrid Proposal'!$N$32:$N$38,MATCH($A150,'Microgrid Proposal'!$D$32:$D$38,0))*IF(AP150&lt;=$C150,1,0))</f>
        <v>N/A - SPPA</v>
      </c>
      <c r="AR150" s="264" t="str">
        <f>IF($B150="SPPA","N/A - SPPA",AQ150*12)</f>
        <v>N/A - SPPA</v>
      </c>
      <c r="AT150" s="262">
        <v>1</v>
      </c>
      <c r="AU150" s="269" t="str">
        <f>IF($B150="SPPA","N/A - SPPA", INDEX('Solar+Storage Proposal'!$N$32:$N$38,MATCH($A150,'Solar+Storage Proposal'!$D$32:$D$38,0))*IF(AT150&lt;=$C150,1,0))</f>
        <v>N/A - SPPA</v>
      </c>
      <c r="AV150" s="264" t="str">
        <f>IF($B150="SPPA","N/A - SPPA",AU150*12)</f>
        <v>N/A - SPPA</v>
      </c>
      <c r="AX150" s="262">
        <v>1</v>
      </c>
      <c r="AY150" s="269" t="str">
        <f>IF($B150="SPPA","N/A - SPPA", INDEX('Solar-Only Proposal'!$M$32:$M$38,MATCH($A150,'Solar-Only Proposal'!$D$32:$D$38,0))*IF(AX150&lt;=$C150,1,0))</f>
        <v>N/A - SPPA</v>
      </c>
      <c r="AZ150" s="264" t="str">
        <f>IF($B150="SPPA","N/A - SPPA",AY150*12)</f>
        <v>N/A - SPPA</v>
      </c>
    </row>
    <row r="151" spans="1:52" ht="15" thickBot="1" x14ac:dyDescent="0.4">
      <c r="A151" s="251" t="str">
        <f t="shared" si="20"/>
        <v>37-C1</v>
      </c>
      <c r="B151" s="251" t="str">
        <f t="shared" si="21"/>
        <v>SPPA</v>
      </c>
      <c r="C151" s="251">
        <f>INDEX('Site Data'!$S$7:$S$13,MATCH($A151,'Site Data'!$C$7:$C$13,0))</f>
        <v>20</v>
      </c>
      <c r="E151" s="251" t="s">
        <v>192</v>
      </c>
      <c r="F151" s="502" t="s">
        <v>276</v>
      </c>
      <c r="G151" s="503"/>
      <c r="H151" s="504"/>
      <c r="J151" s="262" t="s">
        <v>277</v>
      </c>
      <c r="K151" s="269" t="str">
        <f>IF($B151="SPPA","N/A - SPPA",INDEX('Microgrid Proposal'!$A$32:$X$38,MATCH($A151,'Microgrid Proposal'!$D$32:$D$38,0),MATCH($E151,'Microgrid Proposal'!$A$31:$X$31,0)))</f>
        <v>N/A - SPPA</v>
      </c>
      <c r="L151" s="270" t="s">
        <v>278</v>
      </c>
      <c r="N151" s="262">
        <v>2</v>
      </c>
      <c r="O151" s="293">
        <f>IF($B151="SEL","N/A - SEL",O150*(1-'System Specification'!$D$10)*IF(N151&lt;=$C151,1,0))</f>
        <v>0</v>
      </c>
      <c r="P151" s="293" t="str" cm="1">
        <f t="array" ref="P151">INDEX(PeGu!$B$24:$H$43,$S151,MATCH($A149,_xlfn.ANCHORARRAY(PeGu!$B$20),0))</f>
        <v/>
      </c>
      <c r="Q151" s="294">
        <f>IF($B151="SEL","N/A - SEL",PeGu!$E$14*POWER(1+PeGu!$E$15,$S151-1))</f>
        <v>5.1500000000000004E-2</v>
      </c>
      <c r="S151" s="262">
        <v>2</v>
      </c>
      <c r="T151" s="293">
        <f>IF($B151="SEL","N/A - SEL",T150*(1-'System Specification'!$D$10)*IF(S151&lt;=$C151,1,0))</f>
        <v>0</v>
      </c>
      <c r="U151" s="293" t="str" cm="1">
        <f t="array" ref="U151">INDEX(PeGu!$B$52:$H$71,$S151,MATCH($A149,_xlfn.ANCHORARRAY(PeGu!$B$48),0))</f>
        <v/>
      </c>
      <c r="V151" s="294">
        <f>IF($B151="SEL","N/A - SEL",PeGu!$E$14*POWER(1+PeGu!$E$15,$S151-1))</f>
        <v>5.1500000000000004E-2</v>
      </c>
      <c r="X151" s="262">
        <v>2</v>
      </c>
      <c r="Y151" s="293" t="str" cm="1">
        <f t="array" ref="Y151">IF($B151="SEL","N/A - SEL",INDEX(PeGu!$B$78:$H$97,$X151,MATCH($A149,PeGu!$B$76:$H$76,0)))</f>
        <v/>
      </c>
      <c r="Z151" s="294">
        <f>IF($B151="SEL","N/A - SEL",PeGu!$K$12*POWER(1+PeGu!$K$13,$X151-1))</f>
        <v>0</v>
      </c>
      <c r="AB151" s="263">
        <v>2</v>
      </c>
      <c r="AC151" s="264" cm="1">
        <f t="array" ref="AC151">INDEX('Contract Early Termination'!$B$14:$H$33,$AB151,MATCH($A149,_xlfn.ANCHORARRAY('Contract Early Termination'!$B$10),0))</f>
        <v>0</v>
      </c>
      <c r="AE151" s="263">
        <v>2</v>
      </c>
      <c r="AF151" s="264" cm="1">
        <f t="array" ref="AF151">INDEX('Contract Early Termination'!$B$41:$H$60,$AE151,MATCH($A149,_xlfn.ANCHORARRAY('Contract Early Termination'!$B$37),0))</f>
        <v>0</v>
      </c>
      <c r="AH151" s="263">
        <v>2</v>
      </c>
      <c r="AI151" s="264" cm="1">
        <f t="array" ref="AI151">INDEX('Contract Early Termination'!$B$68:$H$87,$AB151,MATCH($A149,_xlfn.ANCHORARRAY('Contract Early Termination'!$B$64),0))</f>
        <v>0</v>
      </c>
      <c r="AK151" s="263">
        <v>2</v>
      </c>
      <c r="AL151" s="293" t="str">
        <f>IF($B151="SPPA","N/A - SPPA",AL150*(1-'System Specification'!$D$10)*IF(AK151&lt;=$C151,1,0))</f>
        <v>N/A - SPPA</v>
      </c>
      <c r="AM151" s="293" t="str">
        <f>IF($B151="SPPA","N/A - SPPA",AM150*(1-INDEX('System Specification'!$Q$14:$Q$20,MATCH($A151,'System Specification'!$D$14:$D$20,0)))*IF(AK151&lt;=$C151,1,0))</f>
        <v>N/A - SPPA</v>
      </c>
      <c r="AN151" s="298" t="str" cm="1">
        <f t="array" ref="AN151">IF($B151="SPPA","N/A - SPPA",INDEX(PeGu!$B$78:$H$97,$AK151,MATCH($A149,PeGu!$B$76:$H$76,0)))</f>
        <v>N/A - SPPA</v>
      </c>
      <c r="AP151" s="262">
        <v>2</v>
      </c>
      <c r="AQ151" s="269" t="str">
        <f>IF($B151="SPPA","N/A - SPPA", INDEX('Microgrid Proposal'!$N$32:$N$38,MATCH($A151,'Microgrid Proposal'!$D$32:$D$38,0))*IF(AP151&lt;=$C151,1,0))</f>
        <v>N/A - SPPA</v>
      </c>
      <c r="AR151" s="264" t="str">
        <f t="shared" ref="AR151:AR169" si="22">IF($B151="SPPA","N/A - SPPA",AQ151*12)</f>
        <v>N/A - SPPA</v>
      </c>
      <c r="AT151" s="262">
        <v>2</v>
      </c>
      <c r="AU151" s="269" t="str">
        <f>IF($B151="SPPA","N/A - SPPA", INDEX('Solar+Storage Proposal'!$N$32:$N$38,MATCH($A151,'Solar+Storage Proposal'!$D$32:$D$38,0))*IF(AT151&lt;=$C151,1,0))</f>
        <v>N/A - SPPA</v>
      </c>
      <c r="AV151" s="264" t="str">
        <f t="shared" ref="AV151:AV169" si="23">IF($B151="SPPA","N/A - SPPA",AU151*12)</f>
        <v>N/A - SPPA</v>
      </c>
      <c r="AX151" s="262">
        <v>2</v>
      </c>
      <c r="AY151" s="269" t="str">
        <f>IF($B151="SPPA","N/A - SPPA", INDEX('Solar-Only Proposal'!$M$32:$M$38,MATCH($A151,'Solar-Only Proposal'!$D$32:$D$38,0))*IF(AX151&lt;=$C151,1,0))</f>
        <v>N/A - SPPA</v>
      </c>
      <c r="AZ151" s="264" t="str">
        <f t="shared" ref="AZ151:AZ169" si="24">IF($B151="SPPA","N/A - SPPA",AY151*12)</f>
        <v>N/A - SPPA</v>
      </c>
    </row>
    <row r="152" spans="1:52" ht="15" thickBot="1" x14ac:dyDescent="0.4">
      <c r="A152" s="251" t="str">
        <f t="shared" si="20"/>
        <v>37-C1</v>
      </c>
      <c r="B152" s="251" t="str">
        <f t="shared" si="21"/>
        <v>SPPA</v>
      </c>
      <c r="C152" s="251">
        <f>INDEX('Site Data'!$S$7:$S$13,MATCH($A152,'Site Data'!$C$7:$C$13,0))</f>
        <v>20</v>
      </c>
      <c r="D152" s="251" t="s">
        <v>188</v>
      </c>
      <c r="E152" s="251" t="s">
        <v>193</v>
      </c>
      <c r="F152" s="266" t="s">
        <v>279</v>
      </c>
      <c r="G152" s="267">
        <f>IF($B152="SEL","N/A - SEL",INDEX('Microgrid Proposal'!$A$32:$X$38,MATCH($A152,'Microgrid Proposal'!$D$32:$D$38,0),MATCH($D152,'Microgrid Proposal'!$A$31:$X$31,0)))</f>
        <v>0</v>
      </c>
      <c r="H152" s="268" t="s">
        <v>280</v>
      </c>
      <c r="J152" s="258" t="s">
        <v>277</v>
      </c>
      <c r="K152" s="300" t="str">
        <f>IF($B152="SPPA","N/A - SPPA",INDEX('Microgrid Proposal'!$A$32:$X$38,MATCH($A152,'Microgrid Proposal'!$D$32:$D$38,0),MATCH($E152,'Microgrid Proposal'!$A$31:$X$31,0)))</f>
        <v>N/A - SPPA</v>
      </c>
      <c r="L152" s="260" t="s">
        <v>281</v>
      </c>
      <c r="N152" s="262">
        <v>3</v>
      </c>
      <c r="O152" s="293">
        <f>IF($B152="SEL","N/A - SEL",O151*(1-'System Specification'!$D$10)*IF(N152&lt;=$C152,1,0))</f>
        <v>0</v>
      </c>
      <c r="P152" s="293" t="str" cm="1">
        <f t="array" ref="P152">INDEX(PeGu!$B$24:$H$43,$S152,MATCH($A150,_xlfn.ANCHORARRAY(PeGu!$B$20),0))</f>
        <v/>
      </c>
      <c r="Q152" s="294">
        <f>IF($B152="SEL","N/A - SEL",PeGu!$E$14*POWER(1+PeGu!$E$15,$S152-1))</f>
        <v>5.3045000000000002E-2</v>
      </c>
      <c r="S152" s="262">
        <v>3</v>
      </c>
      <c r="T152" s="293">
        <f>IF($B152="SEL","N/A - SEL",T151*(1-'System Specification'!$D$10)*IF(S152&lt;=$C152,1,0))</f>
        <v>0</v>
      </c>
      <c r="U152" s="293" t="str" cm="1">
        <f t="array" ref="U152">INDEX(PeGu!$B$52:$H$71,$S152,MATCH($A150,_xlfn.ANCHORARRAY(PeGu!$B$48),0))</f>
        <v/>
      </c>
      <c r="V152" s="294">
        <f>IF($B152="SEL","N/A - SEL",PeGu!$E$14*POWER(1+PeGu!$E$15,$S152-1))</f>
        <v>5.3045000000000002E-2</v>
      </c>
      <c r="X152" s="262">
        <v>3</v>
      </c>
      <c r="Y152" s="293" t="str" cm="1">
        <f t="array" ref="Y152">IF($B152="SEL","N/A - SEL",INDEX(PeGu!$B$78:$H$97,$X152,MATCH($A150,PeGu!$B$76:$H$76,0)))</f>
        <v/>
      </c>
      <c r="Z152" s="294">
        <f>IF($B152="SEL","N/A - SEL",PeGu!$K$12*POWER(1+PeGu!$K$13,$X152-1))</f>
        <v>0</v>
      </c>
      <c r="AB152" s="263">
        <v>3</v>
      </c>
      <c r="AC152" s="264" cm="1">
        <f t="array" ref="AC152">INDEX('Contract Early Termination'!$B$14:$H$33,$AB152,MATCH($A150,_xlfn.ANCHORARRAY('Contract Early Termination'!$B$10),0))</f>
        <v>0</v>
      </c>
      <c r="AE152" s="263">
        <v>3</v>
      </c>
      <c r="AF152" s="264" cm="1">
        <f t="array" ref="AF152">INDEX('Contract Early Termination'!$B$41:$H$60,$AE152,MATCH($A150,_xlfn.ANCHORARRAY('Contract Early Termination'!$B$37),0))</f>
        <v>0</v>
      </c>
      <c r="AH152" s="263">
        <v>3</v>
      </c>
      <c r="AI152" s="264" cm="1">
        <f t="array" ref="AI152">INDEX('Contract Early Termination'!$B$68:$H$87,$AB152,MATCH($A150,_xlfn.ANCHORARRAY('Contract Early Termination'!$B$64),0))</f>
        <v>0</v>
      </c>
      <c r="AK152" s="263">
        <v>3</v>
      </c>
      <c r="AL152" s="293" t="str">
        <f>IF($B152="SPPA","N/A - SPPA",AL151*(1-'System Specification'!$D$10)*IF(AK152&lt;=$C152,1,0))</f>
        <v>N/A - SPPA</v>
      </c>
      <c r="AM152" s="293" t="str">
        <f>IF($B152="SPPA","N/A - SPPA",AM151*(1-INDEX('System Specification'!$Q$14:$Q$20,MATCH($A152,'System Specification'!$D$14:$D$20,0)))*IF(AK152&lt;=$C152,1,0))</f>
        <v>N/A - SPPA</v>
      </c>
      <c r="AN152" s="298" t="str" cm="1">
        <f t="array" ref="AN152">IF($B152="SPPA","N/A - SPPA",INDEX(PeGu!$B$78:$H$97,$AK152,MATCH($A150,PeGu!$B$76:$H$76,0)))</f>
        <v>N/A - SPPA</v>
      </c>
      <c r="AP152" s="262">
        <v>3</v>
      </c>
      <c r="AQ152" s="269" t="str">
        <f>IF($B152="SPPA","N/A - SPPA", INDEX('Microgrid Proposal'!$N$32:$N$38,MATCH($A152,'Microgrid Proposal'!$D$32:$D$38,0))*IF(AP152&lt;=$C152,1,0))</f>
        <v>N/A - SPPA</v>
      </c>
      <c r="AR152" s="264" t="str">
        <f t="shared" si="22"/>
        <v>N/A - SPPA</v>
      </c>
      <c r="AT152" s="262">
        <v>3</v>
      </c>
      <c r="AU152" s="269" t="str">
        <f>IF($B152="SPPA","N/A - SPPA", INDEX('Solar+Storage Proposal'!$N$32:$N$38,MATCH($A152,'Solar+Storage Proposal'!$D$32:$D$38,0))*IF(AT152&lt;=$C152,1,0))</f>
        <v>N/A - SPPA</v>
      </c>
      <c r="AV152" s="264" t="str">
        <f t="shared" si="23"/>
        <v>N/A - SPPA</v>
      </c>
      <c r="AX152" s="262">
        <v>3</v>
      </c>
      <c r="AY152" s="269" t="str">
        <f>IF($B152="SPPA","N/A - SPPA", INDEX('Solar-Only Proposal'!$M$32:$M$38,MATCH($A152,'Solar-Only Proposal'!$D$32:$D$38,0))*IF(AX152&lt;=$C152,1,0))</f>
        <v>N/A - SPPA</v>
      </c>
      <c r="AZ152" s="264" t="str">
        <f t="shared" si="24"/>
        <v>N/A - SPPA</v>
      </c>
    </row>
    <row r="153" spans="1:52" ht="15" thickBot="1" x14ac:dyDescent="0.4">
      <c r="A153" s="251" t="str">
        <f t="shared" si="20"/>
        <v>37-C1</v>
      </c>
      <c r="B153" s="251" t="str">
        <f t="shared" si="21"/>
        <v>SPPA</v>
      </c>
      <c r="C153" s="251">
        <f>INDEX('Site Data'!$S$7:$S$13,MATCH($A153,'Site Data'!$C$7:$C$13,0))</f>
        <v>20</v>
      </c>
      <c r="D153" s="251" t="s">
        <v>165</v>
      </c>
      <c r="F153" s="262" t="s">
        <v>282</v>
      </c>
      <c r="G153" s="269">
        <f>IF($B153="SEL","N/A - SEL",INDEX('Microgrid Proposal'!$A$32:$X$38,MATCH($A153,'Microgrid Proposal'!$D$32:$D$38,0),MATCH($D153,'Microgrid Proposal'!$A$31:$X$31,0)))</f>
        <v>0</v>
      </c>
      <c r="H153" s="270" t="s">
        <v>275</v>
      </c>
      <c r="J153" s="519" t="s">
        <v>283</v>
      </c>
      <c r="K153" s="520"/>
      <c r="L153" s="521"/>
      <c r="N153" s="262">
        <v>4</v>
      </c>
      <c r="O153" s="293">
        <f>IF($B153="SEL","N/A - SEL",O152*(1-'System Specification'!$D$10)*IF(N153&lt;=$C153,1,0))</f>
        <v>0</v>
      </c>
      <c r="P153" s="293" t="str" cm="1">
        <f t="array" ref="P153">INDEX(PeGu!$B$24:$H$43,$S153,MATCH($A151,_xlfn.ANCHORARRAY(PeGu!$B$20),0))</f>
        <v/>
      </c>
      <c r="Q153" s="294">
        <f>IF($B153="SEL","N/A - SEL",PeGu!$E$14*POWER(1+PeGu!$E$15,$S153-1))</f>
        <v>5.463635E-2</v>
      </c>
      <c r="S153" s="262">
        <v>4</v>
      </c>
      <c r="T153" s="293">
        <f>IF($B153="SEL","N/A - SEL",T152*(1-'System Specification'!$D$10)*IF(S153&lt;=$C153,1,0))</f>
        <v>0</v>
      </c>
      <c r="U153" s="293" t="str" cm="1">
        <f t="array" ref="U153">INDEX(PeGu!$B$52:$H$71,$S153,MATCH($A151,_xlfn.ANCHORARRAY(PeGu!$B$48),0))</f>
        <v/>
      </c>
      <c r="V153" s="294">
        <f>IF($B153="SEL","N/A - SEL",PeGu!$E$14*POWER(1+PeGu!$E$15,$S153-1))</f>
        <v>5.463635E-2</v>
      </c>
      <c r="X153" s="262">
        <v>4</v>
      </c>
      <c r="Y153" s="293" t="str" cm="1">
        <f t="array" ref="Y153">IF($B153="SEL","N/A - SEL",INDEX(PeGu!$B$78:$H$97,$X153,MATCH($A151,PeGu!$B$76:$H$76,0)))</f>
        <v/>
      </c>
      <c r="Z153" s="294">
        <f>IF($B153="SEL","N/A - SEL",PeGu!$K$12*POWER(1+PeGu!$K$13,$X153-1))</f>
        <v>0</v>
      </c>
      <c r="AB153" s="263">
        <v>4</v>
      </c>
      <c r="AC153" s="264" cm="1">
        <f t="array" ref="AC153">INDEX('Contract Early Termination'!$B$14:$H$33,$AB153,MATCH($A151,_xlfn.ANCHORARRAY('Contract Early Termination'!$B$10),0))</f>
        <v>0</v>
      </c>
      <c r="AE153" s="263">
        <v>4</v>
      </c>
      <c r="AF153" s="264" cm="1">
        <f t="array" ref="AF153">INDEX('Contract Early Termination'!$B$41:$H$60,$AE153,MATCH($A151,_xlfn.ANCHORARRAY('Contract Early Termination'!$B$37),0))</f>
        <v>0</v>
      </c>
      <c r="AH153" s="263">
        <v>4</v>
      </c>
      <c r="AI153" s="264" cm="1">
        <f t="array" ref="AI153">INDEX('Contract Early Termination'!$B$68:$H$87,$AB153,MATCH($A151,_xlfn.ANCHORARRAY('Contract Early Termination'!$B$64),0))</f>
        <v>0</v>
      </c>
      <c r="AK153" s="263">
        <v>4</v>
      </c>
      <c r="AL153" s="293" t="str">
        <f>IF($B153="SPPA","N/A - SPPA",AL152*(1-'System Specification'!$D$10)*IF(AK153&lt;=$C153,1,0))</f>
        <v>N/A - SPPA</v>
      </c>
      <c r="AM153" s="293" t="str">
        <f>IF($B153="SPPA","N/A - SPPA",AM152*(1-INDEX('System Specification'!$Q$14:$Q$20,MATCH($A153,'System Specification'!$D$14:$D$20,0)))*IF(AK153&lt;=$C153,1,0))</f>
        <v>N/A - SPPA</v>
      </c>
      <c r="AN153" s="298" t="str" cm="1">
        <f t="array" ref="AN153">IF($B153="SPPA","N/A - SPPA",INDEX(PeGu!$B$78:$H$97,$AK153,MATCH($A151,PeGu!$B$76:$H$76,0)))</f>
        <v>N/A - SPPA</v>
      </c>
      <c r="AP153" s="262">
        <v>4</v>
      </c>
      <c r="AQ153" s="269" t="str">
        <f>IF($B153="SPPA","N/A - SPPA", INDEX('Microgrid Proposal'!$N$32:$N$38,MATCH($A153,'Microgrid Proposal'!$D$32:$D$38,0))*IF(AP153&lt;=$C153,1,0))</f>
        <v>N/A - SPPA</v>
      </c>
      <c r="AR153" s="264" t="str">
        <f t="shared" si="22"/>
        <v>N/A - SPPA</v>
      </c>
      <c r="AT153" s="262">
        <v>4</v>
      </c>
      <c r="AU153" s="269" t="str">
        <f>IF($B153="SPPA","N/A - SPPA", INDEX('Solar+Storage Proposal'!$N$32:$N$38,MATCH($A153,'Solar+Storage Proposal'!$D$32:$D$38,0))*IF(AT153&lt;=$C153,1,0))</f>
        <v>N/A - SPPA</v>
      </c>
      <c r="AV153" s="264" t="str">
        <f t="shared" si="23"/>
        <v>N/A - SPPA</v>
      </c>
      <c r="AX153" s="262">
        <v>4</v>
      </c>
      <c r="AY153" s="269" t="str">
        <f>IF($B153="SPPA","N/A - SPPA", INDEX('Solar-Only Proposal'!$M$32:$M$38,MATCH($A153,'Solar-Only Proposal'!$D$32:$D$38,0))*IF(AX153&lt;=$C153,1,0))</f>
        <v>N/A - SPPA</v>
      </c>
      <c r="AZ153" s="264" t="str">
        <f t="shared" si="24"/>
        <v>N/A - SPPA</v>
      </c>
    </row>
    <row r="154" spans="1:52" x14ac:dyDescent="0.35">
      <c r="A154" s="251" t="str">
        <f t="shared" si="20"/>
        <v>37-C1</v>
      </c>
      <c r="B154" s="251" t="str">
        <f t="shared" si="21"/>
        <v>SPPA</v>
      </c>
      <c r="C154" s="251">
        <f>INDEX('Site Data'!$S$7:$S$13,MATCH($A154,'Site Data'!$C$7:$C$13,0))</f>
        <v>20</v>
      </c>
      <c r="D154" s="251" t="s">
        <v>189</v>
      </c>
      <c r="E154" s="251" t="s">
        <v>165</v>
      </c>
      <c r="F154" s="262" t="s">
        <v>284</v>
      </c>
      <c r="G154" s="271">
        <f>IF($B154="SEL","N/A - SEL",INDEX('Microgrid Proposal'!$A$32:$X$38,MATCH($A154,'Microgrid Proposal'!$D$32:$D$38,0),MATCH($D154,'Microgrid Proposal'!$A$31:$X$31,0)))</f>
        <v>0</v>
      </c>
      <c r="H154" s="270" t="s">
        <v>285</v>
      </c>
      <c r="J154" s="261" t="s">
        <v>274</v>
      </c>
      <c r="K154" s="303" t="str">
        <f>IF($B154="SPPA","N/A - SPPA",INDEX('Solar+Storage Proposal'!$A$32:$X$38,MATCH($A154,'Solar+Storage Proposal'!$D$32:$D$38,0),MATCH($E154,'Solar+Storage Proposal'!$A$31:$X$31,0)))</f>
        <v>N/A - SPPA</v>
      </c>
      <c r="L154" s="304" t="s">
        <v>275</v>
      </c>
      <c r="N154" s="262">
        <v>5</v>
      </c>
      <c r="O154" s="293">
        <f>IF($B154="SEL","N/A - SEL",O153*(1-'System Specification'!$D$10)*IF(N154&lt;=$C154,1,0))</f>
        <v>0</v>
      </c>
      <c r="P154" s="293" t="str" cm="1">
        <f t="array" ref="P154">INDEX(PeGu!$B$24:$H$43,$S154,MATCH($A152,_xlfn.ANCHORARRAY(PeGu!$B$20),0))</f>
        <v/>
      </c>
      <c r="Q154" s="294">
        <f>IF($B154="SEL","N/A - SEL",PeGu!$E$14*POWER(1+PeGu!$E$15,$S154-1))</f>
        <v>5.6275440499999996E-2</v>
      </c>
      <c r="S154" s="262">
        <v>5</v>
      </c>
      <c r="T154" s="293">
        <f>IF($B154="SEL","N/A - SEL",T153*(1-'System Specification'!$D$10)*IF(S154&lt;=$C154,1,0))</f>
        <v>0</v>
      </c>
      <c r="U154" s="293" t="str" cm="1">
        <f t="array" ref="U154">INDEX(PeGu!$B$52:$H$71,$S154,MATCH($A152,_xlfn.ANCHORARRAY(PeGu!$B$48),0))</f>
        <v/>
      </c>
      <c r="V154" s="294">
        <f>IF($B154="SEL","N/A - SEL",PeGu!$E$14*POWER(1+PeGu!$E$15,$S154-1))</f>
        <v>5.6275440499999996E-2</v>
      </c>
      <c r="X154" s="262">
        <v>5</v>
      </c>
      <c r="Y154" s="293" t="str" cm="1">
        <f t="array" ref="Y154">IF($B154="SEL","N/A - SEL",INDEX(PeGu!$B$78:$H$97,$X154,MATCH($A152,PeGu!$B$76:$H$76,0)))</f>
        <v/>
      </c>
      <c r="Z154" s="294">
        <f>IF($B154="SEL","N/A - SEL",PeGu!$K$12*POWER(1+PeGu!$K$13,$X154-1))</f>
        <v>0</v>
      </c>
      <c r="AB154" s="263">
        <v>5</v>
      </c>
      <c r="AC154" s="264" cm="1">
        <f t="array" ref="AC154">INDEX('Contract Early Termination'!$B$14:$H$33,$AB154,MATCH($A152,_xlfn.ANCHORARRAY('Contract Early Termination'!$B$10),0))</f>
        <v>0</v>
      </c>
      <c r="AE154" s="263">
        <v>5</v>
      </c>
      <c r="AF154" s="264" cm="1">
        <f t="array" ref="AF154">INDEX('Contract Early Termination'!$B$41:$H$60,$AE154,MATCH($A152,_xlfn.ANCHORARRAY('Contract Early Termination'!$B$37),0))</f>
        <v>0</v>
      </c>
      <c r="AH154" s="263">
        <v>5</v>
      </c>
      <c r="AI154" s="264" cm="1">
        <f t="array" ref="AI154">INDEX('Contract Early Termination'!$B$68:$H$87,$AB154,MATCH($A152,_xlfn.ANCHORARRAY('Contract Early Termination'!$B$64),0))</f>
        <v>0</v>
      </c>
      <c r="AK154" s="263">
        <v>5</v>
      </c>
      <c r="AL154" s="293" t="str">
        <f>IF($B154="SPPA","N/A - SPPA",AL153*(1-'System Specification'!$D$10)*IF(AK154&lt;=$C154,1,0))</f>
        <v>N/A - SPPA</v>
      </c>
      <c r="AM154" s="293" t="str">
        <f>IF($B154="SPPA","N/A - SPPA",AM153*(1-INDEX('System Specification'!$Q$14:$Q$20,MATCH($A154,'System Specification'!$D$14:$D$20,0)))*IF(AK154&lt;=$C154,1,0))</f>
        <v>N/A - SPPA</v>
      </c>
      <c r="AN154" s="298" t="str" cm="1">
        <f t="array" ref="AN154">IF($B154="SPPA","N/A - SPPA",INDEX(PeGu!$B$78:$H$97,$AK154,MATCH($A152,PeGu!$B$76:$H$76,0)))</f>
        <v>N/A - SPPA</v>
      </c>
      <c r="AP154" s="262">
        <v>5</v>
      </c>
      <c r="AQ154" s="269" t="str">
        <f>IF($B154="SPPA","N/A - SPPA", INDEX('Microgrid Proposal'!$N$32:$N$38,MATCH($A154,'Microgrid Proposal'!$D$32:$D$38,0))*IF(AP154&lt;=$C154,1,0))</f>
        <v>N/A - SPPA</v>
      </c>
      <c r="AR154" s="264" t="str">
        <f t="shared" si="22"/>
        <v>N/A - SPPA</v>
      </c>
      <c r="AT154" s="262">
        <v>5</v>
      </c>
      <c r="AU154" s="269" t="str">
        <f>IF($B154="SPPA","N/A - SPPA", INDEX('Solar+Storage Proposal'!$N$32:$N$38,MATCH($A154,'Solar+Storage Proposal'!$D$32:$D$38,0))*IF(AT154&lt;=$C154,1,0))</f>
        <v>N/A - SPPA</v>
      </c>
      <c r="AV154" s="264" t="str">
        <f t="shared" si="23"/>
        <v>N/A - SPPA</v>
      </c>
      <c r="AX154" s="262">
        <v>5</v>
      </c>
      <c r="AY154" s="269" t="str">
        <f>IF($B154="SPPA","N/A - SPPA", INDEX('Solar-Only Proposal'!$M$32:$M$38,MATCH($A154,'Solar-Only Proposal'!$D$32:$D$38,0))*IF(AX154&lt;=$C154,1,0))</f>
        <v>N/A - SPPA</v>
      </c>
      <c r="AZ154" s="264" t="str">
        <f t="shared" si="24"/>
        <v>N/A - SPPA</v>
      </c>
    </row>
    <row r="155" spans="1:52" ht="15" thickBot="1" x14ac:dyDescent="0.4">
      <c r="A155" s="251" t="str">
        <f t="shared" si="20"/>
        <v>37-C1</v>
      </c>
      <c r="B155" s="251" t="str">
        <f t="shared" si="21"/>
        <v>SPPA</v>
      </c>
      <c r="C155" s="251">
        <f>INDEX('Site Data'!$S$7:$S$13,MATCH($A155,'Site Data'!$C$7:$C$13,0))</f>
        <v>20</v>
      </c>
      <c r="D155" s="251" t="s">
        <v>190</v>
      </c>
      <c r="E155" s="251" t="s">
        <v>192</v>
      </c>
      <c r="F155" s="258" t="s">
        <v>284</v>
      </c>
      <c r="G155" s="272">
        <f>IF($B155="SEL","N/A - SEL",INDEX('Microgrid Proposal'!$A$32:$X$38,MATCH($A155,'Microgrid Proposal'!$D$32:$D$38,0),MATCH($D155,'Microgrid Proposal'!$A$31:$X$31,0)))</f>
        <v>0</v>
      </c>
      <c r="H155" s="260" t="s">
        <v>286</v>
      </c>
      <c r="J155" s="262" t="s">
        <v>277</v>
      </c>
      <c r="K155" s="269" t="str">
        <f>IF($B155="SPPA","N/A - SPPA",INDEX('Solar+Storage Proposal'!$A$32:$X$38,MATCH($A155,'Solar+Storage Proposal'!$D$32:$D$38,0),MATCH($E155,'Solar+Storage Proposal'!$A$31:$X$31,0)))</f>
        <v>N/A - SPPA</v>
      </c>
      <c r="L155" s="270" t="s">
        <v>278</v>
      </c>
      <c r="N155" s="262">
        <v>6</v>
      </c>
      <c r="O155" s="293">
        <f>IF($B155="SEL","N/A - SEL",O154*(1-'System Specification'!$D$10)*IF(N155&lt;=$C155,1,0))</f>
        <v>0</v>
      </c>
      <c r="P155" s="293" t="str" cm="1">
        <f t="array" ref="P155">INDEX(PeGu!$B$24:$H$43,$S155,MATCH($A153,_xlfn.ANCHORARRAY(PeGu!$B$20),0))</f>
        <v/>
      </c>
      <c r="Q155" s="294">
        <f>IF($B155="SEL","N/A - SEL",PeGu!$E$14*POWER(1+PeGu!$E$15,$S155-1))</f>
        <v>5.7963703714999995E-2</v>
      </c>
      <c r="S155" s="262">
        <v>6</v>
      </c>
      <c r="T155" s="293">
        <f>IF($B155="SEL","N/A - SEL",T154*(1-'System Specification'!$D$10)*IF(S155&lt;=$C155,1,0))</f>
        <v>0</v>
      </c>
      <c r="U155" s="293" t="str" cm="1">
        <f t="array" ref="U155">INDEX(PeGu!$B$52:$H$71,$S155,MATCH($A153,_xlfn.ANCHORARRAY(PeGu!$B$48),0))</f>
        <v/>
      </c>
      <c r="V155" s="294">
        <f>IF($B155="SEL","N/A - SEL",PeGu!$E$14*POWER(1+PeGu!$E$15,$S155-1))</f>
        <v>5.7963703714999995E-2</v>
      </c>
      <c r="X155" s="262">
        <v>6</v>
      </c>
      <c r="Y155" s="293" t="str" cm="1">
        <f t="array" ref="Y155">IF($B155="SEL","N/A - SEL",INDEX(PeGu!$B$78:$H$97,$X155,MATCH($A153,PeGu!$B$76:$H$76,0)))</f>
        <v/>
      </c>
      <c r="Z155" s="294">
        <f>IF($B155="SEL","N/A - SEL",PeGu!$K$12*POWER(1+PeGu!$K$13,$X155-1))</f>
        <v>0</v>
      </c>
      <c r="AB155" s="263">
        <v>6</v>
      </c>
      <c r="AC155" s="264" cm="1">
        <f t="array" ref="AC155">INDEX('Contract Early Termination'!$B$14:$H$33,$AB155,MATCH($A153,_xlfn.ANCHORARRAY('Contract Early Termination'!$B$10),0))</f>
        <v>0</v>
      </c>
      <c r="AE155" s="263">
        <v>6</v>
      </c>
      <c r="AF155" s="264" cm="1">
        <f t="array" ref="AF155">INDEX('Contract Early Termination'!$B$41:$H$60,$AE155,MATCH($A153,_xlfn.ANCHORARRAY('Contract Early Termination'!$B$37),0))</f>
        <v>0</v>
      </c>
      <c r="AH155" s="263">
        <v>6</v>
      </c>
      <c r="AI155" s="264" cm="1">
        <f t="array" ref="AI155">INDEX('Contract Early Termination'!$B$68:$H$87,$AB155,MATCH($A153,_xlfn.ANCHORARRAY('Contract Early Termination'!$B$64),0))</f>
        <v>0</v>
      </c>
      <c r="AK155" s="263">
        <v>6</v>
      </c>
      <c r="AL155" s="293" t="str">
        <f>IF($B155="SPPA","N/A - SPPA",AL154*(1-'System Specification'!$D$10)*IF(AK155&lt;=$C155,1,0))</f>
        <v>N/A - SPPA</v>
      </c>
      <c r="AM155" s="293" t="str">
        <f>IF($B155="SPPA","N/A - SPPA",AM154*(1-INDEX('System Specification'!$Q$14:$Q$20,MATCH($A155,'System Specification'!$D$14:$D$20,0)))*IF(AK155&lt;=$C155,1,0))</f>
        <v>N/A - SPPA</v>
      </c>
      <c r="AN155" s="298" t="str" cm="1">
        <f t="array" ref="AN155">IF($B155="SPPA","N/A - SPPA",INDEX(PeGu!$B$78:$H$97,$AK155,MATCH($A153,PeGu!$B$76:$H$76,0)))</f>
        <v>N/A - SPPA</v>
      </c>
      <c r="AP155" s="262">
        <v>6</v>
      </c>
      <c r="AQ155" s="269" t="str">
        <f>IF($B155="SPPA","N/A - SPPA", INDEX('Microgrid Proposal'!$N$32:$N$38,MATCH($A155,'Microgrid Proposal'!$D$32:$D$38,0))*IF(AP155&lt;=$C155,1,0))</f>
        <v>N/A - SPPA</v>
      </c>
      <c r="AR155" s="264" t="str">
        <f t="shared" si="22"/>
        <v>N/A - SPPA</v>
      </c>
      <c r="AT155" s="262">
        <v>6</v>
      </c>
      <c r="AU155" s="269" t="str">
        <f>IF($B155="SPPA","N/A - SPPA", INDEX('Solar+Storage Proposal'!$N$32:$N$38,MATCH($A155,'Solar+Storage Proposal'!$D$32:$D$38,0))*IF(AT155&lt;=$C155,1,0))</f>
        <v>N/A - SPPA</v>
      </c>
      <c r="AV155" s="264" t="str">
        <f t="shared" si="23"/>
        <v>N/A - SPPA</v>
      </c>
      <c r="AX155" s="262">
        <v>6</v>
      </c>
      <c r="AY155" s="269" t="str">
        <f>IF($B155="SPPA","N/A - SPPA", INDEX('Solar-Only Proposal'!$M$32:$M$38,MATCH($A155,'Solar-Only Proposal'!$D$32:$D$38,0))*IF(AX155&lt;=$C155,1,0))</f>
        <v>N/A - SPPA</v>
      </c>
      <c r="AZ155" s="264" t="str">
        <f t="shared" si="24"/>
        <v>N/A - SPPA</v>
      </c>
    </row>
    <row r="156" spans="1:52" ht="15" thickBot="1" x14ac:dyDescent="0.4">
      <c r="A156" s="251" t="str">
        <f t="shared" si="20"/>
        <v>37-C1</v>
      </c>
      <c r="B156" s="251" t="str">
        <f t="shared" si="21"/>
        <v>SPPA</v>
      </c>
      <c r="C156" s="251">
        <f>INDEX('Site Data'!$S$7:$S$13,MATCH($A156,'Site Data'!$C$7:$C$13,0))</f>
        <v>20</v>
      </c>
      <c r="E156" s="251" t="s">
        <v>193</v>
      </c>
      <c r="F156" s="538" t="s">
        <v>287</v>
      </c>
      <c r="G156" s="539"/>
      <c r="H156" s="540"/>
      <c r="J156" s="258" t="s">
        <v>277</v>
      </c>
      <c r="K156" s="300" t="str">
        <f>IF($B156="SPPA","N/A - SPPA",INDEX('Solar+Storage Proposal'!$A$32:$X$38,MATCH($A156,'Solar+Storage Proposal'!$D$32:$D$38,0),MATCH($E156,'Solar+Storage Proposal'!$A$31:$X$31,0)))</f>
        <v>N/A - SPPA</v>
      </c>
      <c r="L156" s="260" t="s">
        <v>281</v>
      </c>
      <c r="N156" s="262">
        <v>7</v>
      </c>
      <c r="O156" s="293">
        <f>IF($B156="SEL","N/A - SEL",O155*(1-'System Specification'!$D$10)*IF(N156&lt;=$C156,1,0))</f>
        <v>0</v>
      </c>
      <c r="P156" s="293" t="str" cm="1">
        <f t="array" ref="P156">INDEX(PeGu!$B$24:$H$43,$S156,MATCH($A154,_xlfn.ANCHORARRAY(PeGu!$B$20),0))</f>
        <v/>
      </c>
      <c r="Q156" s="294">
        <f>IF($B156="SEL","N/A - SEL",PeGu!$E$14*POWER(1+PeGu!$E$15,$S156-1))</f>
        <v>5.970261482645E-2</v>
      </c>
      <c r="S156" s="262">
        <v>7</v>
      </c>
      <c r="T156" s="293">
        <f>IF($B156="SEL","N/A - SEL",T155*(1-'System Specification'!$D$10)*IF(S156&lt;=$C156,1,0))</f>
        <v>0</v>
      </c>
      <c r="U156" s="293" t="str" cm="1">
        <f t="array" ref="U156">INDEX(PeGu!$B$52:$H$71,$S156,MATCH($A154,_xlfn.ANCHORARRAY(PeGu!$B$48),0))</f>
        <v/>
      </c>
      <c r="V156" s="294">
        <f>IF($B156="SEL","N/A - SEL",PeGu!$E$14*POWER(1+PeGu!$E$15,$S156-1))</f>
        <v>5.970261482645E-2</v>
      </c>
      <c r="X156" s="262">
        <v>7</v>
      </c>
      <c r="Y156" s="293" t="str" cm="1">
        <f t="array" ref="Y156">IF($B156="SEL","N/A - SEL",INDEX(PeGu!$B$78:$H$97,$X156,MATCH($A154,PeGu!$B$76:$H$76,0)))</f>
        <v/>
      </c>
      <c r="Z156" s="294">
        <f>IF($B156="SEL","N/A - SEL",PeGu!$K$12*POWER(1+PeGu!$K$13,$X156-1))</f>
        <v>0</v>
      </c>
      <c r="AB156" s="263">
        <v>7</v>
      </c>
      <c r="AC156" s="264" cm="1">
        <f t="array" ref="AC156">INDEX('Contract Early Termination'!$B$14:$H$33,$AB156,MATCH($A154,_xlfn.ANCHORARRAY('Contract Early Termination'!$B$10),0))</f>
        <v>0</v>
      </c>
      <c r="AE156" s="263">
        <v>7</v>
      </c>
      <c r="AF156" s="264" cm="1">
        <f t="array" ref="AF156">INDEX('Contract Early Termination'!$B$41:$H$60,$AE156,MATCH($A154,_xlfn.ANCHORARRAY('Contract Early Termination'!$B$37),0))</f>
        <v>0</v>
      </c>
      <c r="AH156" s="263">
        <v>7</v>
      </c>
      <c r="AI156" s="264" cm="1">
        <f t="array" ref="AI156">INDEX('Contract Early Termination'!$B$68:$H$87,$AB156,MATCH($A154,_xlfn.ANCHORARRAY('Contract Early Termination'!$B$64),0))</f>
        <v>0</v>
      </c>
      <c r="AK156" s="263">
        <v>7</v>
      </c>
      <c r="AL156" s="293" t="str">
        <f>IF($B156="SPPA","N/A - SPPA",AL155*(1-'System Specification'!$D$10)*IF(AK156&lt;=$C156,1,0))</f>
        <v>N/A - SPPA</v>
      </c>
      <c r="AM156" s="293" t="str">
        <f>IF($B156="SPPA","N/A - SPPA",AM155*(1-INDEX('System Specification'!$Q$14:$Q$20,MATCH($A156,'System Specification'!$D$14:$D$20,0)))*IF(AK156&lt;=$C156,1,0))</f>
        <v>N/A - SPPA</v>
      </c>
      <c r="AN156" s="298" t="str" cm="1">
        <f t="array" ref="AN156">IF($B156="SPPA","N/A - SPPA",INDEX(PeGu!$B$78:$H$97,$AK156,MATCH($A154,PeGu!$B$76:$H$76,0)))</f>
        <v>N/A - SPPA</v>
      </c>
      <c r="AP156" s="262">
        <v>7</v>
      </c>
      <c r="AQ156" s="269" t="str">
        <f>IF($B156="SPPA","N/A - SPPA", INDEX('Microgrid Proposal'!$N$32:$N$38,MATCH($A156,'Microgrid Proposal'!$D$32:$D$38,0))*IF(AP156&lt;=$C156,1,0))</f>
        <v>N/A - SPPA</v>
      </c>
      <c r="AR156" s="264" t="str">
        <f t="shared" si="22"/>
        <v>N/A - SPPA</v>
      </c>
      <c r="AT156" s="262">
        <v>7</v>
      </c>
      <c r="AU156" s="269" t="str">
        <f>IF($B156="SPPA","N/A - SPPA", INDEX('Solar+Storage Proposal'!$N$32:$N$38,MATCH($A156,'Solar+Storage Proposal'!$D$32:$D$38,0))*IF(AT156&lt;=$C156,1,0))</f>
        <v>N/A - SPPA</v>
      </c>
      <c r="AV156" s="264" t="str">
        <f t="shared" si="23"/>
        <v>N/A - SPPA</v>
      </c>
      <c r="AX156" s="262">
        <v>7</v>
      </c>
      <c r="AY156" s="269" t="str">
        <f>IF($B156="SPPA","N/A - SPPA", INDEX('Solar-Only Proposal'!$M$32:$M$38,MATCH($A156,'Solar-Only Proposal'!$D$32:$D$38,0))*IF(AX156&lt;=$C156,1,0))</f>
        <v>N/A - SPPA</v>
      </c>
      <c r="AZ156" s="264" t="str">
        <f t="shared" si="24"/>
        <v>N/A - SPPA</v>
      </c>
    </row>
    <row r="157" spans="1:52" ht="15" thickBot="1" x14ac:dyDescent="0.4">
      <c r="A157" s="251" t="str">
        <f t="shared" si="20"/>
        <v>37-C1</v>
      </c>
      <c r="B157" s="251" t="str">
        <f t="shared" si="21"/>
        <v>SPPA</v>
      </c>
      <c r="C157" s="251">
        <f>INDEX('Site Data'!$S$7:$S$13,MATCH($A157,'Site Data'!$C$7:$C$13,0))</f>
        <v>20</v>
      </c>
      <c r="D157" s="251" t="s">
        <v>188</v>
      </c>
      <c r="F157" s="266" t="s">
        <v>279</v>
      </c>
      <c r="G157" s="267">
        <f>IF($B157="SEL","N/A - SEL",INDEX('Solar+Storage Proposal'!$A$32:$X$38,MATCH($A157,'Solar+Storage Proposal'!$D$32:$D$38,0),MATCH($D157,'Solar+Storage Proposal'!$A$31:$X$31,0)))</f>
        <v>0</v>
      </c>
      <c r="H157" s="268" t="s">
        <v>280</v>
      </c>
      <c r="J157" s="519" t="s">
        <v>288</v>
      </c>
      <c r="K157" s="520"/>
      <c r="L157" s="521"/>
      <c r="N157" s="262">
        <v>8</v>
      </c>
      <c r="O157" s="293">
        <f>IF($B157="SEL","N/A - SEL",O156*(1-'System Specification'!$D$10)*IF(N157&lt;=$C157,1,0))</f>
        <v>0</v>
      </c>
      <c r="P157" s="293" t="str" cm="1">
        <f t="array" ref="P157">INDEX(PeGu!$B$24:$H$43,$S157,MATCH($A155,_xlfn.ANCHORARRAY(PeGu!$B$20),0))</f>
        <v/>
      </c>
      <c r="Q157" s="294">
        <f>IF($B157="SEL","N/A - SEL",PeGu!$E$14*POWER(1+PeGu!$E$15,$S157-1))</f>
        <v>6.1493693271243502E-2</v>
      </c>
      <c r="S157" s="262">
        <v>8</v>
      </c>
      <c r="T157" s="293">
        <f>IF($B157="SEL","N/A - SEL",T156*(1-'System Specification'!$D$10)*IF(S157&lt;=$C157,1,0))</f>
        <v>0</v>
      </c>
      <c r="U157" s="293" t="str" cm="1">
        <f t="array" ref="U157">INDEX(PeGu!$B$52:$H$71,$S157,MATCH($A155,_xlfn.ANCHORARRAY(PeGu!$B$48),0))</f>
        <v/>
      </c>
      <c r="V157" s="294">
        <f>IF($B157="SEL","N/A - SEL",PeGu!$E$14*POWER(1+PeGu!$E$15,$S157-1))</f>
        <v>6.1493693271243502E-2</v>
      </c>
      <c r="X157" s="262">
        <v>8</v>
      </c>
      <c r="Y157" s="293" t="str" cm="1">
        <f t="array" ref="Y157">IF($B157="SEL","N/A - SEL",INDEX(PeGu!$B$78:$H$97,$X157,MATCH($A155,PeGu!$B$76:$H$76,0)))</f>
        <v/>
      </c>
      <c r="Z157" s="294">
        <f>IF($B157="SEL","N/A - SEL",PeGu!$K$12*POWER(1+PeGu!$K$13,$X157-1))</f>
        <v>0</v>
      </c>
      <c r="AB157" s="263">
        <v>8</v>
      </c>
      <c r="AC157" s="264" cm="1">
        <f t="array" ref="AC157">INDEX('Contract Early Termination'!$B$14:$H$33,$AB157,MATCH($A155,_xlfn.ANCHORARRAY('Contract Early Termination'!$B$10),0))</f>
        <v>0</v>
      </c>
      <c r="AE157" s="263">
        <v>8</v>
      </c>
      <c r="AF157" s="264" cm="1">
        <f t="array" ref="AF157">INDEX('Contract Early Termination'!$B$41:$H$60,$AE157,MATCH($A155,_xlfn.ANCHORARRAY('Contract Early Termination'!$B$37),0))</f>
        <v>0</v>
      </c>
      <c r="AH157" s="263">
        <v>8</v>
      </c>
      <c r="AI157" s="264" cm="1">
        <f t="array" ref="AI157">INDEX('Contract Early Termination'!$B$68:$H$87,$AB157,MATCH($A155,_xlfn.ANCHORARRAY('Contract Early Termination'!$B$64),0))</f>
        <v>0</v>
      </c>
      <c r="AK157" s="263">
        <v>8</v>
      </c>
      <c r="AL157" s="293" t="str">
        <f>IF($B157="SPPA","N/A - SPPA",AL156*(1-'System Specification'!$D$10)*IF(AK157&lt;=$C157,1,0))</f>
        <v>N/A - SPPA</v>
      </c>
      <c r="AM157" s="293" t="str">
        <f>IF($B157="SPPA","N/A - SPPA",AM156*(1-INDEX('System Specification'!$Q$14:$Q$20,MATCH($A157,'System Specification'!$D$14:$D$20,0)))*IF(AK157&lt;=$C157,1,0))</f>
        <v>N/A - SPPA</v>
      </c>
      <c r="AN157" s="298" t="str" cm="1">
        <f t="array" ref="AN157">IF($B157="SPPA","N/A - SPPA",INDEX(PeGu!$B$78:$H$97,$AK157,MATCH($A155,PeGu!$B$76:$H$76,0)))</f>
        <v>N/A - SPPA</v>
      </c>
      <c r="AP157" s="262">
        <v>8</v>
      </c>
      <c r="AQ157" s="269" t="str">
        <f>IF($B157="SPPA","N/A - SPPA", INDEX('Microgrid Proposal'!$N$32:$N$38,MATCH($A157,'Microgrid Proposal'!$D$32:$D$38,0))*IF(AP157&lt;=$C157,1,0))</f>
        <v>N/A - SPPA</v>
      </c>
      <c r="AR157" s="264" t="str">
        <f t="shared" si="22"/>
        <v>N/A - SPPA</v>
      </c>
      <c r="AT157" s="262">
        <v>8</v>
      </c>
      <c r="AU157" s="269" t="str">
        <f>IF($B157="SPPA","N/A - SPPA", INDEX('Solar+Storage Proposal'!$N$32:$N$38,MATCH($A157,'Solar+Storage Proposal'!$D$32:$D$38,0))*IF(AT157&lt;=$C157,1,0))</f>
        <v>N/A - SPPA</v>
      </c>
      <c r="AV157" s="264" t="str">
        <f t="shared" si="23"/>
        <v>N/A - SPPA</v>
      </c>
      <c r="AX157" s="262">
        <v>8</v>
      </c>
      <c r="AY157" s="269" t="str">
        <f>IF($B157="SPPA","N/A - SPPA", INDEX('Solar-Only Proposal'!$M$32:$M$38,MATCH($A157,'Solar-Only Proposal'!$D$32:$D$38,0))*IF(AX157&lt;=$C157,1,0))</f>
        <v>N/A - SPPA</v>
      </c>
      <c r="AZ157" s="264" t="str">
        <f t="shared" si="24"/>
        <v>N/A - SPPA</v>
      </c>
    </row>
    <row r="158" spans="1:52" x14ac:dyDescent="0.35">
      <c r="A158" s="251" t="str">
        <f t="shared" si="20"/>
        <v>37-C1</v>
      </c>
      <c r="B158" s="251" t="str">
        <f t="shared" si="21"/>
        <v>SPPA</v>
      </c>
      <c r="C158" s="251">
        <f>INDEX('Site Data'!$S$7:$S$13,MATCH($A158,'Site Data'!$C$7:$C$13,0))</f>
        <v>20</v>
      </c>
      <c r="D158" s="251" t="s">
        <v>165</v>
      </c>
      <c r="E158" s="251" t="s">
        <v>165</v>
      </c>
      <c r="F158" s="262" t="s">
        <v>282</v>
      </c>
      <c r="G158" s="269">
        <f>IF($B158="SEL","N/A - SEL",INDEX('Solar+Storage Proposal'!$A$32:$X$38,MATCH($A158,'Solar+Storage Proposal'!$D$32:$D$38,0),MATCH($D158,'Solar+Storage Proposal'!$A$31:$X$31,0)))</f>
        <v>0</v>
      </c>
      <c r="H158" s="270" t="s">
        <v>275</v>
      </c>
      <c r="J158" s="261" t="s">
        <v>274</v>
      </c>
      <c r="K158" s="303" t="str">
        <f>IF($B158="SPPA","N/A - SPPA",INDEX('Solar-Only Proposal'!$A$32:$W$38,MATCH($A158,'Solar-Only Proposal'!$D$32:$D$38,0),MATCH($E158,'Solar-Only Proposal'!$A$31:$W$31,0)))</f>
        <v>N/A - SPPA</v>
      </c>
      <c r="L158" s="304" t="s">
        <v>275</v>
      </c>
      <c r="N158" s="262">
        <v>9</v>
      </c>
      <c r="O158" s="293">
        <f>IF($B158="SEL","N/A - SEL",O157*(1-'System Specification'!$D$10)*IF(N158&lt;=$C158,1,0))</f>
        <v>0</v>
      </c>
      <c r="P158" s="293" t="str" cm="1">
        <f t="array" ref="P158">INDEX(PeGu!$B$24:$H$43,$S158,MATCH($A156,_xlfn.ANCHORARRAY(PeGu!$B$20),0))</f>
        <v/>
      </c>
      <c r="Q158" s="294">
        <f>IF($B158="SEL","N/A - SEL",PeGu!$E$14*POWER(1+PeGu!$E$15,$S158-1))</f>
        <v>6.3338504069380797E-2</v>
      </c>
      <c r="S158" s="262">
        <v>9</v>
      </c>
      <c r="T158" s="293">
        <f>IF($B158="SEL","N/A - SEL",T157*(1-'System Specification'!$D$10)*IF(S158&lt;=$C158,1,0))</f>
        <v>0</v>
      </c>
      <c r="U158" s="293" t="str" cm="1">
        <f t="array" ref="U158">INDEX(PeGu!$B$52:$H$71,$S158,MATCH($A156,_xlfn.ANCHORARRAY(PeGu!$B$48),0))</f>
        <v/>
      </c>
      <c r="V158" s="294">
        <f>IF($B158="SEL","N/A - SEL",PeGu!$E$14*POWER(1+PeGu!$E$15,$S158-1))</f>
        <v>6.3338504069380797E-2</v>
      </c>
      <c r="X158" s="262">
        <v>9</v>
      </c>
      <c r="Y158" s="293" t="str" cm="1">
        <f t="array" ref="Y158">IF($B158="SEL","N/A - SEL",INDEX(PeGu!$B$78:$H$97,$X158,MATCH($A156,PeGu!$B$76:$H$76,0)))</f>
        <v/>
      </c>
      <c r="Z158" s="294">
        <f>IF($B158="SEL","N/A - SEL",PeGu!$K$12*POWER(1+PeGu!$K$13,$X158-1))</f>
        <v>0</v>
      </c>
      <c r="AB158" s="263">
        <v>9</v>
      </c>
      <c r="AC158" s="264" cm="1">
        <f t="array" ref="AC158">INDEX('Contract Early Termination'!$B$14:$H$33,$AB158,MATCH($A156,_xlfn.ANCHORARRAY('Contract Early Termination'!$B$10),0))</f>
        <v>0</v>
      </c>
      <c r="AE158" s="263">
        <v>9</v>
      </c>
      <c r="AF158" s="264" cm="1">
        <f t="array" ref="AF158">INDEX('Contract Early Termination'!$B$41:$H$60,$AE158,MATCH($A156,_xlfn.ANCHORARRAY('Contract Early Termination'!$B$37),0))</f>
        <v>0</v>
      </c>
      <c r="AH158" s="263">
        <v>9</v>
      </c>
      <c r="AI158" s="264" cm="1">
        <f t="array" ref="AI158">INDEX('Contract Early Termination'!$B$68:$H$87,$AB158,MATCH($A156,_xlfn.ANCHORARRAY('Contract Early Termination'!$B$64),0))</f>
        <v>0</v>
      </c>
      <c r="AK158" s="263">
        <v>9</v>
      </c>
      <c r="AL158" s="293" t="str">
        <f>IF($B158="SPPA","N/A - SPPA",AL157*(1-'System Specification'!$D$10)*IF(AK158&lt;=$C158,1,0))</f>
        <v>N/A - SPPA</v>
      </c>
      <c r="AM158" s="293" t="str">
        <f>IF($B158="SPPA","N/A - SPPA",AM157*(1-INDEX('System Specification'!$Q$14:$Q$20,MATCH($A158,'System Specification'!$D$14:$D$20,0)))*IF(AK158&lt;=$C158,1,0))</f>
        <v>N/A - SPPA</v>
      </c>
      <c r="AN158" s="298" t="str" cm="1">
        <f t="array" ref="AN158">IF($B158="SPPA","N/A - SPPA",INDEX(PeGu!$B$78:$H$97,$AK158,MATCH($A156,PeGu!$B$76:$H$76,0)))</f>
        <v>N/A - SPPA</v>
      </c>
      <c r="AP158" s="262">
        <v>9</v>
      </c>
      <c r="AQ158" s="269" t="str">
        <f>IF($B158="SPPA","N/A - SPPA", INDEX('Microgrid Proposal'!$N$32:$N$38,MATCH($A158,'Microgrid Proposal'!$D$32:$D$38,0))*IF(AP158&lt;=$C158,1,0))</f>
        <v>N/A - SPPA</v>
      </c>
      <c r="AR158" s="264" t="str">
        <f t="shared" si="22"/>
        <v>N/A - SPPA</v>
      </c>
      <c r="AT158" s="262">
        <v>9</v>
      </c>
      <c r="AU158" s="269" t="str">
        <f>IF($B158="SPPA","N/A - SPPA", INDEX('Solar+Storage Proposal'!$N$32:$N$38,MATCH($A158,'Solar+Storage Proposal'!$D$32:$D$38,0))*IF(AT158&lt;=$C158,1,0))</f>
        <v>N/A - SPPA</v>
      </c>
      <c r="AV158" s="264" t="str">
        <f t="shared" si="23"/>
        <v>N/A - SPPA</v>
      </c>
      <c r="AX158" s="262">
        <v>9</v>
      </c>
      <c r="AY158" s="269" t="str">
        <f>IF($B158="SPPA","N/A - SPPA", INDEX('Solar-Only Proposal'!$M$32:$M$38,MATCH($A158,'Solar-Only Proposal'!$D$32:$D$38,0))*IF(AX158&lt;=$C158,1,0))</f>
        <v>N/A - SPPA</v>
      </c>
      <c r="AZ158" s="264" t="str">
        <f t="shared" si="24"/>
        <v>N/A - SPPA</v>
      </c>
    </row>
    <row r="159" spans="1:52" x14ac:dyDescent="0.35">
      <c r="A159" s="251" t="str">
        <f t="shared" si="20"/>
        <v>37-C1</v>
      </c>
      <c r="B159" s="251" t="str">
        <f t="shared" si="21"/>
        <v>SPPA</v>
      </c>
      <c r="C159" s="251">
        <f>INDEX('Site Data'!$S$7:$S$13,MATCH($A159,'Site Data'!$C$7:$C$13,0))</f>
        <v>20</v>
      </c>
      <c r="D159" s="251" t="s">
        <v>189</v>
      </c>
      <c r="E159" s="251" t="s">
        <v>192</v>
      </c>
      <c r="F159" s="262" t="s">
        <v>284</v>
      </c>
      <c r="G159" s="271">
        <f>IF($B159="SEL","N/A - SEL",INDEX('Solar+Storage Proposal'!$A$32:$X$38,MATCH($A159,'Solar+Storage Proposal'!$D$32:$D$38,0),MATCH($D159,'Solar+Storage Proposal'!$A$31:$X$31,0)))</f>
        <v>0</v>
      </c>
      <c r="H159" s="270" t="s">
        <v>285</v>
      </c>
      <c r="J159" s="262" t="s">
        <v>277</v>
      </c>
      <c r="K159" s="269" t="str">
        <f>IF($B159="SPPA","N/A - SPPA",INDEX('Solar-Only Proposal'!$A$32:$W$38,MATCH($A159,'Solar-Only Proposal'!$D$32:$D$38,0),MATCH($E159,'Solar-Only Proposal'!$A$31:$W$31,0)))</f>
        <v>N/A - SPPA</v>
      </c>
      <c r="L159" s="270" t="s">
        <v>278</v>
      </c>
      <c r="N159" s="262">
        <v>10</v>
      </c>
      <c r="O159" s="293">
        <f>IF($B159="SEL","N/A - SEL",O158*(1-'System Specification'!$D$10)*IF(N159&lt;=$C159,1,0))</f>
        <v>0</v>
      </c>
      <c r="P159" s="293" t="str" cm="1">
        <f t="array" ref="P159">INDEX(PeGu!$B$24:$H$43,$S159,MATCH($A157,_xlfn.ANCHORARRAY(PeGu!$B$20),0))</f>
        <v/>
      </c>
      <c r="Q159" s="294">
        <f>IF($B159="SEL","N/A - SEL",PeGu!$E$14*POWER(1+PeGu!$E$15,$S159-1))</f>
        <v>6.5238659191462225E-2</v>
      </c>
      <c r="S159" s="262">
        <v>10</v>
      </c>
      <c r="T159" s="293">
        <f>IF($B159="SEL","N/A - SEL",T158*(1-'System Specification'!$D$10)*IF(S159&lt;=$C159,1,0))</f>
        <v>0</v>
      </c>
      <c r="U159" s="293" t="str" cm="1">
        <f t="array" ref="U159">INDEX(PeGu!$B$52:$H$71,$S159,MATCH($A157,_xlfn.ANCHORARRAY(PeGu!$B$48),0))</f>
        <v/>
      </c>
      <c r="V159" s="294">
        <f>IF($B159="SEL","N/A - SEL",PeGu!$E$14*POWER(1+PeGu!$E$15,$S159-1))</f>
        <v>6.5238659191462225E-2</v>
      </c>
      <c r="X159" s="262">
        <v>10</v>
      </c>
      <c r="Y159" s="293" t="str" cm="1">
        <f t="array" ref="Y159">IF($B159="SEL","N/A - SEL",INDEX(PeGu!$B$78:$H$97,$X159,MATCH($A157,PeGu!$B$76:$H$76,0)))</f>
        <v/>
      </c>
      <c r="Z159" s="294">
        <f>IF($B159="SEL","N/A - SEL",PeGu!$K$12*POWER(1+PeGu!$K$13,$X159-1))</f>
        <v>0</v>
      </c>
      <c r="AB159" s="263">
        <v>10</v>
      </c>
      <c r="AC159" s="264" cm="1">
        <f t="array" ref="AC159">INDEX('Contract Early Termination'!$B$14:$H$33,$AB159,MATCH($A157,_xlfn.ANCHORARRAY('Contract Early Termination'!$B$10),0))</f>
        <v>0</v>
      </c>
      <c r="AE159" s="263">
        <v>10</v>
      </c>
      <c r="AF159" s="264" cm="1">
        <f t="array" ref="AF159">INDEX('Contract Early Termination'!$B$41:$H$60,$AE159,MATCH($A157,_xlfn.ANCHORARRAY('Contract Early Termination'!$B$37),0))</f>
        <v>0</v>
      </c>
      <c r="AH159" s="263">
        <v>10</v>
      </c>
      <c r="AI159" s="264" cm="1">
        <f t="array" ref="AI159">INDEX('Contract Early Termination'!$B$68:$H$87,$AB159,MATCH($A157,_xlfn.ANCHORARRAY('Contract Early Termination'!$B$64),0))</f>
        <v>0</v>
      </c>
      <c r="AK159" s="263">
        <v>10</v>
      </c>
      <c r="AL159" s="293" t="str">
        <f>IF($B159="SPPA","N/A - SPPA",AL158*(1-'System Specification'!$D$10)*IF(AK159&lt;=$C159,1,0))</f>
        <v>N/A - SPPA</v>
      </c>
      <c r="AM159" s="293" t="str">
        <f>IF($B159="SPPA","N/A - SPPA",AM158*(1-INDEX('System Specification'!$Q$14:$Q$20,MATCH($A159,'System Specification'!$D$14:$D$20,0)))*IF(AK159&lt;=$C159,1,0))</f>
        <v>N/A - SPPA</v>
      </c>
      <c r="AN159" s="298" t="str" cm="1">
        <f t="array" ref="AN159">IF($B159="SPPA","N/A - SPPA",INDEX(PeGu!$B$78:$H$97,$AK159,MATCH($A157,PeGu!$B$76:$H$76,0)))</f>
        <v>N/A - SPPA</v>
      </c>
      <c r="AP159" s="262">
        <v>10</v>
      </c>
      <c r="AQ159" s="269" t="str">
        <f>IF($B159="SPPA","N/A - SPPA", INDEX('Microgrid Proposal'!$N$32:$N$38,MATCH($A159,'Microgrid Proposal'!$D$32:$D$38,0))*IF(AP159&lt;=$C159,1,0))</f>
        <v>N/A - SPPA</v>
      </c>
      <c r="AR159" s="264" t="str">
        <f t="shared" si="22"/>
        <v>N/A - SPPA</v>
      </c>
      <c r="AT159" s="262">
        <v>10</v>
      </c>
      <c r="AU159" s="269" t="str">
        <f>IF($B159="SPPA","N/A - SPPA", INDEX('Solar+Storage Proposal'!$N$32:$N$38,MATCH($A159,'Solar+Storage Proposal'!$D$32:$D$38,0))*IF(AT159&lt;=$C159,1,0))</f>
        <v>N/A - SPPA</v>
      </c>
      <c r="AV159" s="264" t="str">
        <f t="shared" si="23"/>
        <v>N/A - SPPA</v>
      </c>
      <c r="AX159" s="262">
        <v>10</v>
      </c>
      <c r="AY159" s="269" t="str">
        <f>IF($B159="SPPA","N/A - SPPA", INDEX('Solar-Only Proposal'!$M$32:$M$38,MATCH($A159,'Solar-Only Proposal'!$D$32:$D$38,0))*IF(AX159&lt;=$C159,1,0))</f>
        <v>N/A - SPPA</v>
      </c>
      <c r="AZ159" s="264" t="str">
        <f t="shared" si="24"/>
        <v>N/A - SPPA</v>
      </c>
    </row>
    <row r="160" spans="1:52" ht="15" thickBot="1" x14ac:dyDescent="0.4">
      <c r="A160" s="251" t="str">
        <f t="shared" si="20"/>
        <v>37-C1</v>
      </c>
      <c r="B160" s="251" t="str">
        <f t="shared" si="21"/>
        <v>SPPA</v>
      </c>
      <c r="C160" s="251">
        <f>INDEX('Site Data'!$S$7:$S$13,MATCH($A160,'Site Data'!$C$7:$C$13,0))</f>
        <v>20</v>
      </c>
      <c r="D160" s="251" t="s">
        <v>190</v>
      </c>
      <c r="E160" s="251" t="s">
        <v>193</v>
      </c>
      <c r="F160" s="258" t="s">
        <v>284</v>
      </c>
      <c r="G160" s="272">
        <f>IF($B160="SEL","N/A - SEL",INDEX('Solar+Storage Proposal'!$A$32:$X$38,MATCH($A160,'Solar+Storage Proposal'!$D$32:$D$38,0),MATCH($D160,'Solar+Storage Proposal'!$A$31:$X$31,0)))</f>
        <v>0</v>
      </c>
      <c r="H160" s="260" t="s">
        <v>286</v>
      </c>
      <c r="J160" s="258" t="s">
        <v>277</v>
      </c>
      <c r="K160" s="300" t="str">
        <f>IF($B160="SPPA","N/A - SPPA",INDEX('Solar-Only Proposal'!$A$32:$W$38,MATCH($A160,'Solar-Only Proposal'!$D$32:$D$38,0),MATCH($E160,'Solar-Only Proposal'!$A$31:$W$31,0)))</f>
        <v>N/A - SPPA</v>
      </c>
      <c r="L160" s="260" t="s">
        <v>281</v>
      </c>
      <c r="N160" s="262">
        <v>11</v>
      </c>
      <c r="O160" s="293">
        <f>IF($B160="SEL","N/A - SEL",O159*(1-'System Specification'!$D$10)*IF(N160&lt;=$C160,1,0))</f>
        <v>0</v>
      </c>
      <c r="P160" s="293" t="str" cm="1">
        <f t="array" ref="P160">INDEX(PeGu!$B$24:$H$43,$S160,MATCH($A158,_xlfn.ANCHORARRAY(PeGu!$B$20),0))</f>
        <v/>
      </c>
      <c r="Q160" s="294">
        <f>IF($B160="SEL","N/A - SEL",PeGu!$E$14*POWER(1+PeGu!$E$15,$S160-1))</f>
        <v>6.7195818967206097E-2</v>
      </c>
      <c r="S160" s="262">
        <v>11</v>
      </c>
      <c r="T160" s="293">
        <f>IF($B160="SEL","N/A - SEL",T159*(1-'System Specification'!$D$10)*IF(S160&lt;=$C160,1,0))</f>
        <v>0</v>
      </c>
      <c r="U160" s="293" t="str" cm="1">
        <f t="array" ref="U160">INDEX(PeGu!$B$52:$H$71,$S160,MATCH($A158,_xlfn.ANCHORARRAY(PeGu!$B$48),0))</f>
        <v/>
      </c>
      <c r="V160" s="294">
        <f>IF($B160="SEL","N/A - SEL",PeGu!$E$14*POWER(1+PeGu!$E$15,$S160-1))</f>
        <v>6.7195818967206097E-2</v>
      </c>
      <c r="X160" s="262">
        <v>11</v>
      </c>
      <c r="Y160" s="293" t="str" cm="1">
        <f t="array" ref="Y160">IF($B160="SEL","N/A - SEL",INDEX(PeGu!$B$78:$H$97,$X160,MATCH($A158,PeGu!$B$76:$H$76,0)))</f>
        <v/>
      </c>
      <c r="Z160" s="294">
        <f>IF($B160="SEL","N/A - SEL",PeGu!$K$12*POWER(1+PeGu!$K$13,$X160-1))</f>
        <v>0</v>
      </c>
      <c r="AB160" s="263">
        <v>11</v>
      </c>
      <c r="AC160" s="264" cm="1">
        <f t="array" ref="AC160">INDEX('Contract Early Termination'!$B$14:$H$33,$AB160,MATCH($A158,_xlfn.ANCHORARRAY('Contract Early Termination'!$B$10),0))</f>
        <v>0</v>
      </c>
      <c r="AE160" s="263">
        <v>11</v>
      </c>
      <c r="AF160" s="264" cm="1">
        <f t="array" ref="AF160">INDEX('Contract Early Termination'!$B$41:$H$60,$AE160,MATCH($A158,_xlfn.ANCHORARRAY('Contract Early Termination'!$B$37),0))</f>
        <v>0</v>
      </c>
      <c r="AH160" s="263">
        <v>11</v>
      </c>
      <c r="AI160" s="264" cm="1">
        <f t="array" ref="AI160">INDEX('Contract Early Termination'!$B$68:$H$87,$AB160,MATCH($A158,_xlfn.ANCHORARRAY('Contract Early Termination'!$B$64),0))</f>
        <v>0</v>
      </c>
      <c r="AK160" s="263">
        <v>11</v>
      </c>
      <c r="AL160" s="293" t="str">
        <f>IF($B160="SPPA","N/A - SPPA",AL159*(1-'System Specification'!$D$10)*IF(AK160&lt;=$C160,1,0))</f>
        <v>N/A - SPPA</v>
      </c>
      <c r="AM160" s="293" t="str">
        <f>IF($B160="SPPA","N/A - SPPA",AM159*(1-INDEX('System Specification'!$Q$14:$Q$20,MATCH($A160,'System Specification'!$D$14:$D$20,0)))*IF(AK160&lt;=$C160,1,0))</f>
        <v>N/A - SPPA</v>
      </c>
      <c r="AN160" s="298" t="str" cm="1">
        <f t="array" ref="AN160">IF($B160="SPPA","N/A - SPPA",INDEX(PeGu!$B$78:$H$97,$AK160,MATCH($A158,PeGu!$B$76:$H$76,0)))</f>
        <v>N/A - SPPA</v>
      </c>
      <c r="AP160" s="262">
        <v>11</v>
      </c>
      <c r="AQ160" s="269" t="str">
        <f>IF($B160="SPPA","N/A - SPPA", INDEX('Microgrid Proposal'!$N$32:$N$38,MATCH($A160,'Microgrid Proposal'!$D$32:$D$38,0))*IF(AP160&lt;=$C160,1,0))</f>
        <v>N/A - SPPA</v>
      </c>
      <c r="AR160" s="264" t="str">
        <f t="shared" si="22"/>
        <v>N/A - SPPA</v>
      </c>
      <c r="AT160" s="262">
        <v>11</v>
      </c>
      <c r="AU160" s="269" t="str">
        <f>IF($B160="SPPA","N/A - SPPA", INDEX('Solar+Storage Proposal'!$N$32:$N$38,MATCH($A160,'Solar+Storage Proposal'!$D$32:$D$38,0))*IF(AT160&lt;=$C160,1,0))</f>
        <v>N/A - SPPA</v>
      </c>
      <c r="AV160" s="264" t="str">
        <f t="shared" si="23"/>
        <v>N/A - SPPA</v>
      </c>
      <c r="AX160" s="262">
        <v>11</v>
      </c>
      <c r="AY160" s="269" t="str">
        <f>IF($B160="SPPA","N/A - SPPA", INDEX('Solar-Only Proposal'!$M$32:$M$38,MATCH($A160,'Solar-Only Proposal'!$D$32:$D$38,0))*IF(AX160&lt;=$C160,1,0))</f>
        <v>N/A - SPPA</v>
      </c>
      <c r="AZ160" s="264" t="str">
        <f t="shared" si="24"/>
        <v>N/A - SPPA</v>
      </c>
    </row>
    <row r="161" spans="1:52" ht="15" thickBot="1" x14ac:dyDescent="0.4">
      <c r="A161" s="251" t="str">
        <f t="shared" si="20"/>
        <v>37-C1</v>
      </c>
      <c r="B161" s="251" t="str">
        <f t="shared" si="21"/>
        <v>SPPA</v>
      </c>
      <c r="C161" s="251">
        <f>INDEX('Site Data'!$S$7:$S$13,MATCH($A161,'Site Data'!$C$7:$C$13,0))</f>
        <v>20</v>
      </c>
      <c r="F161" s="505" t="s">
        <v>289</v>
      </c>
      <c r="G161" s="506"/>
      <c r="H161" s="507"/>
      <c r="N161" s="262">
        <v>12</v>
      </c>
      <c r="O161" s="293">
        <f>IF($B161="SEL","N/A - SEL",O160*(1-'System Specification'!$D$10)*IF(N161&lt;=$C161,1,0))</f>
        <v>0</v>
      </c>
      <c r="P161" s="293" t="str" cm="1">
        <f t="array" ref="P161">INDEX(PeGu!$B$24:$H$43,$S161,MATCH($A159,_xlfn.ANCHORARRAY(PeGu!$B$20),0))</f>
        <v/>
      </c>
      <c r="Q161" s="294">
        <f>IF($B161="SEL","N/A - SEL",PeGu!$E$14*POWER(1+PeGu!$E$15,$S161-1))</f>
        <v>6.921169353622228E-2</v>
      </c>
      <c r="S161" s="262">
        <v>12</v>
      </c>
      <c r="T161" s="293">
        <f>IF($B161="SEL","N/A - SEL",T160*(1-'System Specification'!$D$10)*IF(S161&lt;=$C161,1,0))</f>
        <v>0</v>
      </c>
      <c r="U161" s="293" t="str" cm="1">
        <f t="array" ref="U161">INDEX(PeGu!$B$52:$H$71,$S161,MATCH($A159,_xlfn.ANCHORARRAY(PeGu!$B$48),0))</f>
        <v/>
      </c>
      <c r="V161" s="294">
        <f>IF($B161="SEL","N/A - SEL",PeGu!$E$14*POWER(1+PeGu!$E$15,$S161-1))</f>
        <v>6.921169353622228E-2</v>
      </c>
      <c r="X161" s="262">
        <v>12</v>
      </c>
      <c r="Y161" s="293" t="str" cm="1">
        <f t="array" ref="Y161">IF($B161="SEL","N/A - SEL",INDEX(PeGu!$B$78:$H$97,$X161,MATCH($A159,PeGu!$B$76:$H$76,0)))</f>
        <v/>
      </c>
      <c r="Z161" s="294">
        <f>IF($B161="SEL","N/A - SEL",PeGu!$K$12*POWER(1+PeGu!$K$13,$X161-1))</f>
        <v>0</v>
      </c>
      <c r="AB161" s="263">
        <v>12</v>
      </c>
      <c r="AC161" s="264" cm="1">
        <f t="array" ref="AC161">INDEX('Contract Early Termination'!$B$14:$H$33,$AB161,MATCH($A159,_xlfn.ANCHORARRAY('Contract Early Termination'!$B$10),0))</f>
        <v>0</v>
      </c>
      <c r="AE161" s="263">
        <v>12</v>
      </c>
      <c r="AF161" s="264" cm="1">
        <f t="array" ref="AF161">INDEX('Contract Early Termination'!$B$41:$H$60,$AE161,MATCH($A159,_xlfn.ANCHORARRAY('Contract Early Termination'!$B$37),0))</f>
        <v>0</v>
      </c>
      <c r="AH161" s="263">
        <v>12</v>
      </c>
      <c r="AI161" s="264" cm="1">
        <f t="array" ref="AI161">INDEX('Contract Early Termination'!$B$68:$H$87,$AB161,MATCH($A159,_xlfn.ANCHORARRAY('Contract Early Termination'!$B$64),0))</f>
        <v>0</v>
      </c>
      <c r="AK161" s="263">
        <v>12</v>
      </c>
      <c r="AL161" s="293" t="str">
        <f>IF($B161="SPPA","N/A - SPPA",AL160*(1-'System Specification'!$D$10)*IF(AK161&lt;=$C161,1,0))</f>
        <v>N/A - SPPA</v>
      </c>
      <c r="AM161" s="293" t="str">
        <f>IF($B161="SPPA","N/A - SPPA",AM160*(1-INDEX('System Specification'!$Q$14:$Q$20,MATCH($A161,'System Specification'!$D$14:$D$20,0)))*IF(AK161&lt;=$C161,1,0))</f>
        <v>N/A - SPPA</v>
      </c>
      <c r="AN161" s="298" t="str" cm="1">
        <f t="array" ref="AN161">IF($B161="SPPA","N/A - SPPA",INDEX(PeGu!$B$78:$H$97,$AK161,MATCH($A159,PeGu!$B$76:$H$76,0)))</f>
        <v>N/A - SPPA</v>
      </c>
      <c r="AP161" s="262">
        <v>12</v>
      </c>
      <c r="AQ161" s="269" t="str">
        <f>IF($B161="SPPA","N/A - SPPA", INDEX('Microgrid Proposal'!$N$32:$N$38,MATCH($A161,'Microgrid Proposal'!$D$32:$D$38,0))*IF(AP161&lt;=$C161,1,0))</f>
        <v>N/A - SPPA</v>
      </c>
      <c r="AR161" s="264" t="str">
        <f t="shared" si="22"/>
        <v>N/A - SPPA</v>
      </c>
      <c r="AT161" s="262">
        <v>12</v>
      </c>
      <c r="AU161" s="269" t="str">
        <f>IF($B161="SPPA","N/A - SPPA", INDEX('Solar+Storage Proposal'!$N$32:$N$38,MATCH($A161,'Solar+Storage Proposal'!$D$32:$D$38,0))*IF(AT161&lt;=$C161,1,0))</f>
        <v>N/A - SPPA</v>
      </c>
      <c r="AV161" s="264" t="str">
        <f t="shared" si="23"/>
        <v>N/A - SPPA</v>
      </c>
      <c r="AX161" s="262">
        <v>12</v>
      </c>
      <c r="AY161" s="269" t="str">
        <f>IF($B161="SPPA","N/A - SPPA", INDEX('Solar-Only Proposal'!$M$32:$M$38,MATCH($A161,'Solar-Only Proposal'!$D$32:$D$38,0))*IF(AX161&lt;=$C161,1,0))</f>
        <v>N/A - SPPA</v>
      </c>
      <c r="AZ161" s="264" t="str">
        <f t="shared" si="24"/>
        <v>N/A - SPPA</v>
      </c>
    </row>
    <row r="162" spans="1:52" x14ac:dyDescent="0.35">
      <c r="A162" s="251" t="str">
        <f t="shared" si="20"/>
        <v>37-C1</v>
      </c>
      <c r="B162" s="251" t="str">
        <f t="shared" si="21"/>
        <v>SPPA</v>
      </c>
      <c r="C162" s="251">
        <f>INDEX('Site Data'!$S$7:$S$13,MATCH($A162,'Site Data'!$C$7:$C$13,0))</f>
        <v>20</v>
      </c>
      <c r="D162" s="251" t="s">
        <v>188</v>
      </c>
      <c r="F162" s="266" t="s">
        <v>279</v>
      </c>
      <c r="G162" s="267">
        <f>IF($B162="SEL","N/A - SEL",INDEX('Solar-Only Proposal'!$A$32:$W$38,MATCH($A162,'Solar-Only Proposal'!$D$32:$D$38,0),MATCH($D162,'Solar-Only Proposal'!$A$31:$W$31,0)))</f>
        <v>0</v>
      </c>
      <c r="H162" s="268" t="s">
        <v>280</v>
      </c>
      <c r="N162" s="262">
        <v>13</v>
      </c>
      <c r="O162" s="293">
        <f>IF($B162="SEL","N/A - SEL",O161*(1-'System Specification'!$D$10)*IF(N162&lt;=$C162,1,0))</f>
        <v>0</v>
      </c>
      <c r="P162" s="293" t="str" cm="1">
        <f t="array" ref="P162">INDEX(PeGu!$B$24:$H$43,$S162,MATCH($A160,_xlfn.ANCHORARRAY(PeGu!$B$20),0))</f>
        <v/>
      </c>
      <c r="Q162" s="294">
        <f>IF($B162="SEL","N/A - SEL",PeGu!$E$14*POWER(1+PeGu!$E$15,$S162-1))</f>
        <v>7.128804434230894E-2</v>
      </c>
      <c r="S162" s="262">
        <v>13</v>
      </c>
      <c r="T162" s="293">
        <f>IF($B162="SEL","N/A - SEL",T161*(1-'System Specification'!$D$10)*IF(S162&lt;=$C162,1,0))</f>
        <v>0</v>
      </c>
      <c r="U162" s="293" t="str" cm="1">
        <f t="array" ref="U162">INDEX(PeGu!$B$52:$H$71,$S162,MATCH($A160,_xlfn.ANCHORARRAY(PeGu!$B$48),0))</f>
        <v/>
      </c>
      <c r="V162" s="294">
        <f>IF($B162="SEL","N/A - SEL",PeGu!$E$14*POWER(1+PeGu!$E$15,$S162-1))</f>
        <v>7.128804434230894E-2</v>
      </c>
      <c r="X162" s="262">
        <v>13</v>
      </c>
      <c r="Y162" s="293" t="str" cm="1">
        <f t="array" ref="Y162">IF($B162="SEL","N/A - SEL",INDEX(PeGu!$B$78:$H$97,$X162,MATCH($A160,PeGu!$B$76:$H$76,0)))</f>
        <v/>
      </c>
      <c r="Z162" s="294">
        <f>IF($B162="SEL","N/A - SEL",PeGu!$K$12*POWER(1+PeGu!$K$13,$X162-1))</f>
        <v>0</v>
      </c>
      <c r="AB162" s="263">
        <v>13</v>
      </c>
      <c r="AC162" s="264" cm="1">
        <f t="array" ref="AC162">INDEX('Contract Early Termination'!$B$14:$H$33,$AB162,MATCH($A160,_xlfn.ANCHORARRAY('Contract Early Termination'!$B$10),0))</f>
        <v>0</v>
      </c>
      <c r="AE162" s="263">
        <v>13</v>
      </c>
      <c r="AF162" s="264" cm="1">
        <f t="array" ref="AF162">INDEX('Contract Early Termination'!$B$41:$H$60,$AE162,MATCH($A160,_xlfn.ANCHORARRAY('Contract Early Termination'!$B$37),0))</f>
        <v>0</v>
      </c>
      <c r="AH162" s="263">
        <v>13</v>
      </c>
      <c r="AI162" s="264" cm="1">
        <f t="array" ref="AI162">INDEX('Contract Early Termination'!$B$68:$H$87,$AB162,MATCH($A160,_xlfn.ANCHORARRAY('Contract Early Termination'!$B$64),0))</f>
        <v>0</v>
      </c>
      <c r="AK162" s="263">
        <v>13</v>
      </c>
      <c r="AL162" s="293" t="str">
        <f>IF($B162="SPPA","N/A - SPPA",AL161*(1-'System Specification'!$D$10)*IF(AK162&lt;=$C162,1,0))</f>
        <v>N/A - SPPA</v>
      </c>
      <c r="AM162" s="293" t="str">
        <f>IF($B162="SPPA","N/A - SPPA",AM161*(1-INDEX('System Specification'!$Q$14:$Q$20,MATCH($A162,'System Specification'!$D$14:$D$20,0)))*IF(AK162&lt;=$C162,1,0))</f>
        <v>N/A - SPPA</v>
      </c>
      <c r="AN162" s="298" t="str" cm="1">
        <f t="array" ref="AN162">IF($B162="SPPA","N/A - SPPA",INDEX(PeGu!$B$78:$H$97,$AK162,MATCH($A160,PeGu!$B$76:$H$76,0)))</f>
        <v>N/A - SPPA</v>
      </c>
      <c r="AP162" s="262">
        <v>13</v>
      </c>
      <c r="AQ162" s="269" t="str">
        <f>IF($B162="SPPA","N/A - SPPA", INDEX('Microgrid Proposal'!$N$32:$N$38,MATCH($A162,'Microgrid Proposal'!$D$32:$D$38,0))*IF(AP162&lt;=$C162,1,0))</f>
        <v>N/A - SPPA</v>
      </c>
      <c r="AR162" s="264" t="str">
        <f t="shared" si="22"/>
        <v>N/A - SPPA</v>
      </c>
      <c r="AT162" s="262">
        <v>13</v>
      </c>
      <c r="AU162" s="269" t="str">
        <f>IF($B162="SPPA","N/A - SPPA", INDEX('Solar+Storage Proposal'!$N$32:$N$38,MATCH($A162,'Solar+Storage Proposal'!$D$32:$D$38,0))*IF(AT162&lt;=$C162,1,0))</f>
        <v>N/A - SPPA</v>
      </c>
      <c r="AV162" s="264" t="str">
        <f t="shared" si="23"/>
        <v>N/A - SPPA</v>
      </c>
      <c r="AX162" s="262">
        <v>13</v>
      </c>
      <c r="AY162" s="269" t="str">
        <f>IF($B162="SPPA","N/A - SPPA", INDEX('Solar-Only Proposal'!$M$32:$M$38,MATCH($A162,'Solar-Only Proposal'!$D$32:$D$38,0))*IF(AX162&lt;=$C162,1,0))</f>
        <v>N/A - SPPA</v>
      </c>
      <c r="AZ162" s="264" t="str">
        <f t="shared" si="24"/>
        <v>N/A - SPPA</v>
      </c>
    </row>
    <row r="163" spans="1:52" x14ac:dyDescent="0.35">
      <c r="A163" s="251" t="str">
        <f t="shared" si="20"/>
        <v>37-C1</v>
      </c>
      <c r="B163" s="251" t="str">
        <f t="shared" si="21"/>
        <v>SPPA</v>
      </c>
      <c r="C163" s="251">
        <f>INDEX('Site Data'!$S$7:$S$13,MATCH($A163,'Site Data'!$C$7:$C$13,0))</f>
        <v>20</v>
      </c>
      <c r="D163" s="251" t="s">
        <v>165</v>
      </c>
      <c r="F163" s="262" t="s">
        <v>282</v>
      </c>
      <c r="G163" s="269">
        <f>IF($B163="SEL","N/A - SEL",INDEX('Solar-Only Proposal'!$A$32:$W$38,MATCH($A163,'Solar-Only Proposal'!$D$32:$D$38,0),MATCH($D163,'Solar-Only Proposal'!$A$31:$W$31,0)))</f>
        <v>0</v>
      </c>
      <c r="H163" s="270" t="s">
        <v>275</v>
      </c>
      <c r="N163" s="262">
        <v>14</v>
      </c>
      <c r="O163" s="293">
        <f>IF($B163="SEL","N/A - SEL",O162*(1-'System Specification'!$D$10)*IF(N163&lt;=$C163,1,0))</f>
        <v>0</v>
      </c>
      <c r="P163" s="293" t="str" cm="1">
        <f t="array" ref="P163">INDEX(PeGu!$B$24:$H$43,$S163,MATCH($A161,_xlfn.ANCHORARRAY(PeGu!$B$20),0))</f>
        <v/>
      </c>
      <c r="Q163" s="294">
        <f>IF($B163="SEL","N/A - SEL",PeGu!$E$14*POWER(1+PeGu!$E$15,$S163-1))</f>
        <v>7.3426685672578193E-2</v>
      </c>
      <c r="S163" s="262">
        <v>14</v>
      </c>
      <c r="T163" s="293">
        <f>IF($B163="SEL","N/A - SEL",T162*(1-'System Specification'!$D$10)*IF(S163&lt;=$C163,1,0))</f>
        <v>0</v>
      </c>
      <c r="U163" s="293" t="str" cm="1">
        <f t="array" ref="U163">INDEX(PeGu!$B$52:$H$71,$S163,MATCH($A161,_xlfn.ANCHORARRAY(PeGu!$B$48),0))</f>
        <v/>
      </c>
      <c r="V163" s="294">
        <f>IF($B163="SEL","N/A - SEL",PeGu!$E$14*POWER(1+PeGu!$E$15,$S163-1))</f>
        <v>7.3426685672578193E-2</v>
      </c>
      <c r="X163" s="262">
        <v>14</v>
      </c>
      <c r="Y163" s="293" t="str" cm="1">
        <f t="array" ref="Y163">IF($B163="SEL","N/A - SEL",INDEX(PeGu!$B$78:$H$97,$X163,MATCH($A161,PeGu!$B$76:$H$76,0)))</f>
        <v/>
      </c>
      <c r="Z163" s="294">
        <f>IF($B163="SEL","N/A - SEL",PeGu!$K$12*POWER(1+PeGu!$K$13,$X163-1))</f>
        <v>0</v>
      </c>
      <c r="AB163" s="263">
        <v>14</v>
      </c>
      <c r="AC163" s="264" cm="1">
        <f t="array" ref="AC163">INDEX('Contract Early Termination'!$B$14:$H$33,$AB163,MATCH($A161,_xlfn.ANCHORARRAY('Contract Early Termination'!$B$10),0))</f>
        <v>0</v>
      </c>
      <c r="AE163" s="263">
        <v>14</v>
      </c>
      <c r="AF163" s="264" cm="1">
        <f t="array" ref="AF163">INDEX('Contract Early Termination'!$B$41:$H$60,$AE163,MATCH($A161,_xlfn.ANCHORARRAY('Contract Early Termination'!$B$37),0))</f>
        <v>0</v>
      </c>
      <c r="AH163" s="263">
        <v>14</v>
      </c>
      <c r="AI163" s="264" cm="1">
        <f t="array" ref="AI163">INDEX('Contract Early Termination'!$B$68:$H$87,$AB163,MATCH($A161,_xlfn.ANCHORARRAY('Contract Early Termination'!$B$64),0))</f>
        <v>0</v>
      </c>
      <c r="AK163" s="263">
        <v>14</v>
      </c>
      <c r="AL163" s="293" t="str">
        <f>IF($B163="SPPA","N/A - SPPA",AL162*(1-'System Specification'!$D$10)*IF(AK163&lt;=$C163,1,0))</f>
        <v>N/A - SPPA</v>
      </c>
      <c r="AM163" s="293" t="str">
        <f>IF($B163="SPPA","N/A - SPPA",AM162*(1-INDEX('System Specification'!$Q$14:$Q$20,MATCH($A163,'System Specification'!$D$14:$D$20,0)))*IF(AK163&lt;=$C163,1,0))</f>
        <v>N/A - SPPA</v>
      </c>
      <c r="AN163" s="298" t="str" cm="1">
        <f t="array" ref="AN163">IF($B163="SPPA","N/A - SPPA",INDEX(PeGu!$B$78:$H$97,$AK163,MATCH($A161,PeGu!$B$76:$H$76,0)))</f>
        <v>N/A - SPPA</v>
      </c>
      <c r="AP163" s="262">
        <v>14</v>
      </c>
      <c r="AQ163" s="269" t="str">
        <f>IF($B163="SPPA","N/A - SPPA", INDEX('Microgrid Proposal'!$N$32:$N$38,MATCH($A163,'Microgrid Proposal'!$D$32:$D$38,0))*IF(AP163&lt;=$C163,1,0))</f>
        <v>N/A - SPPA</v>
      </c>
      <c r="AR163" s="264" t="str">
        <f t="shared" si="22"/>
        <v>N/A - SPPA</v>
      </c>
      <c r="AT163" s="262">
        <v>14</v>
      </c>
      <c r="AU163" s="269" t="str">
        <f>IF($B163="SPPA","N/A - SPPA", INDEX('Solar+Storage Proposal'!$N$32:$N$38,MATCH($A163,'Solar+Storage Proposal'!$D$32:$D$38,0))*IF(AT163&lt;=$C163,1,0))</f>
        <v>N/A - SPPA</v>
      </c>
      <c r="AV163" s="264" t="str">
        <f t="shared" si="23"/>
        <v>N/A - SPPA</v>
      </c>
      <c r="AX163" s="262">
        <v>14</v>
      </c>
      <c r="AY163" s="269" t="str">
        <f>IF($B163="SPPA","N/A - SPPA", INDEX('Solar-Only Proposal'!$M$32:$M$38,MATCH($A163,'Solar-Only Proposal'!$D$32:$D$38,0))*IF(AX163&lt;=$C163,1,0))</f>
        <v>N/A - SPPA</v>
      </c>
      <c r="AZ163" s="264" t="str">
        <f t="shared" si="24"/>
        <v>N/A - SPPA</v>
      </c>
    </row>
    <row r="164" spans="1:52" x14ac:dyDescent="0.35">
      <c r="A164" s="251" t="str">
        <f t="shared" si="20"/>
        <v>37-C1</v>
      </c>
      <c r="B164" s="251" t="str">
        <f t="shared" si="21"/>
        <v>SPPA</v>
      </c>
      <c r="C164" s="251">
        <f>INDEX('Site Data'!$S$7:$S$13,MATCH($A164,'Site Data'!$C$7:$C$13,0))</f>
        <v>20</v>
      </c>
      <c r="D164" s="251" t="s">
        <v>189</v>
      </c>
      <c r="F164" s="262" t="s">
        <v>284</v>
      </c>
      <c r="G164" s="271">
        <f>IF($B164="SEL","N/A - SEL",INDEX('Solar-Only Proposal'!$A$32:$W$38,MATCH($A164,'Solar-Only Proposal'!$D$32:$D$38,0),MATCH($D164,'Solar-Only Proposal'!$A$31:$W$31,0)))</f>
        <v>0</v>
      </c>
      <c r="H164" s="270" t="s">
        <v>285</v>
      </c>
      <c r="N164" s="262">
        <v>15</v>
      </c>
      <c r="O164" s="293">
        <f>IF($B164="SEL","N/A - SEL",O163*(1-'System Specification'!$D$10)*IF(N164&lt;=$C164,1,0))</f>
        <v>0</v>
      </c>
      <c r="P164" s="293" t="str" cm="1">
        <f t="array" ref="P164">INDEX(PeGu!$B$24:$H$43,$S164,MATCH($A162,_xlfn.ANCHORARRAY(PeGu!$B$20),0))</f>
        <v/>
      </c>
      <c r="Q164" s="294">
        <f>IF($B164="SEL","N/A - SEL",PeGu!$E$14*POWER(1+PeGu!$E$15,$S164-1))</f>
        <v>7.5629486242755561E-2</v>
      </c>
      <c r="S164" s="262">
        <v>15</v>
      </c>
      <c r="T164" s="293">
        <f>IF($B164="SEL","N/A - SEL",T163*(1-'System Specification'!$D$10)*IF(S164&lt;=$C164,1,0))</f>
        <v>0</v>
      </c>
      <c r="U164" s="293" t="str" cm="1">
        <f t="array" ref="U164">INDEX(PeGu!$B$52:$H$71,$S164,MATCH($A162,_xlfn.ANCHORARRAY(PeGu!$B$48),0))</f>
        <v/>
      </c>
      <c r="V164" s="294">
        <f>IF($B164="SEL","N/A - SEL",PeGu!$E$14*POWER(1+PeGu!$E$15,$S164-1))</f>
        <v>7.5629486242755561E-2</v>
      </c>
      <c r="X164" s="262">
        <v>15</v>
      </c>
      <c r="Y164" s="293" t="str" cm="1">
        <f t="array" ref="Y164">IF($B164="SEL","N/A - SEL",INDEX(PeGu!$B$78:$H$97,$X164,MATCH($A162,PeGu!$B$76:$H$76,0)))</f>
        <v/>
      </c>
      <c r="Z164" s="294">
        <f>IF($B164="SEL","N/A - SEL",PeGu!$K$12*POWER(1+PeGu!$K$13,$X164-1))</f>
        <v>0</v>
      </c>
      <c r="AB164" s="263">
        <v>15</v>
      </c>
      <c r="AC164" s="264" cm="1">
        <f t="array" ref="AC164">INDEX('Contract Early Termination'!$B$14:$H$33,$AB164,MATCH($A162,_xlfn.ANCHORARRAY('Contract Early Termination'!$B$10),0))</f>
        <v>0</v>
      </c>
      <c r="AE164" s="263">
        <v>15</v>
      </c>
      <c r="AF164" s="264" cm="1">
        <f t="array" ref="AF164">INDEX('Contract Early Termination'!$B$41:$H$60,$AE164,MATCH($A162,_xlfn.ANCHORARRAY('Contract Early Termination'!$B$37),0))</f>
        <v>0</v>
      </c>
      <c r="AH164" s="263">
        <v>15</v>
      </c>
      <c r="AI164" s="264" cm="1">
        <f t="array" ref="AI164">INDEX('Contract Early Termination'!$B$68:$H$87,$AB164,MATCH($A162,_xlfn.ANCHORARRAY('Contract Early Termination'!$B$64),0))</f>
        <v>0</v>
      </c>
      <c r="AK164" s="263">
        <v>15</v>
      </c>
      <c r="AL164" s="293" t="str">
        <f>IF($B164="SPPA","N/A - SPPA",AL163*(1-'System Specification'!$D$10)*IF(AK164&lt;=$C164,1,0))</f>
        <v>N/A - SPPA</v>
      </c>
      <c r="AM164" s="293" t="str">
        <f>IF($B164="SPPA","N/A - SPPA",AM163*(1-INDEX('System Specification'!$Q$14:$Q$20,MATCH($A164,'System Specification'!$D$14:$D$20,0)))*IF(AK164&lt;=$C164,1,0))</f>
        <v>N/A - SPPA</v>
      </c>
      <c r="AN164" s="298" t="str" cm="1">
        <f t="array" ref="AN164">IF($B164="SPPA","N/A - SPPA",INDEX(PeGu!$B$78:$H$97,$AK164,MATCH($A162,PeGu!$B$76:$H$76,0)))</f>
        <v>N/A - SPPA</v>
      </c>
      <c r="AP164" s="262">
        <v>15</v>
      </c>
      <c r="AQ164" s="269" t="str">
        <f>IF($B164="SPPA","N/A - SPPA", INDEX('Microgrid Proposal'!$N$32:$N$38,MATCH($A164,'Microgrid Proposal'!$D$32:$D$38,0))*IF(AP164&lt;=$C164,1,0))</f>
        <v>N/A - SPPA</v>
      </c>
      <c r="AR164" s="264" t="str">
        <f t="shared" si="22"/>
        <v>N/A - SPPA</v>
      </c>
      <c r="AT164" s="262">
        <v>15</v>
      </c>
      <c r="AU164" s="269" t="str">
        <f>IF($B164="SPPA","N/A - SPPA", INDEX('Solar+Storage Proposal'!$N$32:$N$38,MATCH($A164,'Solar+Storage Proposal'!$D$32:$D$38,0))*IF(AT164&lt;=$C164,1,0))</f>
        <v>N/A - SPPA</v>
      </c>
      <c r="AV164" s="264" t="str">
        <f t="shared" si="23"/>
        <v>N/A - SPPA</v>
      </c>
      <c r="AX164" s="262">
        <v>15</v>
      </c>
      <c r="AY164" s="269" t="str">
        <f>IF($B164="SPPA","N/A - SPPA", INDEX('Solar-Only Proposal'!$M$32:$M$38,MATCH($A164,'Solar-Only Proposal'!$D$32:$D$38,0))*IF(AX164&lt;=$C164,1,0))</f>
        <v>N/A - SPPA</v>
      </c>
      <c r="AZ164" s="264" t="str">
        <f t="shared" si="24"/>
        <v>N/A - SPPA</v>
      </c>
    </row>
    <row r="165" spans="1:52" ht="15" thickBot="1" x14ac:dyDescent="0.4">
      <c r="A165" s="251" t="str">
        <f t="shared" si="20"/>
        <v>37-C1</v>
      </c>
      <c r="B165" s="251" t="str">
        <f t="shared" si="21"/>
        <v>SPPA</v>
      </c>
      <c r="C165" s="251">
        <f>INDEX('Site Data'!$S$7:$S$13,MATCH($A165,'Site Data'!$C$7:$C$13,0))</f>
        <v>20</v>
      </c>
      <c r="D165" s="251" t="s">
        <v>190</v>
      </c>
      <c r="F165" s="258" t="s">
        <v>284</v>
      </c>
      <c r="G165" s="272">
        <f>IF($B165="SEL","N/A - SEL",INDEX('Solar-Only Proposal'!$A$32:$W$38,MATCH($A165,'Solar-Only Proposal'!$D$32:$D$38,0),MATCH($D165,'Solar-Only Proposal'!$A$31:$W$31,0)))</f>
        <v>0</v>
      </c>
      <c r="H165" s="260" t="s">
        <v>286</v>
      </c>
      <c r="N165" s="262">
        <v>16</v>
      </c>
      <c r="O165" s="293">
        <f>IF($B165="SEL","N/A - SEL",O164*(1-'System Specification'!$D$10)*IF(N165&lt;=$C165,1,0))</f>
        <v>0</v>
      </c>
      <c r="P165" s="293" t="str" cm="1">
        <f t="array" ref="P165">INDEX(PeGu!$B$24:$H$43,$S165,MATCH($A163,_xlfn.ANCHORARRAY(PeGu!$B$20),0))</f>
        <v/>
      </c>
      <c r="Q165" s="294">
        <f>IF($B165="SEL","N/A - SEL",PeGu!$E$14*POWER(1+PeGu!$E$15,$S165-1))</f>
        <v>7.7898370830038227E-2</v>
      </c>
      <c r="S165" s="262">
        <v>16</v>
      </c>
      <c r="T165" s="293">
        <f>IF($B165="SEL","N/A - SEL",T164*(1-'System Specification'!$D$10)*IF(S165&lt;=$C165,1,0))</f>
        <v>0</v>
      </c>
      <c r="U165" s="293" t="str" cm="1">
        <f t="array" ref="U165">INDEX(PeGu!$B$52:$H$71,$S165,MATCH($A163,_xlfn.ANCHORARRAY(PeGu!$B$48),0))</f>
        <v/>
      </c>
      <c r="V165" s="294">
        <f>IF($B165="SEL","N/A - SEL",PeGu!$E$14*POWER(1+PeGu!$E$15,$S165-1))</f>
        <v>7.7898370830038227E-2</v>
      </c>
      <c r="X165" s="262">
        <v>16</v>
      </c>
      <c r="Y165" s="293" t="str" cm="1">
        <f t="array" ref="Y165">IF($B165="SEL","N/A - SEL",INDEX(PeGu!$B$78:$H$97,$X165,MATCH($A163,PeGu!$B$76:$H$76,0)))</f>
        <v/>
      </c>
      <c r="Z165" s="294">
        <f>IF($B165="SEL","N/A - SEL",PeGu!$K$12*POWER(1+PeGu!$K$13,$X165-1))</f>
        <v>0</v>
      </c>
      <c r="AB165" s="263">
        <v>16</v>
      </c>
      <c r="AC165" s="264" cm="1">
        <f t="array" ref="AC165">INDEX('Contract Early Termination'!$B$14:$H$33,$AB165,MATCH($A163,_xlfn.ANCHORARRAY('Contract Early Termination'!$B$10),0))</f>
        <v>0</v>
      </c>
      <c r="AE165" s="263">
        <v>16</v>
      </c>
      <c r="AF165" s="264" cm="1">
        <f t="array" ref="AF165">INDEX('Contract Early Termination'!$B$41:$H$60,$AE165,MATCH($A163,_xlfn.ANCHORARRAY('Contract Early Termination'!$B$37),0))</f>
        <v>0</v>
      </c>
      <c r="AH165" s="263">
        <v>16</v>
      </c>
      <c r="AI165" s="264" cm="1">
        <f t="array" ref="AI165">INDEX('Contract Early Termination'!$B$68:$H$87,$AB165,MATCH($A163,_xlfn.ANCHORARRAY('Contract Early Termination'!$B$64),0))</f>
        <v>0</v>
      </c>
      <c r="AK165" s="263">
        <v>16</v>
      </c>
      <c r="AL165" s="293" t="str">
        <f>IF($B165="SPPA","N/A - SPPA",AL164*(1-'System Specification'!$D$10)*IF(AK165&lt;=$C165,1,0))</f>
        <v>N/A - SPPA</v>
      </c>
      <c r="AM165" s="293" t="str">
        <f>IF($B165="SPPA","N/A - SPPA",AM164*(1-INDEX('System Specification'!$Q$14:$Q$20,MATCH($A165,'System Specification'!$D$14:$D$20,0)))*IF(AK165&lt;=$C165,1,0))</f>
        <v>N/A - SPPA</v>
      </c>
      <c r="AN165" s="298" t="str" cm="1">
        <f t="array" ref="AN165">IF($B165="SPPA","N/A - SPPA",INDEX(PeGu!$B$78:$H$97,$AK165,MATCH($A163,PeGu!$B$76:$H$76,0)))</f>
        <v>N/A - SPPA</v>
      </c>
      <c r="AP165" s="262">
        <v>16</v>
      </c>
      <c r="AQ165" s="269" t="str">
        <f>IF($B165="SPPA","N/A - SPPA", INDEX('Microgrid Proposal'!$N$32:$N$38,MATCH($A165,'Microgrid Proposal'!$D$32:$D$38,0))*IF(AP165&lt;=$C165,1,0))</f>
        <v>N/A - SPPA</v>
      </c>
      <c r="AR165" s="264" t="str">
        <f t="shared" si="22"/>
        <v>N/A - SPPA</v>
      </c>
      <c r="AT165" s="262">
        <v>16</v>
      </c>
      <c r="AU165" s="269" t="str">
        <f>IF($B165="SPPA","N/A - SPPA", INDEX('Solar+Storage Proposal'!$N$32:$N$38,MATCH($A165,'Solar+Storage Proposal'!$D$32:$D$38,0))*IF(AT165&lt;=$C165,1,0))</f>
        <v>N/A - SPPA</v>
      </c>
      <c r="AV165" s="264" t="str">
        <f t="shared" si="23"/>
        <v>N/A - SPPA</v>
      </c>
      <c r="AX165" s="262">
        <v>16</v>
      </c>
      <c r="AY165" s="269" t="str">
        <f>IF($B165="SPPA","N/A - SPPA", INDEX('Solar-Only Proposal'!$M$32:$M$38,MATCH($A165,'Solar-Only Proposal'!$D$32:$D$38,0))*IF(AX165&lt;=$C165,1,0))</f>
        <v>N/A - SPPA</v>
      </c>
      <c r="AZ165" s="264" t="str">
        <f t="shared" si="24"/>
        <v>N/A - SPPA</v>
      </c>
    </row>
    <row r="166" spans="1:52" ht="15" thickBot="1" x14ac:dyDescent="0.4">
      <c r="A166" s="251" t="str">
        <f t="shared" si="20"/>
        <v>37-C1</v>
      </c>
      <c r="B166" s="251" t="str">
        <f t="shared" si="21"/>
        <v>SPPA</v>
      </c>
      <c r="C166" s="251">
        <f>INDEX('Site Data'!$S$7:$S$13,MATCH($A166,'Site Data'!$C$7:$C$13,0))</f>
        <v>20</v>
      </c>
      <c r="N166" s="262">
        <v>17</v>
      </c>
      <c r="O166" s="293">
        <f>IF($B166="SEL","N/A - SEL",O165*(1-'System Specification'!$D$10)*IF(N166&lt;=$C166,1,0))</f>
        <v>0</v>
      </c>
      <c r="P166" s="293" t="str" cm="1">
        <f t="array" ref="P166">INDEX(PeGu!$B$24:$H$43,$S166,MATCH($A164,_xlfn.ANCHORARRAY(PeGu!$B$20),0))</f>
        <v/>
      </c>
      <c r="Q166" s="294">
        <f>IF($B166="SEL","N/A - SEL",PeGu!$E$14*POWER(1+PeGu!$E$15,$S166-1))</f>
        <v>8.0235321954939362E-2</v>
      </c>
      <c r="S166" s="262">
        <v>17</v>
      </c>
      <c r="T166" s="293">
        <f>IF($B166="SEL","N/A - SEL",T165*(1-'System Specification'!$D$10)*IF(S166&lt;=$C166,1,0))</f>
        <v>0</v>
      </c>
      <c r="U166" s="293" t="str" cm="1">
        <f t="array" ref="U166">INDEX(PeGu!$B$52:$H$71,$S166,MATCH($A164,_xlfn.ANCHORARRAY(PeGu!$B$48),0))</f>
        <v/>
      </c>
      <c r="V166" s="294">
        <f>IF($B166="SEL","N/A - SEL",PeGu!$E$14*POWER(1+PeGu!$E$15,$S166-1))</f>
        <v>8.0235321954939362E-2</v>
      </c>
      <c r="X166" s="262">
        <v>17</v>
      </c>
      <c r="Y166" s="293" t="str" cm="1">
        <f t="array" ref="Y166">IF($B166="SEL","N/A - SEL",INDEX(PeGu!$B$78:$H$97,$X166,MATCH($A164,PeGu!$B$76:$H$76,0)))</f>
        <v/>
      </c>
      <c r="Z166" s="294">
        <f>IF($B166="SEL","N/A - SEL",PeGu!$K$12*POWER(1+PeGu!$K$13,$X166-1))</f>
        <v>0</v>
      </c>
      <c r="AB166" s="263">
        <v>17</v>
      </c>
      <c r="AC166" s="264" cm="1">
        <f t="array" ref="AC166">INDEX('Contract Early Termination'!$B$14:$H$33,$AB166,MATCH($A164,_xlfn.ANCHORARRAY('Contract Early Termination'!$B$10),0))</f>
        <v>0</v>
      </c>
      <c r="AE166" s="263">
        <v>17</v>
      </c>
      <c r="AF166" s="264" cm="1">
        <f t="array" ref="AF166">INDEX('Contract Early Termination'!$B$41:$H$60,$AE166,MATCH($A164,_xlfn.ANCHORARRAY('Contract Early Termination'!$B$37),0))</f>
        <v>0</v>
      </c>
      <c r="AH166" s="263">
        <v>17</v>
      </c>
      <c r="AI166" s="264" cm="1">
        <f t="array" ref="AI166">INDEX('Contract Early Termination'!$B$68:$H$87,$AB166,MATCH($A164,_xlfn.ANCHORARRAY('Contract Early Termination'!$B$64),0))</f>
        <v>0</v>
      </c>
      <c r="AK166" s="263">
        <v>17</v>
      </c>
      <c r="AL166" s="293" t="str">
        <f>IF($B166="SPPA","N/A - SPPA",AL165*(1-'System Specification'!$D$10)*IF(AK166&lt;=$C166,1,0))</f>
        <v>N/A - SPPA</v>
      </c>
      <c r="AM166" s="293" t="str">
        <f>IF($B166="SPPA","N/A - SPPA",AM165*(1-INDEX('System Specification'!$Q$14:$Q$20,MATCH($A166,'System Specification'!$D$14:$D$20,0)))*IF(AK166&lt;=$C166,1,0))</f>
        <v>N/A - SPPA</v>
      </c>
      <c r="AN166" s="298" t="str" cm="1">
        <f t="array" ref="AN166">IF($B166="SPPA","N/A - SPPA",INDEX(PeGu!$B$78:$H$97,$AK166,MATCH($A164,PeGu!$B$76:$H$76,0)))</f>
        <v>N/A - SPPA</v>
      </c>
      <c r="AP166" s="262">
        <v>17</v>
      </c>
      <c r="AQ166" s="269" t="str">
        <f>IF($B166="SPPA","N/A - SPPA", INDEX('Microgrid Proposal'!$N$32:$N$38,MATCH($A166,'Microgrid Proposal'!$D$32:$D$38,0))*IF(AP166&lt;=$C166,1,0))</f>
        <v>N/A - SPPA</v>
      </c>
      <c r="AR166" s="264" t="str">
        <f t="shared" si="22"/>
        <v>N/A - SPPA</v>
      </c>
      <c r="AT166" s="262">
        <v>17</v>
      </c>
      <c r="AU166" s="269" t="str">
        <f>IF($B166="SPPA","N/A - SPPA", INDEX('Solar+Storage Proposal'!$N$32:$N$38,MATCH($A166,'Solar+Storage Proposal'!$D$32:$D$38,0))*IF(AT166&lt;=$C166,1,0))</f>
        <v>N/A - SPPA</v>
      </c>
      <c r="AV166" s="264" t="str">
        <f t="shared" si="23"/>
        <v>N/A - SPPA</v>
      </c>
      <c r="AX166" s="262">
        <v>17</v>
      </c>
      <c r="AY166" s="269" t="str">
        <f>IF($B166="SPPA","N/A - SPPA", INDEX('Solar-Only Proposal'!$M$32:$M$38,MATCH($A166,'Solar-Only Proposal'!$D$32:$D$38,0))*IF(AX166&lt;=$C166,1,0))</f>
        <v>N/A - SPPA</v>
      </c>
      <c r="AZ166" s="264" t="str">
        <f t="shared" si="24"/>
        <v>N/A - SPPA</v>
      </c>
    </row>
    <row r="167" spans="1:52" ht="15" thickBot="1" x14ac:dyDescent="0.4">
      <c r="A167" s="251" t="str">
        <f t="shared" si="20"/>
        <v>37-C1</v>
      </c>
      <c r="B167" s="251" t="str">
        <f t="shared" si="21"/>
        <v>SPPA</v>
      </c>
      <c r="C167" s="251">
        <f>INDEX('Site Data'!$S$7:$S$13,MATCH($A167,'Site Data'!$C$7:$C$13,0))</f>
        <v>20</v>
      </c>
      <c r="F167" s="502" t="s">
        <v>236</v>
      </c>
      <c r="G167" s="503"/>
      <c r="H167" s="504"/>
      <c r="J167" s="502" t="s">
        <v>237</v>
      </c>
      <c r="K167" s="503"/>
      <c r="L167" s="504"/>
      <c r="N167" s="262">
        <v>18</v>
      </c>
      <c r="O167" s="293">
        <f>IF($B167="SEL","N/A - SEL",O166*(1-'System Specification'!$D$10)*IF(N167&lt;=$C167,1,0))</f>
        <v>0</v>
      </c>
      <c r="P167" s="293" t="str" cm="1">
        <f t="array" ref="P167">INDEX(PeGu!$B$24:$H$43,$S167,MATCH($A165,_xlfn.ANCHORARRAY(PeGu!$B$20),0))</f>
        <v/>
      </c>
      <c r="Q167" s="294">
        <f>IF($B167="SEL","N/A - SEL",PeGu!$E$14*POWER(1+PeGu!$E$15,$S167-1))</f>
        <v>8.2642381613587543E-2</v>
      </c>
      <c r="S167" s="262">
        <v>18</v>
      </c>
      <c r="T167" s="293">
        <f>IF($B167="SEL","N/A - SEL",T166*(1-'System Specification'!$D$10)*IF(S167&lt;=$C167,1,0))</f>
        <v>0</v>
      </c>
      <c r="U167" s="293" t="str" cm="1">
        <f t="array" ref="U167">INDEX(PeGu!$B$52:$H$71,$S167,MATCH($A165,_xlfn.ANCHORARRAY(PeGu!$B$48),0))</f>
        <v/>
      </c>
      <c r="V167" s="294">
        <f>IF($B167="SEL","N/A - SEL",PeGu!$E$14*POWER(1+PeGu!$E$15,$S167-1))</f>
        <v>8.2642381613587543E-2</v>
      </c>
      <c r="X167" s="262">
        <v>18</v>
      </c>
      <c r="Y167" s="293" t="str" cm="1">
        <f t="array" ref="Y167">IF($B167="SEL","N/A - SEL",INDEX(PeGu!$B$78:$H$97,$X167,MATCH($A165,PeGu!$B$76:$H$76,0)))</f>
        <v/>
      </c>
      <c r="Z167" s="294">
        <f>IF($B167="SEL","N/A - SEL",PeGu!$K$12*POWER(1+PeGu!$K$13,$X167-1))</f>
        <v>0</v>
      </c>
      <c r="AB167" s="263">
        <v>18</v>
      </c>
      <c r="AC167" s="264" cm="1">
        <f t="array" ref="AC167">INDEX('Contract Early Termination'!$B$14:$H$33,$AB167,MATCH($A165,_xlfn.ANCHORARRAY('Contract Early Termination'!$B$10),0))</f>
        <v>0</v>
      </c>
      <c r="AE167" s="263">
        <v>18</v>
      </c>
      <c r="AF167" s="264" cm="1">
        <f t="array" ref="AF167">INDEX('Contract Early Termination'!$B$41:$H$60,$AE167,MATCH($A165,_xlfn.ANCHORARRAY('Contract Early Termination'!$B$37),0))</f>
        <v>0</v>
      </c>
      <c r="AH167" s="263">
        <v>18</v>
      </c>
      <c r="AI167" s="264" cm="1">
        <f t="array" ref="AI167">INDEX('Contract Early Termination'!$B$68:$H$87,$AB167,MATCH($A165,_xlfn.ANCHORARRAY('Contract Early Termination'!$B$64),0))</f>
        <v>0</v>
      </c>
      <c r="AK167" s="263">
        <v>18</v>
      </c>
      <c r="AL167" s="293" t="str">
        <f>IF($B167="SPPA","N/A - SPPA",AL166*(1-'System Specification'!$D$10)*IF(AK167&lt;=$C167,1,0))</f>
        <v>N/A - SPPA</v>
      </c>
      <c r="AM167" s="293" t="str">
        <f>IF($B167="SPPA","N/A - SPPA",AM166*(1-INDEX('System Specification'!$Q$14:$Q$20,MATCH($A167,'System Specification'!$D$14:$D$20,0)))*IF(AK167&lt;=$C167,1,0))</f>
        <v>N/A - SPPA</v>
      </c>
      <c r="AN167" s="298" t="str" cm="1">
        <f t="array" ref="AN167">IF($B167="SPPA","N/A - SPPA",INDEX(PeGu!$B$78:$H$97,$AK167,MATCH($A165,PeGu!$B$76:$H$76,0)))</f>
        <v>N/A - SPPA</v>
      </c>
      <c r="AP167" s="262">
        <v>18</v>
      </c>
      <c r="AQ167" s="269" t="str">
        <f>IF($B167="SPPA","N/A - SPPA", INDEX('Microgrid Proposal'!$N$32:$N$38,MATCH($A167,'Microgrid Proposal'!$D$32:$D$38,0))*IF(AP167&lt;=$C167,1,0))</f>
        <v>N/A - SPPA</v>
      </c>
      <c r="AR167" s="264" t="str">
        <f t="shared" si="22"/>
        <v>N/A - SPPA</v>
      </c>
      <c r="AT167" s="262">
        <v>18</v>
      </c>
      <c r="AU167" s="269" t="str">
        <f>IF($B167="SPPA","N/A - SPPA", INDEX('Solar+Storage Proposal'!$N$32:$N$38,MATCH($A167,'Solar+Storage Proposal'!$D$32:$D$38,0))*IF(AT167&lt;=$C167,1,0))</f>
        <v>N/A - SPPA</v>
      </c>
      <c r="AV167" s="264" t="str">
        <f t="shared" si="23"/>
        <v>N/A - SPPA</v>
      </c>
      <c r="AX167" s="262">
        <v>18</v>
      </c>
      <c r="AY167" s="269" t="str">
        <f>IF($B167="SPPA","N/A - SPPA", INDEX('Solar-Only Proposal'!$M$32:$M$38,MATCH($A167,'Solar-Only Proposal'!$D$32:$D$38,0))*IF(AX167&lt;=$C167,1,0))</f>
        <v>N/A - SPPA</v>
      </c>
      <c r="AZ167" s="264" t="str">
        <f t="shared" si="24"/>
        <v>N/A - SPPA</v>
      </c>
    </row>
    <row r="168" spans="1:52" ht="15" thickBot="1" x14ac:dyDescent="0.4">
      <c r="A168" s="251" t="str">
        <f t="shared" si="20"/>
        <v>37-C1</v>
      </c>
      <c r="B168" s="251" t="str">
        <f t="shared" si="21"/>
        <v>SPPA</v>
      </c>
      <c r="C168" s="251">
        <f>INDEX('Site Data'!$S$7:$S$13,MATCH($A168,'Site Data'!$C$7:$C$13,0))</f>
        <v>20</v>
      </c>
      <c r="F168" s="502" t="s">
        <v>290</v>
      </c>
      <c r="G168" s="503"/>
      <c r="H168" s="504"/>
      <c r="J168" s="502" t="s">
        <v>291</v>
      </c>
      <c r="K168" s="503"/>
      <c r="L168" s="504"/>
      <c r="N168" s="262">
        <v>19</v>
      </c>
      <c r="O168" s="293">
        <f>IF($B168="SEL","N/A - SEL",O167*(1-'System Specification'!$D$10)*IF(N168&lt;=$C168,1,0))</f>
        <v>0</v>
      </c>
      <c r="P168" s="293" t="str" cm="1">
        <f t="array" ref="P168">INDEX(PeGu!$B$24:$H$43,$S168,MATCH($A166,_xlfn.ANCHORARRAY(PeGu!$B$20),0))</f>
        <v/>
      </c>
      <c r="Q168" s="294">
        <f>IF($B168="SEL","N/A - SEL",PeGu!$E$14*POWER(1+PeGu!$E$15,$S168-1))</f>
        <v>8.5121653061995164E-2</v>
      </c>
      <c r="S168" s="262">
        <v>19</v>
      </c>
      <c r="T168" s="293">
        <f>IF($B168="SEL","N/A - SEL",T167*(1-'System Specification'!$D$10)*IF(S168&lt;=$C168,1,0))</f>
        <v>0</v>
      </c>
      <c r="U168" s="293" t="str" cm="1">
        <f t="array" ref="U168">INDEX(PeGu!$B$52:$H$71,$S168,MATCH($A166,_xlfn.ANCHORARRAY(PeGu!$B$48),0))</f>
        <v/>
      </c>
      <c r="V168" s="294">
        <f>IF($B168="SEL","N/A - SEL",PeGu!$E$14*POWER(1+PeGu!$E$15,$S168-1))</f>
        <v>8.5121653061995164E-2</v>
      </c>
      <c r="X168" s="262">
        <v>19</v>
      </c>
      <c r="Y168" s="293" t="str" cm="1">
        <f t="array" ref="Y168">IF($B168="SEL","N/A - SEL",INDEX(PeGu!$B$78:$H$97,$X168,MATCH($A166,PeGu!$B$76:$H$76,0)))</f>
        <v/>
      </c>
      <c r="Z168" s="294">
        <f>IF($B168="SEL","N/A - SEL",PeGu!$K$12*POWER(1+PeGu!$K$13,$X168-1))</f>
        <v>0</v>
      </c>
      <c r="AB168" s="263">
        <v>19</v>
      </c>
      <c r="AC168" s="264" cm="1">
        <f t="array" ref="AC168">INDEX('Contract Early Termination'!$B$14:$H$33,$AB168,MATCH($A166,_xlfn.ANCHORARRAY('Contract Early Termination'!$B$10),0))</f>
        <v>0</v>
      </c>
      <c r="AE168" s="263">
        <v>19</v>
      </c>
      <c r="AF168" s="264" cm="1">
        <f t="array" ref="AF168">INDEX('Contract Early Termination'!$B$41:$H$60,$AE168,MATCH($A166,_xlfn.ANCHORARRAY('Contract Early Termination'!$B$37),0))</f>
        <v>0</v>
      </c>
      <c r="AH168" s="263">
        <v>19</v>
      </c>
      <c r="AI168" s="264" cm="1">
        <f t="array" ref="AI168">INDEX('Contract Early Termination'!$B$68:$H$87,$AB168,MATCH($A166,_xlfn.ANCHORARRAY('Contract Early Termination'!$B$64),0))</f>
        <v>0</v>
      </c>
      <c r="AJ168" s="278"/>
      <c r="AK168" s="263">
        <v>19</v>
      </c>
      <c r="AL168" s="293" t="str">
        <f>IF($B168="SPPA","N/A - SPPA",AL167*(1-'System Specification'!$D$10)*IF(AK168&lt;=$C168,1,0))</f>
        <v>N/A - SPPA</v>
      </c>
      <c r="AM168" s="293" t="str">
        <f>IF($B168="SPPA","N/A - SPPA",AM167*(1-INDEX('System Specification'!$Q$14:$Q$20,MATCH($A168,'System Specification'!$D$14:$D$20,0)))*IF(AK168&lt;=$C168,1,0))</f>
        <v>N/A - SPPA</v>
      </c>
      <c r="AN168" s="298" t="str" cm="1">
        <f t="array" ref="AN168">IF($B168="SPPA","N/A - SPPA",INDEX(PeGu!$B$78:$H$97,$AK168,MATCH($A166,PeGu!$B$76:$H$76,0)))</f>
        <v>N/A - SPPA</v>
      </c>
      <c r="AP168" s="265">
        <v>19</v>
      </c>
      <c r="AQ168" s="269" t="str">
        <f>IF($B168="SPPA","N/A - SPPA", INDEX('Microgrid Proposal'!$N$32:$N$38,MATCH($A168,'Microgrid Proposal'!$D$32:$D$38,0))*IF(AP168&lt;=$C168,1,0))</f>
        <v>N/A - SPPA</v>
      </c>
      <c r="AR168" s="264" t="str">
        <f t="shared" si="22"/>
        <v>N/A - SPPA</v>
      </c>
      <c r="AT168" s="265">
        <v>19</v>
      </c>
      <c r="AU168" s="269" t="str">
        <f>IF($B168="SPPA","N/A - SPPA", INDEX('Solar+Storage Proposal'!$N$32:$N$38,MATCH($A168,'Solar+Storage Proposal'!$D$32:$D$38,0))*IF(AT168&lt;=$C168,1,0))</f>
        <v>N/A - SPPA</v>
      </c>
      <c r="AV168" s="264" t="str">
        <f t="shared" si="23"/>
        <v>N/A - SPPA</v>
      </c>
      <c r="AX168" s="265">
        <v>19</v>
      </c>
      <c r="AY168" s="269" t="str">
        <f>IF($B168="SPPA","N/A - SPPA", INDEX('Solar-Only Proposal'!$M$32:$M$38,MATCH($A168,'Solar-Only Proposal'!$D$32:$D$38,0))*IF(AX168&lt;=$C168,1,0))</f>
        <v>N/A - SPPA</v>
      </c>
      <c r="AZ168" s="264" t="str">
        <f t="shared" si="24"/>
        <v>N/A - SPPA</v>
      </c>
    </row>
    <row r="169" spans="1:52" ht="15" thickBot="1" x14ac:dyDescent="0.4">
      <c r="A169" s="251" t="str">
        <f t="shared" si="20"/>
        <v>37-C1</v>
      </c>
      <c r="B169" s="251" t="str">
        <f t="shared" si="21"/>
        <v>SPPA</v>
      </c>
      <c r="C169" s="251">
        <f>INDEX('Site Data'!$S$7:$S$13,MATCH($A169,'Site Data'!$C$7:$C$13,0))</f>
        <v>20</v>
      </c>
      <c r="F169" s="280" t="s">
        <v>292</v>
      </c>
      <c r="G169" s="281">
        <f>G148</f>
        <v>20</v>
      </c>
      <c r="H169" s="282" t="s">
        <v>250</v>
      </c>
      <c r="J169" s="266" t="s">
        <v>292</v>
      </c>
      <c r="K169" s="285" t="str">
        <f>K148</f>
        <v>N/A - SPPA</v>
      </c>
      <c r="L169" s="268" t="s">
        <v>250</v>
      </c>
      <c r="N169" s="258">
        <v>20</v>
      </c>
      <c r="O169" s="259">
        <f>IF($B169="SEL","N/A - SEL",O168*(1-'System Specification'!$D$10)*IF(N169&lt;=$C169,1,0))</f>
        <v>0</v>
      </c>
      <c r="P169" s="259" t="str" cm="1">
        <f t="array" ref="P169">INDEX(PeGu!$B$24:$H$43,$S169,MATCH($A167,_xlfn.ANCHORARRAY(PeGu!$B$20),0))</f>
        <v/>
      </c>
      <c r="Q169" s="295">
        <f>IF($B169="SEL","N/A - SEL",PeGu!$E$14*POWER(1+PeGu!$E$15,$S169-1))</f>
        <v>8.7675302653855022E-2</v>
      </c>
      <c r="S169" s="258">
        <v>20</v>
      </c>
      <c r="T169" s="259">
        <f>IF($B169="SEL","N/A - SEL",T168*(1-'System Specification'!$D$10)*IF(S169&lt;=$C169,1,0))</f>
        <v>0</v>
      </c>
      <c r="U169" s="259" t="str" cm="1">
        <f t="array" ref="U169">INDEX(PeGu!$B$52:$H$71,$S169,MATCH($A167,_xlfn.ANCHORARRAY(PeGu!$B$48),0))</f>
        <v/>
      </c>
      <c r="V169" s="295">
        <f>IF($B169="SEL","N/A - SEL",PeGu!$E$14*POWER(1+PeGu!$E$15,$S169-1))</f>
        <v>8.7675302653855022E-2</v>
      </c>
      <c r="X169" s="258">
        <v>20</v>
      </c>
      <c r="Y169" s="259" t="str" cm="1">
        <f t="array" ref="Y169">IF($B169="SEL","N/A - SEL",INDEX(PeGu!$B$78:$H$97,$X169,MATCH($A167,PeGu!$B$76:$H$76,0)))</f>
        <v/>
      </c>
      <c r="Z169" s="295">
        <f>IF($B169="SEL","N/A - SEL",PeGu!$K$12*POWER(1+PeGu!$K$13,$X169-1))</f>
        <v>0</v>
      </c>
      <c r="AB169" s="273">
        <v>20</v>
      </c>
      <c r="AC169" s="274" cm="1">
        <f t="array" ref="AC169">INDEX('Contract Early Termination'!$B$14:$H$33,$AB169,MATCH($A167,_xlfn.ANCHORARRAY('Contract Early Termination'!$B$10),0))</f>
        <v>0</v>
      </c>
      <c r="AD169" s="275"/>
      <c r="AE169" s="273">
        <v>20</v>
      </c>
      <c r="AF169" s="274" cm="1">
        <f t="array" ref="AF169">INDEX('Contract Early Termination'!$B$41:$H$60,$AE169,MATCH($A167,_xlfn.ANCHORARRAY('Contract Early Termination'!$B$37),0))</f>
        <v>0</v>
      </c>
      <c r="AG169" s="277"/>
      <c r="AH169" s="273">
        <v>20</v>
      </c>
      <c r="AI169" s="274" cm="1">
        <f t="array" ref="AI169">INDEX('Contract Early Termination'!$B$68:$H$87,$AB169,MATCH($A167,_xlfn.ANCHORARRAY('Contract Early Termination'!$B$64),0))</f>
        <v>0</v>
      </c>
      <c r="AJ169" s="278"/>
      <c r="AK169" s="273">
        <v>20</v>
      </c>
      <c r="AL169" s="259" t="str">
        <f>IF($B169="SPPA","N/A - SPPA",AL168*(1-'System Specification'!$D$10)*IF(AK169&lt;=$C169,1,0))</f>
        <v>N/A - SPPA</v>
      </c>
      <c r="AM169" s="259" t="str">
        <f>IF($B169="SPPA","N/A - SPPA",AM168*(1-INDEX('System Specification'!$Q$14:$Q$20,MATCH($A169,'System Specification'!$D$14:$D$20,0)))*IF(AK169&lt;=$C169,1,0))</f>
        <v>N/A - SPPA</v>
      </c>
      <c r="AN169" s="299" t="str" cm="1">
        <f t="array" ref="AN169">IF($B169="SPPA","N/A - SPPA",INDEX(PeGu!$B$78:$H$97,$AK169,MATCH($A167,PeGu!$B$76:$H$76,0)))</f>
        <v>N/A - SPPA</v>
      </c>
      <c r="AP169" s="276">
        <v>20</v>
      </c>
      <c r="AQ169" s="300" t="str">
        <f>IF($B169="SPPA","N/A - SPPA", INDEX('Microgrid Proposal'!$N$32:$N$38,MATCH($A169,'Microgrid Proposal'!$D$32:$D$38,0))*IF(AP169&lt;=$C169,1,0))</f>
        <v>N/A - SPPA</v>
      </c>
      <c r="AR169" s="274" t="str">
        <f t="shared" si="22"/>
        <v>N/A - SPPA</v>
      </c>
      <c r="AT169" s="276">
        <v>20</v>
      </c>
      <c r="AU169" s="300" t="str">
        <f>IF($B169="SPPA","N/A - SPPA", INDEX('Solar+Storage Proposal'!$N$32:$N$38,MATCH($A169,'Solar+Storage Proposal'!$D$32:$D$38,0))*IF(AT169&lt;=$C169,1,0))</f>
        <v>N/A - SPPA</v>
      </c>
      <c r="AV169" s="274" t="str">
        <f t="shared" si="23"/>
        <v>N/A - SPPA</v>
      </c>
      <c r="AX169" s="276">
        <v>20</v>
      </c>
      <c r="AY169" s="300" t="str">
        <f>IF($B169="SPPA","N/A - SPPA", INDEX('Solar-Only Proposal'!$M$32:$M$38,MATCH($A169,'Solar-Only Proposal'!$D$32:$D$38,0))*IF(AX169&lt;=$C169,1,0))</f>
        <v>N/A - SPPA</v>
      </c>
      <c r="AZ169" s="274" t="str">
        <f t="shared" si="24"/>
        <v>N/A - SPPA</v>
      </c>
    </row>
    <row r="170" spans="1:52" ht="15" thickBot="1" x14ac:dyDescent="0.4">
      <c r="A170" s="251" t="str">
        <f t="shared" si="20"/>
        <v>37-C1</v>
      </c>
      <c r="B170" s="251" t="str">
        <f t="shared" si="21"/>
        <v>SPPA</v>
      </c>
      <c r="C170" s="251">
        <f>INDEX('Site Data'!$S$7:$S$13,MATCH($A170,'Site Data'!$C$7:$C$13,0))</f>
        <v>20</v>
      </c>
      <c r="F170" s="502" t="s">
        <v>293</v>
      </c>
      <c r="G170" s="503"/>
      <c r="H170" s="504"/>
      <c r="J170" s="258" t="s">
        <v>294</v>
      </c>
      <c r="K170" s="302" t="str">
        <f>IF($B170="SPPA","N/A - SPPA",PeGu!$E$16)</f>
        <v>N/A - SPPA</v>
      </c>
      <c r="L170" s="260" t="s">
        <v>295</v>
      </c>
      <c r="T170" s="275"/>
      <c r="U170" s="275"/>
      <c r="V170" s="283"/>
      <c r="Y170" s="275"/>
      <c r="Z170" s="275"/>
      <c r="AA170" s="283"/>
      <c r="AD170" s="275"/>
      <c r="AE170" s="283"/>
      <c r="AG170" s="277"/>
      <c r="AH170" s="279"/>
      <c r="AJ170" s="278"/>
      <c r="AK170" s="279"/>
      <c r="AM170" s="278"/>
      <c r="AN170" s="279"/>
      <c r="AP170" s="278"/>
      <c r="AQ170" s="278"/>
      <c r="AR170" s="278"/>
      <c r="AT170" s="278"/>
      <c r="AU170" s="278"/>
      <c r="AV170" s="278"/>
      <c r="AX170" s="278"/>
      <c r="AY170" s="278"/>
      <c r="AZ170" s="278"/>
    </row>
    <row r="171" spans="1:52" ht="15" thickBot="1" x14ac:dyDescent="0.4">
      <c r="A171" s="251" t="str">
        <f t="shared" si="20"/>
        <v>37-C1</v>
      </c>
      <c r="B171" s="251" t="str">
        <f t="shared" si="21"/>
        <v>SPPA</v>
      </c>
      <c r="C171" s="251">
        <f>INDEX('Site Data'!$S$7:$S$13,MATCH($A171,'Site Data'!$C$7:$C$13,0))</f>
        <v>20</v>
      </c>
      <c r="F171" s="280" t="s">
        <v>296</v>
      </c>
      <c r="G171" s="284">
        <f>IF($B171="SEL","N/A - SEL",PeGu!$E$12)</f>
        <v>0</v>
      </c>
      <c r="H171" s="282" t="s">
        <v>295</v>
      </c>
      <c r="T171" s="275"/>
      <c r="U171" s="275"/>
      <c r="V171" s="283"/>
      <c r="Y171" s="275"/>
      <c r="Z171" s="275"/>
      <c r="AA171" s="283"/>
      <c r="AD171" s="275"/>
      <c r="AE171" s="283"/>
      <c r="AG171" s="277"/>
      <c r="AH171" s="279"/>
      <c r="AJ171" s="278"/>
      <c r="AK171" s="279"/>
      <c r="AM171" s="278"/>
      <c r="AN171" s="279"/>
      <c r="AP171" s="278"/>
      <c r="AQ171" s="278"/>
      <c r="AR171" s="278"/>
      <c r="AT171" s="278"/>
      <c r="AU171" s="278"/>
      <c r="AV171" s="278"/>
      <c r="AX171" s="278"/>
      <c r="AY171" s="278"/>
      <c r="AZ171" s="278"/>
    </row>
    <row r="172" spans="1:52" ht="15" thickBot="1" x14ac:dyDescent="0.4"/>
    <row r="173" spans="1:52" x14ac:dyDescent="0.35">
      <c r="F173" s="255" t="s">
        <v>9</v>
      </c>
      <c r="G173" s="522">
        <f>G140+1</f>
        <v>6</v>
      </c>
      <c r="H173" s="523"/>
    </row>
    <row r="174" spans="1:52" x14ac:dyDescent="0.35">
      <c r="F174" s="256" t="s">
        <v>10</v>
      </c>
      <c r="G174" s="524" t="str">
        <f>INDEX(Site_Data_Table,MATCH(G173,'Site Data'!$A$6:$A$13,0),MATCH(F174,Site_Data_Column_Names,0))</f>
        <v>East County Regional Center</v>
      </c>
      <c r="H174" s="525"/>
    </row>
    <row r="175" spans="1:52" x14ac:dyDescent="0.35">
      <c r="F175" s="256" t="s">
        <v>11</v>
      </c>
      <c r="G175" s="526" t="str">
        <f>INDEX(Site_Data_Table,MATCH(G173,'Site Data'!$A$6:$A$13,0),MATCH(F175,Site_Data_Column_Names,0))</f>
        <v>37-I1</v>
      </c>
      <c r="H175" s="527"/>
    </row>
    <row r="176" spans="1:52" ht="15.65" customHeight="1" thickBot="1" x14ac:dyDescent="0.4">
      <c r="F176" s="257" t="s">
        <v>26</v>
      </c>
      <c r="G176" s="531" t="str">
        <f>INDEX(Site_Data_Table,MATCH(G173,'Site Data'!$A$6:$A$13,0),MATCH(F176,Site_Data_Column_Names,0))</f>
        <v>SPPA</v>
      </c>
      <c r="H176" s="532"/>
    </row>
    <row r="178" spans="1:52" ht="15.65" customHeight="1" thickBot="1" x14ac:dyDescent="0.4">
      <c r="A178" s="301" t="s">
        <v>11</v>
      </c>
      <c r="B178" s="301" t="s">
        <v>26</v>
      </c>
      <c r="C178" s="301" t="s">
        <v>231</v>
      </c>
      <c r="D178" s="301" t="s">
        <v>232</v>
      </c>
      <c r="E178" s="301" t="s">
        <v>233</v>
      </c>
    </row>
    <row r="179" spans="1:52" ht="15" thickBot="1" x14ac:dyDescent="0.4">
      <c r="A179" s="251" t="str">
        <f>G175</f>
        <v>37-I1</v>
      </c>
      <c r="B179" s="251" t="str">
        <f>G176</f>
        <v>SPPA</v>
      </c>
      <c r="C179" s="251">
        <f>INDEX('Site Data'!$S$7:$S$13,MATCH($A179,'Site Data'!$C$7:$C$13,0))</f>
        <v>20</v>
      </c>
      <c r="F179" s="502" t="s">
        <v>234</v>
      </c>
      <c r="G179" s="503"/>
      <c r="H179" s="504"/>
      <c r="J179" s="502" t="s">
        <v>235</v>
      </c>
      <c r="K179" s="503"/>
      <c r="L179" s="504"/>
      <c r="N179" s="513" t="s">
        <v>236</v>
      </c>
      <c r="O179" s="514"/>
      <c r="P179" s="514"/>
      <c r="Q179" s="515"/>
      <c r="S179" s="528" t="s">
        <v>236</v>
      </c>
      <c r="T179" s="529"/>
      <c r="U179" s="529"/>
      <c r="V179" s="530"/>
      <c r="X179" s="516" t="s">
        <v>236</v>
      </c>
      <c r="Y179" s="517"/>
      <c r="Z179" s="518"/>
      <c r="AB179" s="513" t="str">
        <f>IF($B179="SPPA","Attachment E","Attachment N2")</f>
        <v>Attachment E</v>
      </c>
      <c r="AC179" s="515"/>
      <c r="AE179" s="513" t="str">
        <f>IF($B179="SPPA","Attachment E","Attachment N2")</f>
        <v>Attachment E</v>
      </c>
      <c r="AF179" s="515"/>
      <c r="AH179" s="513" t="str">
        <f>IF($B179="SPPA","Attachment E","Attachment N2")</f>
        <v>Attachment E</v>
      </c>
      <c r="AI179" s="515"/>
      <c r="AK179" s="519" t="s">
        <v>237</v>
      </c>
      <c r="AL179" s="520"/>
      <c r="AM179" s="520"/>
      <c r="AN179" s="521"/>
      <c r="AP179" s="541" t="s">
        <v>235</v>
      </c>
      <c r="AQ179" s="542"/>
      <c r="AR179" s="543"/>
      <c r="AT179" s="541" t="s">
        <v>235</v>
      </c>
      <c r="AU179" s="542"/>
      <c r="AV179" s="543"/>
      <c r="AX179" s="541" t="s">
        <v>235</v>
      </c>
      <c r="AY179" s="542"/>
      <c r="AZ179" s="543"/>
    </row>
    <row r="180" spans="1:52" ht="14.65" customHeight="1" thickBot="1" x14ac:dyDescent="0.4">
      <c r="A180" s="251" t="str">
        <f>A179</f>
        <v>37-I1</v>
      </c>
      <c r="B180" s="251" t="str">
        <f>B179</f>
        <v>SPPA</v>
      </c>
      <c r="C180" s="251">
        <f>INDEX('Site Data'!$S$7:$S$13,MATCH($A180,'Site Data'!$C$7:$C$13,0))</f>
        <v>20</v>
      </c>
      <c r="F180" s="505" t="s">
        <v>46</v>
      </c>
      <c r="G180" s="506"/>
      <c r="H180" s="507"/>
      <c r="J180" s="502" t="s">
        <v>238</v>
      </c>
      <c r="K180" s="503"/>
      <c r="L180" s="504"/>
      <c r="N180" s="508" t="s">
        <v>239</v>
      </c>
      <c r="O180" s="509"/>
      <c r="P180" s="509"/>
      <c r="Q180" s="510"/>
      <c r="S180" s="508" t="s">
        <v>240</v>
      </c>
      <c r="T180" s="509"/>
      <c r="U180" s="509"/>
      <c r="V180" s="510"/>
      <c r="W180" s="252"/>
      <c r="X180" s="508" t="s">
        <v>241</v>
      </c>
      <c r="Y180" s="509"/>
      <c r="Z180" s="510"/>
      <c r="AB180" s="511" t="s">
        <v>242</v>
      </c>
      <c r="AC180" s="512"/>
      <c r="AE180" s="511" t="s">
        <v>243</v>
      </c>
      <c r="AF180" s="512"/>
      <c r="AH180" s="511" t="s">
        <v>244</v>
      </c>
      <c r="AI180" s="512"/>
      <c r="AK180" s="538" t="s">
        <v>245</v>
      </c>
      <c r="AL180" s="539"/>
      <c r="AM180" s="539"/>
      <c r="AN180" s="540"/>
      <c r="AP180" s="544" t="s">
        <v>246</v>
      </c>
      <c r="AQ180" s="545"/>
      <c r="AR180" s="546"/>
      <c r="AT180" s="544" t="s">
        <v>247</v>
      </c>
      <c r="AU180" s="545"/>
      <c r="AV180" s="546"/>
      <c r="AX180" s="544" t="s">
        <v>248</v>
      </c>
      <c r="AY180" s="545"/>
      <c r="AZ180" s="546"/>
    </row>
    <row r="181" spans="1:52" ht="15" thickBot="1" x14ac:dyDescent="0.4">
      <c r="A181" s="251" t="str">
        <f t="shared" ref="A181:A204" si="25">A180</f>
        <v>37-I1</v>
      </c>
      <c r="B181" s="251" t="str">
        <f t="shared" ref="B181:B204" si="26">B180</f>
        <v>SPPA</v>
      </c>
      <c r="C181" s="251">
        <f>INDEX('Site Data'!$S$7:$S$13,MATCH($A181,'Site Data'!$C$7:$C$13,0))</f>
        <v>20</v>
      </c>
      <c r="D181" s="251" t="s">
        <v>27</v>
      </c>
      <c r="E181" s="251" t="s">
        <v>27</v>
      </c>
      <c r="F181" s="258" t="s">
        <v>249</v>
      </c>
      <c r="G181" s="259">
        <f>IF($B181="SEL","N/A - SEL",INDEX(Site_Data_Table,MATCH($A181,'Site Data'!$C$6:$C$13,0),MATCH($D181,Site_Data_Column_Names,0)))</f>
        <v>20</v>
      </c>
      <c r="H181" s="260" t="s">
        <v>250</v>
      </c>
      <c r="J181" s="266" t="s">
        <v>251</v>
      </c>
      <c r="K181" s="285" t="str">
        <f>IF($B181="SPPA","N/A - SPPA",INDEX(Site_Data_Table,MATCH($A181,'Site Data'!$C$6:$C$13,0),MATCH($E181,Site_Data_Column_Names,0)))</f>
        <v>N/A - SPPA</v>
      </c>
      <c r="L181" s="268" t="s">
        <v>250</v>
      </c>
      <c r="N181" s="535" t="s">
        <v>252</v>
      </c>
      <c r="O181" s="536"/>
      <c r="P181" s="536"/>
      <c r="Q181" s="537"/>
      <c r="S181" s="535" t="s">
        <v>252</v>
      </c>
      <c r="T181" s="536"/>
      <c r="U181" s="536"/>
      <c r="V181" s="537"/>
      <c r="X181" s="535" t="s">
        <v>253</v>
      </c>
      <c r="Y181" s="536"/>
      <c r="Z181" s="537"/>
      <c r="AB181" s="533" t="s">
        <v>254</v>
      </c>
      <c r="AC181" s="534"/>
      <c r="AE181" s="533" t="s">
        <v>254</v>
      </c>
      <c r="AF181" s="534"/>
      <c r="AH181" s="533" t="s">
        <v>254</v>
      </c>
      <c r="AI181" s="534"/>
      <c r="AK181" s="550" t="s">
        <v>255</v>
      </c>
      <c r="AL181" s="551"/>
      <c r="AM181" s="551"/>
      <c r="AN181" s="552"/>
      <c r="AP181" s="547" t="s">
        <v>256</v>
      </c>
      <c r="AQ181" s="548"/>
      <c r="AR181" s="549"/>
      <c r="AT181" s="547" t="s">
        <v>256</v>
      </c>
      <c r="AU181" s="548"/>
      <c r="AV181" s="549"/>
      <c r="AX181" s="547" t="s">
        <v>256</v>
      </c>
      <c r="AY181" s="548"/>
      <c r="AZ181" s="549"/>
    </row>
    <row r="182" spans="1:52" ht="29.5" thickBot="1" x14ac:dyDescent="0.4">
      <c r="A182" s="251" t="str">
        <f t="shared" si="25"/>
        <v>37-I1</v>
      </c>
      <c r="B182" s="251" t="str">
        <f t="shared" si="26"/>
        <v>SPPA</v>
      </c>
      <c r="C182" s="251">
        <f>INDEX('Site Data'!$S$7:$S$13,MATCH($A182,'Site Data'!$C$7:$C$13,0))</f>
        <v>20</v>
      </c>
      <c r="F182" s="505" t="s">
        <v>257</v>
      </c>
      <c r="G182" s="506"/>
      <c r="H182" s="507"/>
      <c r="J182" s="519" t="s">
        <v>258</v>
      </c>
      <c r="K182" s="520"/>
      <c r="L182" s="521"/>
      <c r="N182" s="332" t="s">
        <v>259</v>
      </c>
      <c r="O182" s="333" t="s">
        <v>260</v>
      </c>
      <c r="P182" s="333" t="s">
        <v>261</v>
      </c>
      <c r="Q182" s="334" t="s">
        <v>262</v>
      </c>
      <c r="S182" s="329" t="s">
        <v>259</v>
      </c>
      <c r="T182" s="330" t="s">
        <v>260</v>
      </c>
      <c r="U182" s="330" t="s">
        <v>261</v>
      </c>
      <c r="V182" s="331" t="s">
        <v>262</v>
      </c>
      <c r="X182" s="332" t="s">
        <v>134</v>
      </c>
      <c r="Y182" s="333" t="s">
        <v>263</v>
      </c>
      <c r="Z182" s="334" t="s">
        <v>264</v>
      </c>
      <c r="AB182" s="332" t="s">
        <v>265</v>
      </c>
      <c r="AC182" s="334" t="s">
        <v>266</v>
      </c>
      <c r="AE182" s="332" t="s">
        <v>265</v>
      </c>
      <c r="AF182" s="334" t="s">
        <v>266</v>
      </c>
      <c r="AH182" s="332" t="s">
        <v>265</v>
      </c>
      <c r="AI182" s="334" t="s">
        <v>266</v>
      </c>
      <c r="AK182" s="289" t="s">
        <v>267</v>
      </c>
      <c r="AL182" s="290" t="s">
        <v>268</v>
      </c>
      <c r="AM182" s="290" t="s">
        <v>269</v>
      </c>
      <c r="AN182" s="291" t="s">
        <v>270</v>
      </c>
      <c r="AP182" s="289" t="s">
        <v>134</v>
      </c>
      <c r="AQ182" s="290" t="s">
        <v>271</v>
      </c>
      <c r="AR182" s="291" t="s">
        <v>272</v>
      </c>
      <c r="AT182" s="289" t="s">
        <v>134</v>
      </c>
      <c r="AU182" s="290" t="s">
        <v>271</v>
      </c>
      <c r="AV182" s="291" t="s">
        <v>272</v>
      </c>
      <c r="AX182" s="289" t="s">
        <v>134</v>
      </c>
      <c r="AY182" s="290" t="s">
        <v>271</v>
      </c>
      <c r="AZ182" s="291" t="s">
        <v>272</v>
      </c>
    </row>
    <row r="183" spans="1:52" ht="15" thickBot="1" x14ac:dyDescent="0.4">
      <c r="A183" s="251" t="str">
        <f t="shared" si="25"/>
        <v>37-I1</v>
      </c>
      <c r="B183" s="251" t="str">
        <f t="shared" si="26"/>
        <v>SPPA</v>
      </c>
      <c r="C183" s="251">
        <f>INDEX('Site Data'!$S$7:$S$13,MATCH($A183,'Site Data'!$C$7:$C$13,0))</f>
        <v>20</v>
      </c>
      <c r="E183" s="251" t="s">
        <v>165</v>
      </c>
      <c r="F183" s="258" t="s">
        <v>273</v>
      </c>
      <c r="G183" s="259">
        <f>G181</f>
        <v>20</v>
      </c>
      <c r="H183" s="260" t="s">
        <v>250</v>
      </c>
      <c r="J183" s="261" t="s">
        <v>274</v>
      </c>
      <c r="K183" s="303" t="str">
        <f>IF($B183="SPPA","N/A - SPPA",INDEX('Microgrid Proposal'!$A$32:$X$38,MATCH($A183,'Microgrid Proposal'!$D$32:$D$38,0),MATCH($E183,'Microgrid Proposal'!$A$31:$X$31,0)))</f>
        <v>N/A - SPPA</v>
      </c>
      <c r="L183" s="304" t="s">
        <v>275</v>
      </c>
      <c r="N183" s="262">
        <v>1</v>
      </c>
      <c r="O183" s="293">
        <f>IF($B183="SEL","N/A - SEL",INDEX(Prod_Yr_1,MATCH($A183,'System Specification'!$D$14:$D$20,0)))</f>
        <v>0</v>
      </c>
      <c r="P183" s="293" t="str" cm="1">
        <f t="array" ref="P183">INDEX(PeGu!$B$24:$H$43,$S183,MATCH($A181,_xlfn.ANCHORARRAY(PeGu!$B$20),0))</f>
        <v/>
      </c>
      <c r="Q183" s="294">
        <f>IF($B183="SEL","N/A - SEL",PeGu!$E$14*POWER(1+PeGu!$E$15,$S183-1))</f>
        <v>0.05</v>
      </c>
      <c r="S183" s="261">
        <v>1</v>
      </c>
      <c r="T183" s="296">
        <f>IF($B181="SEL","N/A -SEL",INDEX(Prod_Yr_1_PV_Only,MATCH($A181,'System Specification'!$D$14:$D$20,0)))</f>
        <v>0</v>
      </c>
      <c r="U183" s="296" t="str" cm="1">
        <f t="array" ref="U183">INDEX(PeGu!$B$52:$H$71,$S183,MATCH($A181,_xlfn.ANCHORARRAY(PeGu!$B$48),0))</f>
        <v/>
      </c>
      <c r="V183" s="297">
        <f>IF($B183="SEL","N/A - SEL",PeGu!$E$14*POWER(1+PeGu!$E$15,$S183-1))</f>
        <v>0.05</v>
      </c>
      <c r="X183" s="262">
        <v>1</v>
      </c>
      <c r="Y183" s="293" t="str" cm="1">
        <f t="array" ref="Y183">IF($B183="SEL","N/A - SEL",INDEX(PeGu!$B$78:$H$97,$X183,MATCH($A181,PeGu!$B$76:$H$76,0)))</f>
        <v/>
      </c>
      <c r="Z183" s="294">
        <f>IF($B183="SEL","N/A - SEL",PeGu!$K$12*POWER(1+PeGu!$K$13,$X183-1))</f>
        <v>0</v>
      </c>
      <c r="AB183" s="263">
        <v>1</v>
      </c>
      <c r="AC183" s="264" cm="1">
        <f t="array" ref="AC183">INDEX('Contract Early Termination'!$B$14:$H$33,$AB183,MATCH($A181,_xlfn.ANCHORARRAY('Contract Early Termination'!$B$10),0))</f>
        <v>0</v>
      </c>
      <c r="AE183" s="263">
        <v>1</v>
      </c>
      <c r="AF183" s="264" cm="1">
        <f t="array" ref="AF183">INDEX('Contract Early Termination'!$B$41:$H$60,$AE183,MATCH($A181,_xlfn.ANCHORARRAY('Contract Early Termination'!$B$37),0))</f>
        <v>0</v>
      </c>
      <c r="AH183" s="263">
        <v>1</v>
      </c>
      <c r="AI183" s="264" cm="1">
        <f t="array" ref="AI183">INDEX('Contract Early Termination'!$B$68:$H$87,$AB183,MATCH($A181,_xlfn.ANCHORARRAY('Contract Early Termination'!$B$64),0))</f>
        <v>0</v>
      </c>
      <c r="AK183" s="263">
        <v>1</v>
      </c>
      <c r="AL183" s="293" t="str">
        <f>IF($B183="SPPA","N/A - SPPA", INDEX(Prod_Yr_1,MATCH($A181,'System Specification'!$D$14:$D$20,0)))</f>
        <v>N/A - SPPA</v>
      </c>
      <c r="AM183" s="293" t="str">
        <f>IF($B183="SPPA","N/A - SPPA", INDEX('System Specification'!$P$14:$P$20,MATCH($A181,'System Specification'!$D$14:$D$20,0)))</f>
        <v>N/A - SPPA</v>
      </c>
      <c r="AN183" s="298" t="str" cm="1">
        <f t="array" ref="AN183">IF($B183="SPPA","N/A - SPPA",INDEX(PeGu!$B$78:$H$97,$AK183,MATCH($A181,PeGu!$B$76:$H$76,0)))</f>
        <v>N/A - SPPA</v>
      </c>
      <c r="AP183" s="262">
        <v>1</v>
      </c>
      <c r="AQ183" s="269" t="str">
        <f>IF($B183="SPPA","N/A - SPPA", INDEX('Microgrid Proposal'!$N$32:$N$38,MATCH($A183,'Microgrid Proposal'!$D$32:$D$38,0))*IF(AP183&lt;=$C183,1,0))</f>
        <v>N/A - SPPA</v>
      </c>
      <c r="AR183" s="264" t="str">
        <f>IF($B183="SPPA","N/A - SPPA",AQ183*12)</f>
        <v>N/A - SPPA</v>
      </c>
      <c r="AT183" s="262">
        <v>1</v>
      </c>
      <c r="AU183" s="269" t="str">
        <f>IF($B183="SPPA","N/A - SPPA", INDEX('Solar+Storage Proposal'!$N$32:$N$38,MATCH($A183,'Solar+Storage Proposal'!$D$32:$D$38,0))*IF(AT183&lt;=$C183,1,0))</f>
        <v>N/A - SPPA</v>
      </c>
      <c r="AV183" s="264" t="str">
        <f>IF($B183="SPPA","N/A - SPPA",AU183*12)</f>
        <v>N/A - SPPA</v>
      </c>
      <c r="AX183" s="262">
        <v>1</v>
      </c>
      <c r="AY183" s="269" t="str">
        <f>IF($B183="SPPA","N/A - SPPA", INDEX('Solar-Only Proposal'!$M$32:$M$38,MATCH($A183,'Solar-Only Proposal'!$D$32:$D$38,0))*IF(AX183&lt;=$C183,1,0))</f>
        <v>N/A - SPPA</v>
      </c>
      <c r="AZ183" s="264" t="str">
        <f>IF($B183="SPPA","N/A - SPPA",AY183*12)</f>
        <v>N/A - SPPA</v>
      </c>
    </row>
    <row r="184" spans="1:52" ht="15" thickBot="1" x14ac:dyDescent="0.4">
      <c r="A184" s="251" t="str">
        <f t="shared" si="25"/>
        <v>37-I1</v>
      </c>
      <c r="B184" s="251" t="str">
        <f t="shared" si="26"/>
        <v>SPPA</v>
      </c>
      <c r="C184" s="251">
        <f>INDEX('Site Data'!$S$7:$S$13,MATCH($A184,'Site Data'!$C$7:$C$13,0))</f>
        <v>20</v>
      </c>
      <c r="E184" s="251" t="s">
        <v>192</v>
      </c>
      <c r="F184" s="502" t="s">
        <v>276</v>
      </c>
      <c r="G184" s="503"/>
      <c r="H184" s="504"/>
      <c r="J184" s="262" t="s">
        <v>277</v>
      </c>
      <c r="K184" s="269" t="str">
        <f>IF($B184="SPPA","N/A - SPPA",INDEX('Microgrid Proposal'!$A$32:$X$38,MATCH($A184,'Microgrid Proposal'!$D$32:$D$38,0),MATCH($E184,'Microgrid Proposal'!$A$31:$X$31,0)))</f>
        <v>N/A - SPPA</v>
      </c>
      <c r="L184" s="270" t="s">
        <v>278</v>
      </c>
      <c r="N184" s="262">
        <v>2</v>
      </c>
      <c r="O184" s="293">
        <f>IF($B184="SEL","N/A - SEL",O183*(1-'System Specification'!$D$10)*IF(N184&lt;=$C184,1,0))</f>
        <v>0</v>
      </c>
      <c r="P184" s="293" t="str" cm="1">
        <f t="array" ref="P184">INDEX(PeGu!$B$24:$H$43,$S184,MATCH($A182,_xlfn.ANCHORARRAY(PeGu!$B$20),0))</f>
        <v/>
      </c>
      <c r="Q184" s="294">
        <f>IF($B184="SEL","N/A - SEL",PeGu!$E$14*POWER(1+PeGu!$E$15,$S184-1))</f>
        <v>5.1500000000000004E-2</v>
      </c>
      <c r="S184" s="262">
        <v>2</v>
      </c>
      <c r="T184" s="293">
        <f>IF($B184="SEL","N/A - SEL",T183*(1-'System Specification'!$D$10)*IF(S184&lt;=$C184,1,0))</f>
        <v>0</v>
      </c>
      <c r="U184" s="293" t="str" cm="1">
        <f t="array" ref="U184">INDEX(PeGu!$B$52:$H$71,$S184,MATCH($A182,_xlfn.ANCHORARRAY(PeGu!$B$48),0))</f>
        <v/>
      </c>
      <c r="V184" s="294">
        <f>IF($B184="SEL","N/A - SEL",PeGu!$E$14*POWER(1+PeGu!$E$15,$S184-1))</f>
        <v>5.1500000000000004E-2</v>
      </c>
      <c r="X184" s="262">
        <v>2</v>
      </c>
      <c r="Y184" s="293" t="str" cm="1">
        <f t="array" ref="Y184">IF($B184="SEL","N/A - SEL",INDEX(PeGu!$B$78:$H$97,$X184,MATCH($A182,PeGu!$B$76:$H$76,0)))</f>
        <v/>
      </c>
      <c r="Z184" s="294">
        <f>IF($B184="SEL","N/A - SEL",PeGu!$K$12*POWER(1+PeGu!$K$13,$X184-1))</f>
        <v>0</v>
      </c>
      <c r="AB184" s="263">
        <v>2</v>
      </c>
      <c r="AC184" s="264" cm="1">
        <f t="array" ref="AC184">INDEX('Contract Early Termination'!$B$14:$H$33,$AB184,MATCH($A182,_xlfn.ANCHORARRAY('Contract Early Termination'!$B$10),0))</f>
        <v>0</v>
      </c>
      <c r="AE184" s="263">
        <v>2</v>
      </c>
      <c r="AF184" s="264" cm="1">
        <f t="array" ref="AF184">INDEX('Contract Early Termination'!$B$41:$H$60,$AE184,MATCH($A182,_xlfn.ANCHORARRAY('Contract Early Termination'!$B$37),0))</f>
        <v>0</v>
      </c>
      <c r="AH184" s="263">
        <v>2</v>
      </c>
      <c r="AI184" s="264" cm="1">
        <f t="array" ref="AI184">INDEX('Contract Early Termination'!$B$68:$H$87,$AB184,MATCH($A182,_xlfn.ANCHORARRAY('Contract Early Termination'!$B$64),0))</f>
        <v>0</v>
      </c>
      <c r="AK184" s="263">
        <v>2</v>
      </c>
      <c r="AL184" s="293" t="str">
        <f>IF($B184="SPPA","N/A - SPPA",AL183*(1-'System Specification'!$D$10)*IF(AK184&lt;=$C184,1,0))</f>
        <v>N/A - SPPA</v>
      </c>
      <c r="AM184" s="293" t="str">
        <f>IF($B184="SPPA","N/A - SPPA",AM183*(1-INDEX('System Specification'!$Q$14:$Q$20,MATCH($A184,'System Specification'!$D$14:$D$20,0)))*IF(AK184&lt;=$C184,1,0))</f>
        <v>N/A - SPPA</v>
      </c>
      <c r="AN184" s="298" t="str" cm="1">
        <f t="array" ref="AN184">IF($B184="SPPA","N/A - SPPA",INDEX(PeGu!$B$78:$H$97,$AK184,MATCH($A182,PeGu!$B$76:$H$76,0)))</f>
        <v>N/A - SPPA</v>
      </c>
      <c r="AP184" s="262">
        <v>2</v>
      </c>
      <c r="AQ184" s="269" t="str">
        <f>IF($B184="SPPA","N/A - SPPA", INDEX('Microgrid Proposal'!$N$32:$N$38,MATCH($A184,'Microgrid Proposal'!$D$32:$D$38,0))*IF(AP184&lt;=$C184,1,0))</f>
        <v>N/A - SPPA</v>
      </c>
      <c r="AR184" s="264" t="str">
        <f t="shared" ref="AR184:AR202" si="27">IF($B184="SPPA","N/A - SPPA",AQ184*12)</f>
        <v>N/A - SPPA</v>
      </c>
      <c r="AT184" s="262">
        <v>2</v>
      </c>
      <c r="AU184" s="269" t="str">
        <f>IF($B184="SPPA","N/A - SPPA", INDEX('Solar+Storage Proposal'!$N$32:$N$38,MATCH($A184,'Solar+Storage Proposal'!$D$32:$D$38,0))*IF(AT184&lt;=$C184,1,0))</f>
        <v>N/A - SPPA</v>
      </c>
      <c r="AV184" s="264" t="str">
        <f t="shared" ref="AV184:AV202" si="28">IF($B184="SPPA","N/A - SPPA",AU184*12)</f>
        <v>N/A - SPPA</v>
      </c>
      <c r="AX184" s="262">
        <v>2</v>
      </c>
      <c r="AY184" s="269" t="str">
        <f>IF($B184="SPPA","N/A - SPPA", INDEX('Solar-Only Proposal'!$M$32:$M$38,MATCH($A184,'Solar-Only Proposal'!$D$32:$D$38,0))*IF(AX184&lt;=$C184,1,0))</f>
        <v>N/A - SPPA</v>
      </c>
      <c r="AZ184" s="264" t="str">
        <f t="shared" ref="AZ184:AZ202" si="29">IF($B184="SPPA","N/A - SPPA",AY184*12)</f>
        <v>N/A - SPPA</v>
      </c>
    </row>
    <row r="185" spans="1:52" ht="15" thickBot="1" x14ac:dyDescent="0.4">
      <c r="A185" s="251" t="str">
        <f t="shared" si="25"/>
        <v>37-I1</v>
      </c>
      <c r="B185" s="251" t="str">
        <f t="shared" si="26"/>
        <v>SPPA</v>
      </c>
      <c r="C185" s="251">
        <f>INDEX('Site Data'!$S$7:$S$13,MATCH($A185,'Site Data'!$C$7:$C$13,0))</f>
        <v>20</v>
      </c>
      <c r="D185" s="251" t="s">
        <v>188</v>
      </c>
      <c r="E185" s="251" t="s">
        <v>193</v>
      </c>
      <c r="F185" s="266" t="s">
        <v>279</v>
      </c>
      <c r="G185" s="267">
        <f>IF($B185="SEL","N/A - SEL",INDEX('Microgrid Proposal'!$A$32:$X$38,MATCH($A185,'Microgrid Proposal'!$D$32:$D$38,0),MATCH($D185,'Microgrid Proposal'!$A$31:$X$31,0)))</f>
        <v>0</v>
      </c>
      <c r="H185" s="268" t="s">
        <v>280</v>
      </c>
      <c r="J185" s="258" t="s">
        <v>277</v>
      </c>
      <c r="K185" s="300" t="str">
        <f>IF($B185="SPPA","N/A - SPPA",INDEX('Microgrid Proposal'!$A$32:$X$38,MATCH($A185,'Microgrid Proposal'!$D$32:$D$38,0),MATCH($E185,'Microgrid Proposal'!$A$31:$X$31,0)))</f>
        <v>N/A - SPPA</v>
      </c>
      <c r="L185" s="260" t="s">
        <v>281</v>
      </c>
      <c r="N185" s="262">
        <v>3</v>
      </c>
      <c r="O185" s="293">
        <f>IF($B185="SEL","N/A - SEL",O184*(1-'System Specification'!$D$10)*IF(N185&lt;=$C185,1,0))</f>
        <v>0</v>
      </c>
      <c r="P185" s="293" t="str" cm="1">
        <f t="array" ref="P185">INDEX(PeGu!$B$24:$H$43,$S185,MATCH($A183,_xlfn.ANCHORARRAY(PeGu!$B$20),0))</f>
        <v/>
      </c>
      <c r="Q185" s="294">
        <f>IF($B185="SEL","N/A - SEL",PeGu!$E$14*POWER(1+PeGu!$E$15,$S185-1))</f>
        <v>5.3045000000000002E-2</v>
      </c>
      <c r="S185" s="262">
        <v>3</v>
      </c>
      <c r="T185" s="293">
        <f>IF($B185="SEL","N/A - SEL",T184*(1-'System Specification'!$D$10)*IF(S185&lt;=$C185,1,0))</f>
        <v>0</v>
      </c>
      <c r="U185" s="293" t="str" cm="1">
        <f t="array" ref="U185">INDEX(PeGu!$B$52:$H$71,$S185,MATCH($A183,_xlfn.ANCHORARRAY(PeGu!$B$48),0))</f>
        <v/>
      </c>
      <c r="V185" s="294">
        <f>IF($B185="SEL","N/A - SEL",PeGu!$E$14*POWER(1+PeGu!$E$15,$S185-1))</f>
        <v>5.3045000000000002E-2</v>
      </c>
      <c r="X185" s="262">
        <v>3</v>
      </c>
      <c r="Y185" s="293" t="str" cm="1">
        <f t="array" ref="Y185">IF($B185="SEL","N/A - SEL",INDEX(PeGu!$B$78:$H$97,$X185,MATCH($A183,PeGu!$B$76:$H$76,0)))</f>
        <v/>
      </c>
      <c r="Z185" s="294">
        <f>IF($B185="SEL","N/A - SEL",PeGu!$K$12*POWER(1+PeGu!$K$13,$X185-1))</f>
        <v>0</v>
      </c>
      <c r="AB185" s="263">
        <v>3</v>
      </c>
      <c r="AC185" s="264" cm="1">
        <f t="array" ref="AC185">INDEX('Contract Early Termination'!$B$14:$H$33,$AB185,MATCH($A183,_xlfn.ANCHORARRAY('Contract Early Termination'!$B$10),0))</f>
        <v>0</v>
      </c>
      <c r="AE185" s="263">
        <v>3</v>
      </c>
      <c r="AF185" s="264" cm="1">
        <f t="array" ref="AF185">INDEX('Contract Early Termination'!$B$41:$H$60,$AE185,MATCH($A183,_xlfn.ANCHORARRAY('Contract Early Termination'!$B$37),0))</f>
        <v>0</v>
      </c>
      <c r="AH185" s="263">
        <v>3</v>
      </c>
      <c r="AI185" s="264" cm="1">
        <f t="array" ref="AI185">INDEX('Contract Early Termination'!$B$68:$H$87,$AB185,MATCH($A183,_xlfn.ANCHORARRAY('Contract Early Termination'!$B$64),0))</f>
        <v>0</v>
      </c>
      <c r="AK185" s="263">
        <v>3</v>
      </c>
      <c r="AL185" s="293" t="str">
        <f>IF($B185="SPPA","N/A - SPPA",AL184*(1-'System Specification'!$D$10)*IF(AK185&lt;=$C185,1,0))</f>
        <v>N/A - SPPA</v>
      </c>
      <c r="AM185" s="293" t="str">
        <f>IF($B185="SPPA","N/A - SPPA",AM184*(1-INDEX('System Specification'!$Q$14:$Q$20,MATCH($A185,'System Specification'!$D$14:$D$20,0)))*IF(AK185&lt;=$C185,1,0))</f>
        <v>N/A - SPPA</v>
      </c>
      <c r="AN185" s="298" t="str" cm="1">
        <f t="array" ref="AN185">IF($B185="SPPA","N/A - SPPA",INDEX(PeGu!$B$78:$H$97,$AK185,MATCH($A183,PeGu!$B$76:$H$76,0)))</f>
        <v>N/A - SPPA</v>
      </c>
      <c r="AP185" s="262">
        <v>3</v>
      </c>
      <c r="AQ185" s="269" t="str">
        <f>IF($B185="SPPA","N/A - SPPA", INDEX('Microgrid Proposal'!$N$32:$N$38,MATCH($A185,'Microgrid Proposal'!$D$32:$D$38,0))*IF(AP185&lt;=$C185,1,0))</f>
        <v>N/A - SPPA</v>
      </c>
      <c r="AR185" s="264" t="str">
        <f t="shared" si="27"/>
        <v>N/A - SPPA</v>
      </c>
      <c r="AT185" s="262">
        <v>3</v>
      </c>
      <c r="AU185" s="269" t="str">
        <f>IF($B185="SPPA","N/A - SPPA", INDEX('Solar+Storage Proposal'!$N$32:$N$38,MATCH($A185,'Solar+Storage Proposal'!$D$32:$D$38,0))*IF(AT185&lt;=$C185,1,0))</f>
        <v>N/A - SPPA</v>
      </c>
      <c r="AV185" s="264" t="str">
        <f t="shared" si="28"/>
        <v>N/A - SPPA</v>
      </c>
      <c r="AX185" s="262">
        <v>3</v>
      </c>
      <c r="AY185" s="269" t="str">
        <f>IF($B185="SPPA","N/A - SPPA", INDEX('Solar-Only Proposal'!$M$32:$M$38,MATCH($A185,'Solar-Only Proposal'!$D$32:$D$38,0))*IF(AX185&lt;=$C185,1,0))</f>
        <v>N/A - SPPA</v>
      </c>
      <c r="AZ185" s="264" t="str">
        <f t="shared" si="29"/>
        <v>N/A - SPPA</v>
      </c>
    </row>
    <row r="186" spans="1:52" ht="15" thickBot="1" x14ac:dyDescent="0.4">
      <c r="A186" s="251" t="str">
        <f t="shared" si="25"/>
        <v>37-I1</v>
      </c>
      <c r="B186" s="251" t="str">
        <f t="shared" si="26"/>
        <v>SPPA</v>
      </c>
      <c r="C186" s="251">
        <f>INDEX('Site Data'!$S$7:$S$13,MATCH($A186,'Site Data'!$C$7:$C$13,0))</f>
        <v>20</v>
      </c>
      <c r="D186" s="251" t="s">
        <v>165</v>
      </c>
      <c r="F186" s="262" t="s">
        <v>282</v>
      </c>
      <c r="G186" s="269">
        <f>IF($B186="SEL","N/A - SEL",INDEX('Microgrid Proposal'!$A$32:$X$38,MATCH($A186,'Microgrid Proposal'!$D$32:$D$38,0),MATCH($D186,'Microgrid Proposal'!$A$31:$X$31,0)))</f>
        <v>0</v>
      </c>
      <c r="H186" s="270" t="s">
        <v>275</v>
      </c>
      <c r="J186" s="519" t="s">
        <v>283</v>
      </c>
      <c r="K186" s="520"/>
      <c r="L186" s="521"/>
      <c r="N186" s="262">
        <v>4</v>
      </c>
      <c r="O186" s="293">
        <f>IF($B186="SEL","N/A - SEL",O185*(1-'System Specification'!$D$10)*IF(N186&lt;=$C186,1,0))</f>
        <v>0</v>
      </c>
      <c r="P186" s="293" t="str" cm="1">
        <f t="array" ref="P186">INDEX(PeGu!$B$24:$H$43,$S186,MATCH($A184,_xlfn.ANCHORARRAY(PeGu!$B$20),0))</f>
        <v/>
      </c>
      <c r="Q186" s="294">
        <f>IF($B186="SEL","N/A - SEL",PeGu!$E$14*POWER(1+PeGu!$E$15,$S186-1))</f>
        <v>5.463635E-2</v>
      </c>
      <c r="S186" s="262">
        <v>4</v>
      </c>
      <c r="T186" s="293">
        <f>IF($B186="SEL","N/A - SEL",T185*(1-'System Specification'!$D$10)*IF(S186&lt;=$C186,1,0))</f>
        <v>0</v>
      </c>
      <c r="U186" s="293" t="str" cm="1">
        <f t="array" ref="U186">INDEX(PeGu!$B$52:$H$71,$S186,MATCH($A184,_xlfn.ANCHORARRAY(PeGu!$B$48),0))</f>
        <v/>
      </c>
      <c r="V186" s="294">
        <f>IF($B186="SEL","N/A - SEL",PeGu!$E$14*POWER(1+PeGu!$E$15,$S186-1))</f>
        <v>5.463635E-2</v>
      </c>
      <c r="X186" s="262">
        <v>4</v>
      </c>
      <c r="Y186" s="293" t="str" cm="1">
        <f t="array" ref="Y186">IF($B186="SEL","N/A - SEL",INDEX(PeGu!$B$78:$H$97,$X186,MATCH($A184,PeGu!$B$76:$H$76,0)))</f>
        <v/>
      </c>
      <c r="Z186" s="294">
        <f>IF($B186="SEL","N/A - SEL",PeGu!$K$12*POWER(1+PeGu!$K$13,$X186-1))</f>
        <v>0</v>
      </c>
      <c r="AB186" s="263">
        <v>4</v>
      </c>
      <c r="AC186" s="264" cm="1">
        <f t="array" ref="AC186">INDEX('Contract Early Termination'!$B$14:$H$33,$AB186,MATCH($A184,_xlfn.ANCHORARRAY('Contract Early Termination'!$B$10),0))</f>
        <v>0</v>
      </c>
      <c r="AE186" s="263">
        <v>4</v>
      </c>
      <c r="AF186" s="264" cm="1">
        <f t="array" ref="AF186">INDEX('Contract Early Termination'!$B$41:$H$60,$AE186,MATCH($A184,_xlfn.ANCHORARRAY('Contract Early Termination'!$B$37),0))</f>
        <v>0</v>
      </c>
      <c r="AH186" s="263">
        <v>4</v>
      </c>
      <c r="AI186" s="264" cm="1">
        <f t="array" ref="AI186">INDEX('Contract Early Termination'!$B$68:$H$87,$AB186,MATCH($A184,_xlfn.ANCHORARRAY('Contract Early Termination'!$B$64),0))</f>
        <v>0</v>
      </c>
      <c r="AK186" s="263">
        <v>4</v>
      </c>
      <c r="AL186" s="293" t="str">
        <f>IF($B186="SPPA","N/A - SPPA",AL185*(1-'System Specification'!$D$10)*IF(AK186&lt;=$C186,1,0))</f>
        <v>N/A - SPPA</v>
      </c>
      <c r="AM186" s="293" t="str">
        <f>IF($B186="SPPA","N/A - SPPA",AM185*(1-INDEX('System Specification'!$Q$14:$Q$20,MATCH($A186,'System Specification'!$D$14:$D$20,0)))*IF(AK186&lt;=$C186,1,0))</f>
        <v>N/A - SPPA</v>
      </c>
      <c r="AN186" s="298" t="str" cm="1">
        <f t="array" ref="AN186">IF($B186="SPPA","N/A - SPPA",INDEX(PeGu!$B$78:$H$97,$AK186,MATCH($A184,PeGu!$B$76:$H$76,0)))</f>
        <v>N/A - SPPA</v>
      </c>
      <c r="AP186" s="262">
        <v>4</v>
      </c>
      <c r="AQ186" s="269" t="str">
        <f>IF($B186="SPPA","N/A - SPPA", INDEX('Microgrid Proposal'!$N$32:$N$38,MATCH($A186,'Microgrid Proposal'!$D$32:$D$38,0))*IF(AP186&lt;=$C186,1,0))</f>
        <v>N/A - SPPA</v>
      </c>
      <c r="AR186" s="264" t="str">
        <f t="shared" si="27"/>
        <v>N/A - SPPA</v>
      </c>
      <c r="AT186" s="262">
        <v>4</v>
      </c>
      <c r="AU186" s="269" t="str">
        <f>IF($B186="SPPA","N/A - SPPA", INDEX('Solar+Storage Proposal'!$N$32:$N$38,MATCH($A186,'Solar+Storage Proposal'!$D$32:$D$38,0))*IF(AT186&lt;=$C186,1,0))</f>
        <v>N/A - SPPA</v>
      </c>
      <c r="AV186" s="264" t="str">
        <f t="shared" si="28"/>
        <v>N/A - SPPA</v>
      </c>
      <c r="AX186" s="262">
        <v>4</v>
      </c>
      <c r="AY186" s="269" t="str">
        <f>IF($B186="SPPA","N/A - SPPA", INDEX('Solar-Only Proposal'!$M$32:$M$38,MATCH($A186,'Solar-Only Proposal'!$D$32:$D$38,0))*IF(AX186&lt;=$C186,1,0))</f>
        <v>N/A - SPPA</v>
      </c>
      <c r="AZ186" s="264" t="str">
        <f t="shared" si="29"/>
        <v>N/A - SPPA</v>
      </c>
    </row>
    <row r="187" spans="1:52" x14ac:dyDescent="0.35">
      <c r="A187" s="251" t="str">
        <f t="shared" si="25"/>
        <v>37-I1</v>
      </c>
      <c r="B187" s="251" t="str">
        <f t="shared" si="26"/>
        <v>SPPA</v>
      </c>
      <c r="C187" s="251">
        <f>INDEX('Site Data'!$S$7:$S$13,MATCH($A187,'Site Data'!$C$7:$C$13,0))</f>
        <v>20</v>
      </c>
      <c r="D187" s="251" t="s">
        <v>189</v>
      </c>
      <c r="E187" s="251" t="s">
        <v>165</v>
      </c>
      <c r="F187" s="262" t="s">
        <v>284</v>
      </c>
      <c r="G187" s="271">
        <f>IF($B187="SEL","N/A - SEL",INDEX('Microgrid Proposal'!$A$32:$X$38,MATCH($A187,'Microgrid Proposal'!$D$32:$D$38,0),MATCH($D187,'Microgrid Proposal'!$A$31:$X$31,0)))</f>
        <v>0</v>
      </c>
      <c r="H187" s="270" t="s">
        <v>285</v>
      </c>
      <c r="J187" s="261" t="s">
        <v>274</v>
      </c>
      <c r="K187" s="303" t="str">
        <f>IF($B187="SPPA","N/A - SPPA",INDEX('Solar+Storage Proposal'!$A$32:$X$38,MATCH($A187,'Solar+Storage Proposal'!$D$32:$D$38,0),MATCH($E187,'Solar+Storage Proposal'!$A$31:$X$31,0)))</f>
        <v>N/A - SPPA</v>
      </c>
      <c r="L187" s="304" t="s">
        <v>275</v>
      </c>
      <c r="N187" s="262">
        <v>5</v>
      </c>
      <c r="O187" s="293">
        <f>IF($B187="SEL","N/A - SEL",O186*(1-'System Specification'!$D$10)*IF(N187&lt;=$C187,1,0))</f>
        <v>0</v>
      </c>
      <c r="P187" s="293" t="str" cm="1">
        <f t="array" ref="P187">INDEX(PeGu!$B$24:$H$43,$S187,MATCH($A185,_xlfn.ANCHORARRAY(PeGu!$B$20),0))</f>
        <v/>
      </c>
      <c r="Q187" s="294">
        <f>IF($B187="SEL","N/A - SEL",PeGu!$E$14*POWER(1+PeGu!$E$15,$S187-1))</f>
        <v>5.6275440499999996E-2</v>
      </c>
      <c r="S187" s="262">
        <v>5</v>
      </c>
      <c r="T187" s="293">
        <f>IF($B187="SEL","N/A - SEL",T186*(1-'System Specification'!$D$10)*IF(S187&lt;=$C187,1,0))</f>
        <v>0</v>
      </c>
      <c r="U187" s="293" t="str" cm="1">
        <f t="array" ref="U187">INDEX(PeGu!$B$52:$H$71,$S187,MATCH($A185,_xlfn.ANCHORARRAY(PeGu!$B$48),0))</f>
        <v/>
      </c>
      <c r="V187" s="294">
        <f>IF($B187="SEL","N/A - SEL",PeGu!$E$14*POWER(1+PeGu!$E$15,$S187-1))</f>
        <v>5.6275440499999996E-2</v>
      </c>
      <c r="X187" s="262">
        <v>5</v>
      </c>
      <c r="Y187" s="293" t="str" cm="1">
        <f t="array" ref="Y187">IF($B187="SEL","N/A - SEL",INDEX(PeGu!$B$78:$H$97,$X187,MATCH($A185,PeGu!$B$76:$H$76,0)))</f>
        <v/>
      </c>
      <c r="Z187" s="294">
        <f>IF($B187="SEL","N/A - SEL",PeGu!$K$12*POWER(1+PeGu!$K$13,$X187-1))</f>
        <v>0</v>
      </c>
      <c r="AB187" s="263">
        <v>5</v>
      </c>
      <c r="AC187" s="264" cm="1">
        <f t="array" ref="AC187">INDEX('Contract Early Termination'!$B$14:$H$33,$AB187,MATCH($A185,_xlfn.ANCHORARRAY('Contract Early Termination'!$B$10),0))</f>
        <v>0</v>
      </c>
      <c r="AE187" s="263">
        <v>5</v>
      </c>
      <c r="AF187" s="264" cm="1">
        <f t="array" ref="AF187">INDEX('Contract Early Termination'!$B$41:$H$60,$AE187,MATCH($A185,_xlfn.ANCHORARRAY('Contract Early Termination'!$B$37),0))</f>
        <v>0</v>
      </c>
      <c r="AH187" s="263">
        <v>5</v>
      </c>
      <c r="AI187" s="264" cm="1">
        <f t="array" ref="AI187">INDEX('Contract Early Termination'!$B$68:$H$87,$AB187,MATCH($A185,_xlfn.ANCHORARRAY('Contract Early Termination'!$B$64),0))</f>
        <v>0</v>
      </c>
      <c r="AK187" s="263">
        <v>5</v>
      </c>
      <c r="AL187" s="293" t="str">
        <f>IF($B187="SPPA","N/A - SPPA",AL186*(1-'System Specification'!$D$10)*IF(AK187&lt;=$C187,1,0))</f>
        <v>N/A - SPPA</v>
      </c>
      <c r="AM187" s="293" t="str">
        <f>IF($B187="SPPA","N/A - SPPA",AM186*(1-INDEX('System Specification'!$Q$14:$Q$20,MATCH($A187,'System Specification'!$D$14:$D$20,0)))*IF(AK187&lt;=$C187,1,0))</f>
        <v>N/A - SPPA</v>
      </c>
      <c r="AN187" s="298" t="str" cm="1">
        <f t="array" ref="AN187">IF($B187="SPPA","N/A - SPPA",INDEX(PeGu!$B$78:$H$97,$AK187,MATCH($A185,PeGu!$B$76:$H$76,0)))</f>
        <v>N/A - SPPA</v>
      </c>
      <c r="AP187" s="262">
        <v>5</v>
      </c>
      <c r="AQ187" s="269" t="str">
        <f>IF($B187="SPPA","N/A - SPPA", INDEX('Microgrid Proposal'!$N$32:$N$38,MATCH($A187,'Microgrid Proposal'!$D$32:$D$38,0))*IF(AP187&lt;=$C187,1,0))</f>
        <v>N/A - SPPA</v>
      </c>
      <c r="AR187" s="264" t="str">
        <f t="shared" si="27"/>
        <v>N/A - SPPA</v>
      </c>
      <c r="AT187" s="262">
        <v>5</v>
      </c>
      <c r="AU187" s="269" t="str">
        <f>IF($B187="SPPA","N/A - SPPA", INDEX('Solar+Storage Proposal'!$N$32:$N$38,MATCH($A187,'Solar+Storage Proposal'!$D$32:$D$38,0))*IF(AT187&lt;=$C187,1,0))</f>
        <v>N/A - SPPA</v>
      </c>
      <c r="AV187" s="264" t="str">
        <f t="shared" si="28"/>
        <v>N/A - SPPA</v>
      </c>
      <c r="AX187" s="262">
        <v>5</v>
      </c>
      <c r="AY187" s="269" t="str">
        <f>IF($B187="SPPA","N/A - SPPA", INDEX('Solar-Only Proposal'!$M$32:$M$38,MATCH($A187,'Solar-Only Proposal'!$D$32:$D$38,0))*IF(AX187&lt;=$C187,1,0))</f>
        <v>N/A - SPPA</v>
      </c>
      <c r="AZ187" s="264" t="str">
        <f t="shared" si="29"/>
        <v>N/A - SPPA</v>
      </c>
    </row>
    <row r="188" spans="1:52" ht="15" thickBot="1" x14ac:dyDescent="0.4">
      <c r="A188" s="251" t="str">
        <f t="shared" si="25"/>
        <v>37-I1</v>
      </c>
      <c r="B188" s="251" t="str">
        <f t="shared" si="26"/>
        <v>SPPA</v>
      </c>
      <c r="C188" s="251">
        <f>INDEX('Site Data'!$S$7:$S$13,MATCH($A188,'Site Data'!$C$7:$C$13,0))</f>
        <v>20</v>
      </c>
      <c r="D188" s="251" t="s">
        <v>190</v>
      </c>
      <c r="E188" s="251" t="s">
        <v>192</v>
      </c>
      <c r="F188" s="258" t="s">
        <v>284</v>
      </c>
      <c r="G188" s="272">
        <f>IF($B188="SEL","N/A - SEL",INDEX('Microgrid Proposal'!$A$32:$X$38,MATCH($A188,'Microgrid Proposal'!$D$32:$D$38,0),MATCH($D188,'Microgrid Proposal'!$A$31:$X$31,0)))</f>
        <v>0</v>
      </c>
      <c r="H188" s="260" t="s">
        <v>286</v>
      </c>
      <c r="J188" s="262" t="s">
        <v>277</v>
      </c>
      <c r="K188" s="269" t="str">
        <f>IF($B188="SPPA","N/A - SPPA",INDEX('Solar+Storage Proposal'!$A$32:$X$38,MATCH($A188,'Solar+Storage Proposal'!$D$32:$D$38,0),MATCH($E188,'Solar+Storage Proposal'!$A$31:$X$31,0)))</f>
        <v>N/A - SPPA</v>
      </c>
      <c r="L188" s="270" t="s">
        <v>278</v>
      </c>
      <c r="N188" s="262">
        <v>6</v>
      </c>
      <c r="O188" s="293">
        <f>IF($B188="SEL","N/A - SEL",O187*(1-'System Specification'!$D$10)*IF(N188&lt;=$C188,1,0))</f>
        <v>0</v>
      </c>
      <c r="P188" s="293" t="str" cm="1">
        <f t="array" ref="P188">INDEX(PeGu!$B$24:$H$43,$S188,MATCH($A186,_xlfn.ANCHORARRAY(PeGu!$B$20),0))</f>
        <v/>
      </c>
      <c r="Q188" s="294">
        <f>IF($B188="SEL","N/A - SEL",PeGu!$E$14*POWER(1+PeGu!$E$15,$S188-1))</f>
        <v>5.7963703714999995E-2</v>
      </c>
      <c r="S188" s="262">
        <v>6</v>
      </c>
      <c r="T188" s="293">
        <f>IF($B188="SEL","N/A - SEL",T187*(1-'System Specification'!$D$10)*IF(S188&lt;=$C188,1,0))</f>
        <v>0</v>
      </c>
      <c r="U188" s="293" t="str" cm="1">
        <f t="array" ref="U188">INDEX(PeGu!$B$52:$H$71,$S188,MATCH($A186,_xlfn.ANCHORARRAY(PeGu!$B$48),0))</f>
        <v/>
      </c>
      <c r="V188" s="294">
        <f>IF($B188="SEL","N/A - SEL",PeGu!$E$14*POWER(1+PeGu!$E$15,$S188-1))</f>
        <v>5.7963703714999995E-2</v>
      </c>
      <c r="X188" s="262">
        <v>6</v>
      </c>
      <c r="Y188" s="293" t="str" cm="1">
        <f t="array" ref="Y188">IF($B188="SEL","N/A - SEL",INDEX(PeGu!$B$78:$H$97,$X188,MATCH($A186,PeGu!$B$76:$H$76,0)))</f>
        <v/>
      </c>
      <c r="Z188" s="294">
        <f>IF($B188="SEL","N/A - SEL",PeGu!$K$12*POWER(1+PeGu!$K$13,$X188-1))</f>
        <v>0</v>
      </c>
      <c r="AB188" s="263">
        <v>6</v>
      </c>
      <c r="AC188" s="264" cm="1">
        <f t="array" ref="AC188">INDEX('Contract Early Termination'!$B$14:$H$33,$AB188,MATCH($A186,_xlfn.ANCHORARRAY('Contract Early Termination'!$B$10),0))</f>
        <v>0</v>
      </c>
      <c r="AE188" s="263">
        <v>6</v>
      </c>
      <c r="AF188" s="264" cm="1">
        <f t="array" ref="AF188">INDEX('Contract Early Termination'!$B$41:$H$60,$AE188,MATCH($A186,_xlfn.ANCHORARRAY('Contract Early Termination'!$B$37),0))</f>
        <v>0</v>
      </c>
      <c r="AH188" s="263">
        <v>6</v>
      </c>
      <c r="AI188" s="264" cm="1">
        <f t="array" ref="AI188">INDEX('Contract Early Termination'!$B$68:$H$87,$AB188,MATCH($A186,_xlfn.ANCHORARRAY('Contract Early Termination'!$B$64),0))</f>
        <v>0</v>
      </c>
      <c r="AK188" s="263">
        <v>6</v>
      </c>
      <c r="AL188" s="293" t="str">
        <f>IF($B188="SPPA","N/A - SPPA",AL187*(1-'System Specification'!$D$10)*IF(AK188&lt;=$C188,1,0))</f>
        <v>N/A - SPPA</v>
      </c>
      <c r="AM188" s="293" t="str">
        <f>IF($B188="SPPA","N/A - SPPA",AM187*(1-INDEX('System Specification'!$Q$14:$Q$20,MATCH($A188,'System Specification'!$D$14:$D$20,0)))*IF(AK188&lt;=$C188,1,0))</f>
        <v>N/A - SPPA</v>
      </c>
      <c r="AN188" s="298" t="str" cm="1">
        <f t="array" ref="AN188">IF($B188="SPPA","N/A - SPPA",INDEX(PeGu!$B$78:$H$97,$AK188,MATCH($A186,PeGu!$B$76:$H$76,0)))</f>
        <v>N/A - SPPA</v>
      </c>
      <c r="AP188" s="262">
        <v>6</v>
      </c>
      <c r="AQ188" s="269" t="str">
        <f>IF($B188="SPPA","N/A - SPPA", INDEX('Microgrid Proposal'!$N$32:$N$38,MATCH($A188,'Microgrid Proposal'!$D$32:$D$38,0))*IF(AP188&lt;=$C188,1,0))</f>
        <v>N/A - SPPA</v>
      </c>
      <c r="AR188" s="264" t="str">
        <f t="shared" si="27"/>
        <v>N/A - SPPA</v>
      </c>
      <c r="AT188" s="262">
        <v>6</v>
      </c>
      <c r="AU188" s="269" t="str">
        <f>IF($B188="SPPA","N/A - SPPA", INDEX('Solar+Storage Proposal'!$N$32:$N$38,MATCH($A188,'Solar+Storage Proposal'!$D$32:$D$38,0))*IF(AT188&lt;=$C188,1,0))</f>
        <v>N/A - SPPA</v>
      </c>
      <c r="AV188" s="264" t="str">
        <f t="shared" si="28"/>
        <v>N/A - SPPA</v>
      </c>
      <c r="AX188" s="262">
        <v>6</v>
      </c>
      <c r="AY188" s="269" t="str">
        <f>IF($B188="SPPA","N/A - SPPA", INDEX('Solar-Only Proposal'!$M$32:$M$38,MATCH($A188,'Solar-Only Proposal'!$D$32:$D$38,0))*IF(AX188&lt;=$C188,1,0))</f>
        <v>N/A - SPPA</v>
      </c>
      <c r="AZ188" s="264" t="str">
        <f t="shared" si="29"/>
        <v>N/A - SPPA</v>
      </c>
    </row>
    <row r="189" spans="1:52" ht="15" thickBot="1" x14ac:dyDescent="0.4">
      <c r="A189" s="251" t="str">
        <f t="shared" si="25"/>
        <v>37-I1</v>
      </c>
      <c r="B189" s="251" t="str">
        <f t="shared" si="26"/>
        <v>SPPA</v>
      </c>
      <c r="C189" s="251">
        <f>INDEX('Site Data'!$S$7:$S$13,MATCH($A189,'Site Data'!$C$7:$C$13,0))</f>
        <v>20</v>
      </c>
      <c r="E189" s="251" t="s">
        <v>193</v>
      </c>
      <c r="F189" s="538" t="s">
        <v>287</v>
      </c>
      <c r="G189" s="539"/>
      <c r="H189" s="540"/>
      <c r="J189" s="258" t="s">
        <v>277</v>
      </c>
      <c r="K189" s="300" t="str">
        <f>IF($B189="SPPA","N/A - SPPA",INDEX('Solar+Storage Proposal'!$A$32:$X$38,MATCH($A189,'Solar+Storage Proposal'!$D$32:$D$38,0),MATCH($E189,'Solar+Storage Proposal'!$A$31:$X$31,0)))</f>
        <v>N/A - SPPA</v>
      </c>
      <c r="L189" s="260" t="s">
        <v>281</v>
      </c>
      <c r="N189" s="262">
        <v>7</v>
      </c>
      <c r="O189" s="293">
        <f>IF($B189="SEL","N/A - SEL",O188*(1-'System Specification'!$D$10)*IF(N189&lt;=$C189,1,0))</f>
        <v>0</v>
      </c>
      <c r="P189" s="293" t="str" cm="1">
        <f t="array" ref="P189">INDEX(PeGu!$B$24:$H$43,$S189,MATCH($A187,_xlfn.ANCHORARRAY(PeGu!$B$20),0))</f>
        <v/>
      </c>
      <c r="Q189" s="294">
        <f>IF($B189="SEL","N/A - SEL",PeGu!$E$14*POWER(1+PeGu!$E$15,$S189-1))</f>
        <v>5.970261482645E-2</v>
      </c>
      <c r="S189" s="262">
        <v>7</v>
      </c>
      <c r="T189" s="293">
        <f>IF($B189="SEL","N/A - SEL",T188*(1-'System Specification'!$D$10)*IF(S189&lt;=$C189,1,0))</f>
        <v>0</v>
      </c>
      <c r="U189" s="293" t="str" cm="1">
        <f t="array" ref="U189">INDEX(PeGu!$B$52:$H$71,$S189,MATCH($A187,_xlfn.ANCHORARRAY(PeGu!$B$48),0))</f>
        <v/>
      </c>
      <c r="V189" s="294">
        <f>IF($B189="SEL","N/A - SEL",PeGu!$E$14*POWER(1+PeGu!$E$15,$S189-1))</f>
        <v>5.970261482645E-2</v>
      </c>
      <c r="X189" s="262">
        <v>7</v>
      </c>
      <c r="Y189" s="293" t="str" cm="1">
        <f t="array" ref="Y189">IF($B189="SEL","N/A - SEL",INDEX(PeGu!$B$78:$H$97,$X189,MATCH($A187,PeGu!$B$76:$H$76,0)))</f>
        <v/>
      </c>
      <c r="Z189" s="294">
        <f>IF($B189="SEL","N/A - SEL",PeGu!$K$12*POWER(1+PeGu!$K$13,$X189-1))</f>
        <v>0</v>
      </c>
      <c r="AB189" s="263">
        <v>7</v>
      </c>
      <c r="AC189" s="264" cm="1">
        <f t="array" ref="AC189">INDEX('Contract Early Termination'!$B$14:$H$33,$AB189,MATCH($A187,_xlfn.ANCHORARRAY('Contract Early Termination'!$B$10),0))</f>
        <v>0</v>
      </c>
      <c r="AE189" s="263">
        <v>7</v>
      </c>
      <c r="AF189" s="264" cm="1">
        <f t="array" ref="AF189">INDEX('Contract Early Termination'!$B$41:$H$60,$AE189,MATCH($A187,_xlfn.ANCHORARRAY('Contract Early Termination'!$B$37),0))</f>
        <v>0</v>
      </c>
      <c r="AH189" s="263">
        <v>7</v>
      </c>
      <c r="AI189" s="264" cm="1">
        <f t="array" ref="AI189">INDEX('Contract Early Termination'!$B$68:$H$87,$AB189,MATCH($A187,_xlfn.ANCHORARRAY('Contract Early Termination'!$B$64),0))</f>
        <v>0</v>
      </c>
      <c r="AK189" s="263">
        <v>7</v>
      </c>
      <c r="AL189" s="293" t="str">
        <f>IF($B189="SPPA","N/A - SPPA",AL188*(1-'System Specification'!$D$10)*IF(AK189&lt;=$C189,1,0))</f>
        <v>N/A - SPPA</v>
      </c>
      <c r="AM189" s="293" t="str">
        <f>IF($B189="SPPA","N/A - SPPA",AM188*(1-INDEX('System Specification'!$Q$14:$Q$20,MATCH($A189,'System Specification'!$D$14:$D$20,0)))*IF(AK189&lt;=$C189,1,0))</f>
        <v>N/A - SPPA</v>
      </c>
      <c r="AN189" s="298" t="str" cm="1">
        <f t="array" ref="AN189">IF($B189="SPPA","N/A - SPPA",INDEX(PeGu!$B$78:$H$97,$AK189,MATCH($A187,PeGu!$B$76:$H$76,0)))</f>
        <v>N/A - SPPA</v>
      </c>
      <c r="AP189" s="262">
        <v>7</v>
      </c>
      <c r="AQ189" s="269" t="str">
        <f>IF($B189="SPPA","N/A - SPPA", INDEX('Microgrid Proposal'!$N$32:$N$38,MATCH($A189,'Microgrid Proposal'!$D$32:$D$38,0))*IF(AP189&lt;=$C189,1,0))</f>
        <v>N/A - SPPA</v>
      </c>
      <c r="AR189" s="264" t="str">
        <f t="shared" si="27"/>
        <v>N/A - SPPA</v>
      </c>
      <c r="AT189" s="262">
        <v>7</v>
      </c>
      <c r="AU189" s="269" t="str">
        <f>IF($B189="SPPA","N/A - SPPA", INDEX('Solar+Storage Proposal'!$N$32:$N$38,MATCH($A189,'Solar+Storage Proposal'!$D$32:$D$38,0))*IF(AT189&lt;=$C189,1,0))</f>
        <v>N/A - SPPA</v>
      </c>
      <c r="AV189" s="264" t="str">
        <f t="shared" si="28"/>
        <v>N/A - SPPA</v>
      </c>
      <c r="AX189" s="262">
        <v>7</v>
      </c>
      <c r="AY189" s="269" t="str">
        <f>IF($B189="SPPA","N/A - SPPA", INDEX('Solar-Only Proposal'!$M$32:$M$38,MATCH($A189,'Solar-Only Proposal'!$D$32:$D$38,0))*IF(AX189&lt;=$C189,1,0))</f>
        <v>N/A - SPPA</v>
      </c>
      <c r="AZ189" s="264" t="str">
        <f t="shared" si="29"/>
        <v>N/A - SPPA</v>
      </c>
    </row>
    <row r="190" spans="1:52" ht="15" thickBot="1" x14ac:dyDescent="0.4">
      <c r="A190" s="251" t="str">
        <f t="shared" si="25"/>
        <v>37-I1</v>
      </c>
      <c r="B190" s="251" t="str">
        <f t="shared" si="26"/>
        <v>SPPA</v>
      </c>
      <c r="C190" s="251">
        <f>INDEX('Site Data'!$S$7:$S$13,MATCH($A190,'Site Data'!$C$7:$C$13,0))</f>
        <v>20</v>
      </c>
      <c r="D190" s="251" t="s">
        <v>188</v>
      </c>
      <c r="F190" s="266" t="s">
        <v>279</v>
      </c>
      <c r="G190" s="267">
        <f>IF($B190="SEL","N/A - SEL",INDEX('Solar+Storage Proposal'!$A$32:$X$38,MATCH($A190,'Solar+Storage Proposal'!$D$32:$D$38,0),MATCH($D190,'Solar+Storage Proposal'!$A$31:$X$31,0)))</f>
        <v>0</v>
      </c>
      <c r="H190" s="268" t="s">
        <v>280</v>
      </c>
      <c r="J190" s="519" t="s">
        <v>288</v>
      </c>
      <c r="K190" s="520"/>
      <c r="L190" s="521"/>
      <c r="N190" s="262">
        <v>8</v>
      </c>
      <c r="O190" s="293">
        <f>IF($B190="SEL","N/A - SEL",O189*(1-'System Specification'!$D$10)*IF(N190&lt;=$C190,1,0))</f>
        <v>0</v>
      </c>
      <c r="P190" s="293" t="str" cm="1">
        <f t="array" ref="P190">INDEX(PeGu!$B$24:$H$43,$S190,MATCH($A188,_xlfn.ANCHORARRAY(PeGu!$B$20),0))</f>
        <v/>
      </c>
      <c r="Q190" s="294">
        <f>IF($B190="SEL","N/A - SEL",PeGu!$E$14*POWER(1+PeGu!$E$15,$S190-1))</f>
        <v>6.1493693271243502E-2</v>
      </c>
      <c r="S190" s="262">
        <v>8</v>
      </c>
      <c r="T190" s="293">
        <f>IF($B190="SEL","N/A - SEL",T189*(1-'System Specification'!$D$10)*IF(S190&lt;=$C190,1,0))</f>
        <v>0</v>
      </c>
      <c r="U190" s="293" t="str" cm="1">
        <f t="array" ref="U190">INDEX(PeGu!$B$52:$H$71,$S190,MATCH($A188,_xlfn.ANCHORARRAY(PeGu!$B$48),0))</f>
        <v/>
      </c>
      <c r="V190" s="294">
        <f>IF($B190="SEL","N/A - SEL",PeGu!$E$14*POWER(1+PeGu!$E$15,$S190-1))</f>
        <v>6.1493693271243502E-2</v>
      </c>
      <c r="X190" s="262">
        <v>8</v>
      </c>
      <c r="Y190" s="293" t="str" cm="1">
        <f t="array" ref="Y190">IF($B190="SEL","N/A - SEL",INDEX(PeGu!$B$78:$H$97,$X190,MATCH($A188,PeGu!$B$76:$H$76,0)))</f>
        <v/>
      </c>
      <c r="Z190" s="294">
        <f>IF($B190="SEL","N/A - SEL",PeGu!$K$12*POWER(1+PeGu!$K$13,$X190-1))</f>
        <v>0</v>
      </c>
      <c r="AB190" s="263">
        <v>8</v>
      </c>
      <c r="AC190" s="264" cm="1">
        <f t="array" ref="AC190">INDEX('Contract Early Termination'!$B$14:$H$33,$AB190,MATCH($A188,_xlfn.ANCHORARRAY('Contract Early Termination'!$B$10),0))</f>
        <v>0</v>
      </c>
      <c r="AE190" s="263">
        <v>8</v>
      </c>
      <c r="AF190" s="264" cm="1">
        <f t="array" ref="AF190">INDEX('Contract Early Termination'!$B$41:$H$60,$AE190,MATCH($A188,_xlfn.ANCHORARRAY('Contract Early Termination'!$B$37),0))</f>
        <v>0</v>
      </c>
      <c r="AH190" s="263">
        <v>8</v>
      </c>
      <c r="AI190" s="264" cm="1">
        <f t="array" ref="AI190">INDEX('Contract Early Termination'!$B$68:$H$87,$AB190,MATCH($A188,_xlfn.ANCHORARRAY('Contract Early Termination'!$B$64),0))</f>
        <v>0</v>
      </c>
      <c r="AK190" s="263">
        <v>8</v>
      </c>
      <c r="AL190" s="293" t="str">
        <f>IF($B190="SPPA","N/A - SPPA",AL189*(1-'System Specification'!$D$10)*IF(AK190&lt;=$C190,1,0))</f>
        <v>N/A - SPPA</v>
      </c>
      <c r="AM190" s="293" t="str">
        <f>IF($B190="SPPA","N/A - SPPA",AM189*(1-INDEX('System Specification'!$Q$14:$Q$20,MATCH($A190,'System Specification'!$D$14:$D$20,0)))*IF(AK190&lt;=$C190,1,0))</f>
        <v>N/A - SPPA</v>
      </c>
      <c r="AN190" s="298" t="str" cm="1">
        <f t="array" ref="AN190">IF($B190="SPPA","N/A - SPPA",INDEX(PeGu!$B$78:$H$97,$AK190,MATCH($A188,PeGu!$B$76:$H$76,0)))</f>
        <v>N/A - SPPA</v>
      </c>
      <c r="AP190" s="262">
        <v>8</v>
      </c>
      <c r="AQ190" s="269" t="str">
        <f>IF($B190="SPPA","N/A - SPPA", INDEX('Microgrid Proposal'!$N$32:$N$38,MATCH($A190,'Microgrid Proposal'!$D$32:$D$38,0))*IF(AP190&lt;=$C190,1,0))</f>
        <v>N/A - SPPA</v>
      </c>
      <c r="AR190" s="264" t="str">
        <f t="shared" si="27"/>
        <v>N/A - SPPA</v>
      </c>
      <c r="AT190" s="262">
        <v>8</v>
      </c>
      <c r="AU190" s="269" t="str">
        <f>IF($B190="SPPA","N/A - SPPA", INDEX('Solar+Storage Proposal'!$N$32:$N$38,MATCH($A190,'Solar+Storage Proposal'!$D$32:$D$38,0))*IF(AT190&lt;=$C190,1,0))</f>
        <v>N/A - SPPA</v>
      </c>
      <c r="AV190" s="264" t="str">
        <f t="shared" si="28"/>
        <v>N/A - SPPA</v>
      </c>
      <c r="AX190" s="262">
        <v>8</v>
      </c>
      <c r="AY190" s="269" t="str">
        <f>IF($B190="SPPA","N/A - SPPA", INDEX('Solar-Only Proposal'!$M$32:$M$38,MATCH($A190,'Solar-Only Proposal'!$D$32:$D$38,0))*IF(AX190&lt;=$C190,1,0))</f>
        <v>N/A - SPPA</v>
      </c>
      <c r="AZ190" s="264" t="str">
        <f t="shared" si="29"/>
        <v>N/A - SPPA</v>
      </c>
    </row>
    <row r="191" spans="1:52" x14ac:dyDescent="0.35">
      <c r="A191" s="251" t="str">
        <f t="shared" si="25"/>
        <v>37-I1</v>
      </c>
      <c r="B191" s="251" t="str">
        <f t="shared" si="26"/>
        <v>SPPA</v>
      </c>
      <c r="C191" s="251">
        <f>INDEX('Site Data'!$S$7:$S$13,MATCH($A191,'Site Data'!$C$7:$C$13,0))</f>
        <v>20</v>
      </c>
      <c r="D191" s="251" t="s">
        <v>165</v>
      </c>
      <c r="E191" s="251" t="s">
        <v>165</v>
      </c>
      <c r="F191" s="262" t="s">
        <v>282</v>
      </c>
      <c r="G191" s="269">
        <f>IF($B191="SEL","N/A - SEL",INDEX('Solar+Storage Proposal'!$A$32:$X$38,MATCH($A191,'Solar+Storage Proposal'!$D$32:$D$38,0),MATCH($D191,'Solar+Storage Proposal'!$A$31:$X$31,0)))</f>
        <v>0</v>
      </c>
      <c r="H191" s="270" t="s">
        <v>275</v>
      </c>
      <c r="J191" s="261" t="s">
        <v>274</v>
      </c>
      <c r="K191" s="303" t="str">
        <f>IF($B191="SPPA","N/A - SPPA",INDEX('Solar-Only Proposal'!$A$32:$W$38,MATCH($A191,'Solar-Only Proposal'!$D$32:$D$38,0),MATCH($E191,'Solar-Only Proposal'!$A$31:$W$31,0)))</f>
        <v>N/A - SPPA</v>
      </c>
      <c r="L191" s="304" t="s">
        <v>275</v>
      </c>
      <c r="N191" s="262">
        <v>9</v>
      </c>
      <c r="O191" s="293">
        <f>IF($B191="SEL","N/A - SEL",O190*(1-'System Specification'!$D$10)*IF(N191&lt;=$C191,1,0))</f>
        <v>0</v>
      </c>
      <c r="P191" s="293" t="str" cm="1">
        <f t="array" ref="P191">INDEX(PeGu!$B$24:$H$43,$S191,MATCH($A189,_xlfn.ANCHORARRAY(PeGu!$B$20),0))</f>
        <v/>
      </c>
      <c r="Q191" s="294">
        <f>IF($B191="SEL","N/A - SEL",PeGu!$E$14*POWER(1+PeGu!$E$15,$S191-1))</f>
        <v>6.3338504069380797E-2</v>
      </c>
      <c r="S191" s="262">
        <v>9</v>
      </c>
      <c r="T191" s="293">
        <f>IF($B191="SEL","N/A - SEL",T190*(1-'System Specification'!$D$10)*IF(S191&lt;=$C191,1,0))</f>
        <v>0</v>
      </c>
      <c r="U191" s="293" t="str" cm="1">
        <f t="array" ref="U191">INDEX(PeGu!$B$52:$H$71,$S191,MATCH($A189,_xlfn.ANCHORARRAY(PeGu!$B$48),0))</f>
        <v/>
      </c>
      <c r="V191" s="294">
        <f>IF($B191="SEL","N/A - SEL",PeGu!$E$14*POWER(1+PeGu!$E$15,$S191-1))</f>
        <v>6.3338504069380797E-2</v>
      </c>
      <c r="X191" s="262">
        <v>9</v>
      </c>
      <c r="Y191" s="293" t="str" cm="1">
        <f t="array" ref="Y191">IF($B191="SEL","N/A - SEL",INDEX(PeGu!$B$78:$H$97,$X191,MATCH($A189,PeGu!$B$76:$H$76,0)))</f>
        <v/>
      </c>
      <c r="Z191" s="294">
        <f>IF($B191="SEL","N/A - SEL",PeGu!$K$12*POWER(1+PeGu!$K$13,$X191-1))</f>
        <v>0</v>
      </c>
      <c r="AB191" s="263">
        <v>9</v>
      </c>
      <c r="AC191" s="264" cm="1">
        <f t="array" ref="AC191">INDEX('Contract Early Termination'!$B$14:$H$33,$AB191,MATCH($A189,_xlfn.ANCHORARRAY('Contract Early Termination'!$B$10),0))</f>
        <v>0</v>
      </c>
      <c r="AE191" s="263">
        <v>9</v>
      </c>
      <c r="AF191" s="264" cm="1">
        <f t="array" ref="AF191">INDEX('Contract Early Termination'!$B$41:$H$60,$AE191,MATCH($A189,_xlfn.ANCHORARRAY('Contract Early Termination'!$B$37),0))</f>
        <v>0</v>
      </c>
      <c r="AH191" s="263">
        <v>9</v>
      </c>
      <c r="AI191" s="264" cm="1">
        <f t="array" ref="AI191">INDEX('Contract Early Termination'!$B$68:$H$87,$AB191,MATCH($A189,_xlfn.ANCHORARRAY('Contract Early Termination'!$B$64),0))</f>
        <v>0</v>
      </c>
      <c r="AK191" s="263">
        <v>9</v>
      </c>
      <c r="AL191" s="293" t="str">
        <f>IF($B191="SPPA","N/A - SPPA",AL190*(1-'System Specification'!$D$10)*IF(AK191&lt;=$C191,1,0))</f>
        <v>N/A - SPPA</v>
      </c>
      <c r="AM191" s="293" t="str">
        <f>IF($B191="SPPA","N/A - SPPA",AM190*(1-INDEX('System Specification'!$Q$14:$Q$20,MATCH($A191,'System Specification'!$D$14:$D$20,0)))*IF(AK191&lt;=$C191,1,0))</f>
        <v>N/A - SPPA</v>
      </c>
      <c r="AN191" s="298" t="str" cm="1">
        <f t="array" ref="AN191">IF($B191="SPPA","N/A - SPPA",INDEX(PeGu!$B$78:$H$97,$AK191,MATCH($A189,PeGu!$B$76:$H$76,0)))</f>
        <v>N/A - SPPA</v>
      </c>
      <c r="AP191" s="262">
        <v>9</v>
      </c>
      <c r="AQ191" s="269" t="str">
        <f>IF($B191="SPPA","N/A - SPPA", INDEX('Microgrid Proposal'!$N$32:$N$38,MATCH($A191,'Microgrid Proposal'!$D$32:$D$38,0))*IF(AP191&lt;=$C191,1,0))</f>
        <v>N/A - SPPA</v>
      </c>
      <c r="AR191" s="264" t="str">
        <f t="shared" si="27"/>
        <v>N/A - SPPA</v>
      </c>
      <c r="AT191" s="262">
        <v>9</v>
      </c>
      <c r="AU191" s="269" t="str">
        <f>IF($B191="SPPA","N/A - SPPA", INDEX('Solar+Storage Proposal'!$N$32:$N$38,MATCH($A191,'Solar+Storage Proposal'!$D$32:$D$38,0))*IF(AT191&lt;=$C191,1,0))</f>
        <v>N/A - SPPA</v>
      </c>
      <c r="AV191" s="264" t="str">
        <f t="shared" si="28"/>
        <v>N/A - SPPA</v>
      </c>
      <c r="AX191" s="262">
        <v>9</v>
      </c>
      <c r="AY191" s="269" t="str">
        <f>IF($B191="SPPA","N/A - SPPA", INDEX('Solar-Only Proposal'!$M$32:$M$38,MATCH($A191,'Solar-Only Proposal'!$D$32:$D$38,0))*IF(AX191&lt;=$C191,1,0))</f>
        <v>N/A - SPPA</v>
      </c>
      <c r="AZ191" s="264" t="str">
        <f t="shared" si="29"/>
        <v>N/A - SPPA</v>
      </c>
    </row>
    <row r="192" spans="1:52" x14ac:dyDescent="0.35">
      <c r="A192" s="251" t="str">
        <f t="shared" si="25"/>
        <v>37-I1</v>
      </c>
      <c r="B192" s="251" t="str">
        <f t="shared" si="26"/>
        <v>SPPA</v>
      </c>
      <c r="C192" s="251">
        <f>INDEX('Site Data'!$S$7:$S$13,MATCH($A192,'Site Data'!$C$7:$C$13,0))</f>
        <v>20</v>
      </c>
      <c r="D192" s="251" t="s">
        <v>189</v>
      </c>
      <c r="E192" s="251" t="s">
        <v>192</v>
      </c>
      <c r="F192" s="262" t="s">
        <v>284</v>
      </c>
      <c r="G192" s="271">
        <f>IF($B192="SEL","N/A - SEL",INDEX('Solar+Storage Proposal'!$A$32:$X$38,MATCH($A192,'Solar+Storage Proposal'!$D$32:$D$38,0),MATCH($D192,'Solar+Storage Proposal'!$A$31:$X$31,0)))</f>
        <v>0</v>
      </c>
      <c r="H192" s="270" t="s">
        <v>285</v>
      </c>
      <c r="J192" s="262" t="s">
        <v>277</v>
      </c>
      <c r="K192" s="269" t="str">
        <f>IF($B192="SPPA","N/A - SPPA",INDEX('Solar-Only Proposal'!$A$32:$W$38,MATCH($A192,'Solar-Only Proposal'!$D$32:$D$38,0),MATCH($E192,'Solar-Only Proposal'!$A$31:$W$31,0)))</f>
        <v>N/A - SPPA</v>
      </c>
      <c r="L192" s="270" t="s">
        <v>278</v>
      </c>
      <c r="N192" s="262">
        <v>10</v>
      </c>
      <c r="O192" s="293">
        <f>IF($B192="SEL","N/A - SEL",O191*(1-'System Specification'!$D$10)*IF(N192&lt;=$C192,1,0))</f>
        <v>0</v>
      </c>
      <c r="P192" s="293" t="str" cm="1">
        <f t="array" ref="P192">INDEX(PeGu!$B$24:$H$43,$S192,MATCH($A190,_xlfn.ANCHORARRAY(PeGu!$B$20),0))</f>
        <v/>
      </c>
      <c r="Q192" s="294">
        <f>IF($B192="SEL","N/A - SEL",PeGu!$E$14*POWER(1+PeGu!$E$15,$S192-1))</f>
        <v>6.5238659191462225E-2</v>
      </c>
      <c r="S192" s="262">
        <v>10</v>
      </c>
      <c r="T192" s="293">
        <f>IF($B192="SEL","N/A - SEL",T191*(1-'System Specification'!$D$10)*IF(S192&lt;=$C192,1,0))</f>
        <v>0</v>
      </c>
      <c r="U192" s="293" t="str" cm="1">
        <f t="array" ref="U192">INDEX(PeGu!$B$52:$H$71,$S192,MATCH($A190,_xlfn.ANCHORARRAY(PeGu!$B$48),0))</f>
        <v/>
      </c>
      <c r="V192" s="294">
        <f>IF($B192="SEL","N/A - SEL",PeGu!$E$14*POWER(1+PeGu!$E$15,$S192-1))</f>
        <v>6.5238659191462225E-2</v>
      </c>
      <c r="X192" s="262">
        <v>10</v>
      </c>
      <c r="Y192" s="293" t="str" cm="1">
        <f t="array" ref="Y192">IF($B192="SEL","N/A - SEL",INDEX(PeGu!$B$78:$H$97,$X192,MATCH($A190,PeGu!$B$76:$H$76,0)))</f>
        <v/>
      </c>
      <c r="Z192" s="294">
        <f>IF($B192="SEL","N/A - SEL",PeGu!$K$12*POWER(1+PeGu!$K$13,$X192-1))</f>
        <v>0</v>
      </c>
      <c r="AB192" s="263">
        <v>10</v>
      </c>
      <c r="AC192" s="264" cm="1">
        <f t="array" ref="AC192">INDEX('Contract Early Termination'!$B$14:$H$33,$AB192,MATCH($A190,_xlfn.ANCHORARRAY('Contract Early Termination'!$B$10),0))</f>
        <v>0</v>
      </c>
      <c r="AE192" s="263">
        <v>10</v>
      </c>
      <c r="AF192" s="264" cm="1">
        <f t="array" ref="AF192">INDEX('Contract Early Termination'!$B$41:$H$60,$AE192,MATCH($A190,_xlfn.ANCHORARRAY('Contract Early Termination'!$B$37),0))</f>
        <v>0</v>
      </c>
      <c r="AH192" s="263">
        <v>10</v>
      </c>
      <c r="AI192" s="264" cm="1">
        <f t="array" ref="AI192">INDEX('Contract Early Termination'!$B$68:$H$87,$AB192,MATCH($A190,_xlfn.ANCHORARRAY('Contract Early Termination'!$B$64),0))</f>
        <v>0</v>
      </c>
      <c r="AK192" s="263">
        <v>10</v>
      </c>
      <c r="AL192" s="293" t="str">
        <f>IF($B192="SPPA","N/A - SPPA",AL191*(1-'System Specification'!$D$10)*IF(AK192&lt;=$C192,1,0))</f>
        <v>N/A - SPPA</v>
      </c>
      <c r="AM192" s="293" t="str">
        <f>IF($B192="SPPA","N/A - SPPA",AM191*(1-INDEX('System Specification'!$Q$14:$Q$20,MATCH($A192,'System Specification'!$D$14:$D$20,0)))*IF(AK192&lt;=$C192,1,0))</f>
        <v>N/A - SPPA</v>
      </c>
      <c r="AN192" s="298" t="str" cm="1">
        <f t="array" ref="AN192">IF($B192="SPPA","N/A - SPPA",INDEX(PeGu!$B$78:$H$97,$AK192,MATCH($A190,PeGu!$B$76:$H$76,0)))</f>
        <v>N/A - SPPA</v>
      </c>
      <c r="AP192" s="262">
        <v>10</v>
      </c>
      <c r="AQ192" s="269" t="str">
        <f>IF($B192="SPPA","N/A - SPPA", INDEX('Microgrid Proposal'!$N$32:$N$38,MATCH($A192,'Microgrid Proposal'!$D$32:$D$38,0))*IF(AP192&lt;=$C192,1,0))</f>
        <v>N/A - SPPA</v>
      </c>
      <c r="AR192" s="264" t="str">
        <f t="shared" si="27"/>
        <v>N/A - SPPA</v>
      </c>
      <c r="AT192" s="262">
        <v>10</v>
      </c>
      <c r="AU192" s="269" t="str">
        <f>IF($B192="SPPA","N/A - SPPA", INDEX('Solar+Storage Proposal'!$N$32:$N$38,MATCH($A192,'Solar+Storage Proposal'!$D$32:$D$38,0))*IF(AT192&lt;=$C192,1,0))</f>
        <v>N/A - SPPA</v>
      </c>
      <c r="AV192" s="264" t="str">
        <f t="shared" si="28"/>
        <v>N/A - SPPA</v>
      </c>
      <c r="AX192" s="262">
        <v>10</v>
      </c>
      <c r="AY192" s="269" t="str">
        <f>IF($B192="SPPA","N/A - SPPA", INDEX('Solar-Only Proposal'!$M$32:$M$38,MATCH($A192,'Solar-Only Proposal'!$D$32:$D$38,0))*IF(AX192&lt;=$C192,1,0))</f>
        <v>N/A - SPPA</v>
      </c>
      <c r="AZ192" s="264" t="str">
        <f t="shared" si="29"/>
        <v>N/A - SPPA</v>
      </c>
    </row>
    <row r="193" spans="1:52" ht="15" thickBot="1" x14ac:dyDescent="0.4">
      <c r="A193" s="251" t="str">
        <f t="shared" si="25"/>
        <v>37-I1</v>
      </c>
      <c r="B193" s="251" t="str">
        <f t="shared" si="26"/>
        <v>SPPA</v>
      </c>
      <c r="C193" s="251">
        <f>INDEX('Site Data'!$S$7:$S$13,MATCH($A193,'Site Data'!$C$7:$C$13,0))</f>
        <v>20</v>
      </c>
      <c r="D193" s="251" t="s">
        <v>190</v>
      </c>
      <c r="E193" s="251" t="s">
        <v>193</v>
      </c>
      <c r="F193" s="258" t="s">
        <v>284</v>
      </c>
      <c r="G193" s="272">
        <f>IF($B193="SEL","N/A - SEL",INDEX('Solar+Storage Proposal'!$A$32:$X$38,MATCH($A193,'Solar+Storage Proposal'!$D$32:$D$38,0),MATCH($D193,'Solar+Storage Proposal'!$A$31:$X$31,0)))</f>
        <v>0</v>
      </c>
      <c r="H193" s="260" t="s">
        <v>286</v>
      </c>
      <c r="J193" s="258" t="s">
        <v>277</v>
      </c>
      <c r="K193" s="300" t="str">
        <f>IF($B193="SPPA","N/A - SPPA",INDEX('Solar-Only Proposal'!$A$32:$W$38,MATCH($A193,'Solar-Only Proposal'!$D$32:$D$38,0),MATCH($E193,'Solar-Only Proposal'!$A$31:$W$31,0)))</f>
        <v>N/A - SPPA</v>
      </c>
      <c r="L193" s="260" t="s">
        <v>281</v>
      </c>
      <c r="N193" s="262">
        <v>11</v>
      </c>
      <c r="O193" s="293">
        <f>IF($B193="SEL","N/A - SEL",O192*(1-'System Specification'!$D$10)*IF(N193&lt;=$C193,1,0))</f>
        <v>0</v>
      </c>
      <c r="P193" s="293" t="str" cm="1">
        <f t="array" ref="P193">INDEX(PeGu!$B$24:$H$43,$S193,MATCH($A191,_xlfn.ANCHORARRAY(PeGu!$B$20),0))</f>
        <v/>
      </c>
      <c r="Q193" s="294">
        <f>IF($B193="SEL","N/A - SEL",PeGu!$E$14*POWER(1+PeGu!$E$15,$S193-1))</f>
        <v>6.7195818967206097E-2</v>
      </c>
      <c r="S193" s="262">
        <v>11</v>
      </c>
      <c r="T193" s="293">
        <f>IF($B193="SEL","N/A - SEL",T192*(1-'System Specification'!$D$10)*IF(S193&lt;=$C193,1,0))</f>
        <v>0</v>
      </c>
      <c r="U193" s="293" t="str" cm="1">
        <f t="array" ref="U193">INDEX(PeGu!$B$52:$H$71,$S193,MATCH($A191,_xlfn.ANCHORARRAY(PeGu!$B$48),0))</f>
        <v/>
      </c>
      <c r="V193" s="294">
        <f>IF($B193="SEL","N/A - SEL",PeGu!$E$14*POWER(1+PeGu!$E$15,$S193-1))</f>
        <v>6.7195818967206097E-2</v>
      </c>
      <c r="X193" s="262">
        <v>11</v>
      </c>
      <c r="Y193" s="293" t="str" cm="1">
        <f t="array" ref="Y193">IF($B193="SEL","N/A - SEL",INDEX(PeGu!$B$78:$H$97,$X193,MATCH($A191,PeGu!$B$76:$H$76,0)))</f>
        <v/>
      </c>
      <c r="Z193" s="294">
        <f>IF($B193="SEL","N/A - SEL",PeGu!$K$12*POWER(1+PeGu!$K$13,$X193-1))</f>
        <v>0</v>
      </c>
      <c r="AB193" s="263">
        <v>11</v>
      </c>
      <c r="AC193" s="264" cm="1">
        <f t="array" ref="AC193">INDEX('Contract Early Termination'!$B$14:$H$33,$AB193,MATCH($A191,_xlfn.ANCHORARRAY('Contract Early Termination'!$B$10),0))</f>
        <v>0</v>
      </c>
      <c r="AE193" s="263">
        <v>11</v>
      </c>
      <c r="AF193" s="264" cm="1">
        <f t="array" ref="AF193">INDEX('Contract Early Termination'!$B$41:$H$60,$AE193,MATCH($A191,_xlfn.ANCHORARRAY('Contract Early Termination'!$B$37),0))</f>
        <v>0</v>
      </c>
      <c r="AH193" s="263">
        <v>11</v>
      </c>
      <c r="AI193" s="264" cm="1">
        <f t="array" ref="AI193">INDEX('Contract Early Termination'!$B$68:$H$87,$AB193,MATCH($A191,_xlfn.ANCHORARRAY('Contract Early Termination'!$B$64),0))</f>
        <v>0</v>
      </c>
      <c r="AK193" s="263">
        <v>11</v>
      </c>
      <c r="AL193" s="293" t="str">
        <f>IF($B193="SPPA","N/A - SPPA",AL192*(1-'System Specification'!$D$10)*IF(AK193&lt;=$C193,1,0))</f>
        <v>N/A - SPPA</v>
      </c>
      <c r="AM193" s="293" t="str">
        <f>IF($B193="SPPA","N/A - SPPA",AM192*(1-INDEX('System Specification'!$Q$14:$Q$20,MATCH($A193,'System Specification'!$D$14:$D$20,0)))*IF(AK193&lt;=$C193,1,0))</f>
        <v>N/A - SPPA</v>
      </c>
      <c r="AN193" s="298" t="str" cm="1">
        <f t="array" ref="AN193">IF($B193="SPPA","N/A - SPPA",INDEX(PeGu!$B$78:$H$97,$AK193,MATCH($A191,PeGu!$B$76:$H$76,0)))</f>
        <v>N/A - SPPA</v>
      </c>
      <c r="AP193" s="262">
        <v>11</v>
      </c>
      <c r="AQ193" s="269" t="str">
        <f>IF($B193="SPPA","N/A - SPPA", INDEX('Microgrid Proposal'!$N$32:$N$38,MATCH($A193,'Microgrid Proposal'!$D$32:$D$38,0))*IF(AP193&lt;=$C193,1,0))</f>
        <v>N/A - SPPA</v>
      </c>
      <c r="AR193" s="264" t="str">
        <f t="shared" si="27"/>
        <v>N/A - SPPA</v>
      </c>
      <c r="AT193" s="262">
        <v>11</v>
      </c>
      <c r="AU193" s="269" t="str">
        <f>IF($B193="SPPA","N/A - SPPA", INDEX('Solar+Storage Proposal'!$N$32:$N$38,MATCH($A193,'Solar+Storage Proposal'!$D$32:$D$38,0))*IF(AT193&lt;=$C193,1,0))</f>
        <v>N/A - SPPA</v>
      </c>
      <c r="AV193" s="264" t="str">
        <f t="shared" si="28"/>
        <v>N/A - SPPA</v>
      </c>
      <c r="AX193" s="262">
        <v>11</v>
      </c>
      <c r="AY193" s="269" t="str">
        <f>IF($B193="SPPA","N/A - SPPA", INDEX('Solar-Only Proposal'!$M$32:$M$38,MATCH($A193,'Solar-Only Proposal'!$D$32:$D$38,0))*IF(AX193&lt;=$C193,1,0))</f>
        <v>N/A - SPPA</v>
      </c>
      <c r="AZ193" s="264" t="str">
        <f t="shared" si="29"/>
        <v>N/A - SPPA</v>
      </c>
    </row>
    <row r="194" spans="1:52" ht="15" thickBot="1" x14ac:dyDescent="0.4">
      <c r="A194" s="251" t="str">
        <f t="shared" si="25"/>
        <v>37-I1</v>
      </c>
      <c r="B194" s="251" t="str">
        <f t="shared" si="26"/>
        <v>SPPA</v>
      </c>
      <c r="C194" s="251">
        <f>INDEX('Site Data'!$S$7:$S$13,MATCH($A194,'Site Data'!$C$7:$C$13,0))</f>
        <v>20</v>
      </c>
      <c r="F194" s="505" t="s">
        <v>289</v>
      </c>
      <c r="G194" s="506"/>
      <c r="H194" s="507"/>
      <c r="N194" s="262">
        <v>12</v>
      </c>
      <c r="O194" s="293">
        <f>IF($B194="SEL","N/A - SEL",O193*(1-'System Specification'!$D$10)*IF(N194&lt;=$C194,1,0))</f>
        <v>0</v>
      </c>
      <c r="P194" s="293" t="str" cm="1">
        <f t="array" ref="P194">INDEX(PeGu!$B$24:$H$43,$S194,MATCH($A192,_xlfn.ANCHORARRAY(PeGu!$B$20),0))</f>
        <v/>
      </c>
      <c r="Q194" s="294">
        <f>IF($B194="SEL","N/A - SEL",PeGu!$E$14*POWER(1+PeGu!$E$15,$S194-1))</f>
        <v>6.921169353622228E-2</v>
      </c>
      <c r="S194" s="262">
        <v>12</v>
      </c>
      <c r="T194" s="293">
        <f>IF($B194="SEL","N/A - SEL",T193*(1-'System Specification'!$D$10)*IF(S194&lt;=$C194,1,0))</f>
        <v>0</v>
      </c>
      <c r="U194" s="293" t="str" cm="1">
        <f t="array" ref="U194">INDEX(PeGu!$B$52:$H$71,$S194,MATCH($A192,_xlfn.ANCHORARRAY(PeGu!$B$48),0))</f>
        <v/>
      </c>
      <c r="V194" s="294">
        <f>IF($B194="SEL","N/A - SEL",PeGu!$E$14*POWER(1+PeGu!$E$15,$S194-1))</f>
        <v>6.921169353622228E-2</v>
      </c>
      <c r="X194" s="262">
        <v>12</v>
      </c>
      <c r="Y194" s="293" t="str" cm="1">
        <f t="array" ref="Y194">IF($B194="SEL","N/A - SEL",INDEX(PeGu!$B$78:$H$97,$X194,MATCH($A192,PeGu!$B$76:$H$76,0)))</f>
        <v/>
      </c>
      <c r="Z194" s="294">
        <f>IF($B194="SEL","N/A - SEL",PeGu!$K$12*POWER(1+PeGu!$K$13,$X194-1))</f>
        <v>0</v>
      </c>
      <c r="AB194" s="263">
        <v>12</v>
      </c>
      <c r="AC194" s="264" cm="1">
        <f t="array" ref="AC194">INDEX('Contract Early Termination'!$B$14:$H$33,$AB194,MATCH($A192,_xlfn.ANCHORARRAY('Contract Early Termination'!$B$10),0))</f>
        <v>0</v>
      </c>
      <c r="AE194" s="263">
        <v>12</v>
      </c>
      <c r="AF194" s="264" cm="1">
        <f t="array" ref="AF194">INDEX('Contract Early Termination'!$B$41:$H$60,$AE194,MATCH($A192,_xlfn.ANCHORARRAY('Contract Early Termination'!$B$37),0))</f>
        <v>0</v>
      </c>
      <c r="AH194" s="263">
        <v>12</v>
      </c>
      <c r="AI194" s="264" cm="1">
        <f t="array" ref="AI194">INDEX('Contract Early Termination'!$B$68:$H$87,$AB194,MATCH($A192,_xlfn.ANCHORARRAY('Contract Early Termination'!$B$64),0))</f>
        <v>0</v>
      </c>
      <c r="AK194" s="263">
        <v>12</v>
      </c>
      <c r="AL194" s="293" t="str">
        <f>IF($B194="SPPA","N/A - SPPA",AL193*(1-'System Specification'!$D$10)*IF(AK194&lt;=$C194,1,0))</f>
        <v>N/A - SPPA</v>
      </c>
      <c r="AM194" s="293" t="str">
        <f>IF($B194="SPPA","N/A - SPPA",AM193*(1-INDEX('System Specification'!$Q$14:$Q$20,MATCH($A194,'System Specification'!$D$14:$D$20,0)))*IF(AK194&lt;=$C194,1,0))</f>
        <v>N/A - SPPA</v>
      </c>
      <c r="AN194" s="298" t="str" cm="1">
        <f t="array" ref="AN194">IF($B194="SPPA","N/A - SPPA",INDEX(PeGu!$B$78:$H$97,$AK194,MATCH($A192,PeGu!$B$76:$H$76,0)))</f>
        <v>N/A - SPPA</v>
      </c>
      <c r="AP194" s="262">
        <v>12</v>
      </c>
      <c r="AQ194" s="269" t="str">
        <f>IF($B194="SPPA","N/A - SPPA", INDEX('Microgrid Proposal'!$N$32:$N$38,MATCH($A194,'Microgrid Proposal'!$D$32:$D$38,0))*IF(AP194&lt;=$C194,1,0))</f>
        <v>N/A - SPPA</v>
      </c>
      <c r="AR194" s="264" t="str">
        <f t="shared" si="27"/>
        <v>N/A - SPPA</v>
      </c>
      <c r="AT194" s="262">
        <v>12</v>
      </c>
      <c r="AU194" s="269" t="str">
        <f>IF($B194="SPPA","N/A - SPPA", INDEX('Solar+Storage Proposal'!$N$32:$N$38,MATCH($A194,'Solar+Storage Proposal'!$D$32:$D$38,0))*IF(AT194&lt;=$C194,1,0))</f>
        <v>N/A - SPPA</v>
      </c>
      <c r="AV194" s="264" t="str">
        <f t="shared" si="28"/>
        <v>N/A - SPPA</v>
      </c>
      <c r="AX194" s="262">
        <v>12</v>
      </c>
      <c r="AY194" s="269" t="str">
        <f>IF($B194="SPPA","N/A - SPPA", INDEX('Solar-Only Proposal'!$M$32:$M$38,MATCH($A194,'Solar-Only Proposal'!$D$32:$D$38,0))*IF(AX194&lt;=$C194,1,0))</f>
        <v>N/A - SPPA</v>
      </c>
      <c r="AZ194" s="264" t="str">
        <f t="shared" si="29"/>
        <v>N/A - SPPA</v>
      </c>
    </row>
    <row r="195" spans="1:52" x14ac:dyDescent="0.35">
      <c r="A195" s="251" t="str">
        <f t="shared" si="25"/>
        <v>37-I1</v>
      </c>
      <c r="B195" s="251" t="str">
        <f t="shared" si="26"/>
        <v>SPPA</v>
      </c>
      <c r="C195" s="251">
        <f>INDEX('Site Data'!$S$7:$S$13,MATCH($A195,'Site Data'!$C$7:$C$13,0))</f>
        <v>20</v>
      </c>
      <c r="D195" s="251" t="s">
        <v>188</v>
      </c>
      <c r="F195" s="266" t="s">
        <v>279</v>
      </c>
      <c r="G195" s="267">
        <f>IF($B195="SEL","N/A - SEL",INDEX('Solar-Only Proposal'!$A$32:$W$38,MATCH($A195,'Solar-Only Proposal'!$D$32:$D$38,0),MATCH($D195,'Solar-Only Proposal'!$A$31:$W$31,0)))</f>
        <v>0</v>
      </c>
      <c r="H195" s="268" t="s">
        <v>280</v>
      </c>
      <c r="N195" s="262">
        <v>13</v>
      </c>
      <c r="O195" s="293">
        <f>IF($B195="SEL","N/A - SEL",O194*(1-'System Specification'!$D$10)*IF(N195&lt;=$C195,1,0))</f>
        <v>0</v>
      </c>
      <c r="P195" s="293" t="str" cm="1">
        <f t="array" ref="P195">INDEX(PeGu!$B$24:$H$43,$S195,MATCH($A193,_xlfn.ANCHORARRAY(PeGu!$B$20),0))</f>
        <v/>
      </c>
      <c r="Q195" s="294">
        <f>IF($B195="SEL","N/A - SEL",PeGu!$E$14*POWER(1+PeGu!$E$15,$S195-1))</f>
        <v>7.128804434230894E-2</v>
      </c>
      <c r="S195" s="262">
        <v>13</v>
      </c>
      <c r="T195" s="293">
        <f>IF($B195="SEL","N/A - SEL",T194*(1-'System Specification'!$D$10)*IF(S195&lt;=$C195,1,0))</f>
        <v>0</v>
      </c>
      <c r="U195" s="293" t="str" cm="1">
        <f t="array" ref="U195">INDEX(PeGu!$B$52:$H$71,$S195,MATCH($A193,_xlfn.ANCHORARRAY(PeGu!$B$48),0))</f>
        <v/>
      </c>
      <c r="V195" s="294">
        <f>IF($B195="SEL","N/A - SEL",PeGu!$E$14*POWER(1+PeGu!$E$15,$S195-1))</f>
        <v>7.128804434230894E-2</v>
      </c>
      <c r="X195" s="262">
        <v>13</v>
      </c>
      <c r="Y195" s="293" t="str" cm="1">
        <f t="array" ref="Y195">IF($B195="SEL","N/A - SEL",INDEX(PeGu!$B$78:$H$97,$X195,MATCH($A193,PeGu!$B$76:$H$76,0)))</f>
        <v/>
      </c>
      <c r="Z195" s="294">
        <f>IF($B195="SEL","N/A - SEL",PeGu!$K$12*POWER(1+PeGu!$K$13,$X195-1))</f>
        <v>0</v>
      </c>
      <c r="AB195" s="263">
        <v>13</v>
      </c>
      <c r="AC195" s="264" cm="1">
        <f t="array" ref="AC195">INDEX('Contract Early Termination'!$B$14:$H$33,$AB195,MATCH($A193,_xlfn.ANCHORARRAY('Contract Early Termination'!$B$10),0))</f>
        <v>0</v>
      </c>
      <c r="AE195" s="263">
        <v>13</v>
      </c>
      <c r="AF195" s="264" cm="1">
        <f t="array" ref="AF195">INDEX('Contract Early Termination'!$B$41:$H$60,$AE195,MATCH($A193,_xlfn.ANCHORARRAY('Contract Early Termination'!$B$37),0))</f>
        <v>0</v>
      </c>
      <c r="AH195" s="263">
        <v>13</v>
      </c>
      <c r="AI195" s="264" cm="1">
        <f t="array" ref="AI195">INDEX('Contract Early Termination'!$B$68:$H$87,$AB195,MATCH($A193,_xlfn.ANCHORARRAY('Contract Early Termination'!$B$64),0))</f>
        <v>0</v>
      </c>
      <c r="AK195" s="263">
        <v>13</v>
      </c>
      <c r="AL195" s="293" t="str">
        <f>IF($B195="SPPA","N/A - SPPA",AL194*(1-'System Specification'!$D$10)*IF(AK195&lt;=$C195,1,0))</f>
        <v>N/A - SPPA</v>
      </c>
      <c r="AM195" s="293" t="str">
        <f>IF($B195="SPPA","N/A - SPPA",AM194*(1-INDEX('System Specification'!$Q$14:$Q$20,MATCH($A195,'System Specification'!$D$14:$D$20,0)))*IF(AK195&lt;=$C195,1,0))</f>
        <v>N/A - SPPA</v>
      </c>
      <c r="AN195" s="298" t="str" cm="1">
        <f t="array" ref="AN195">IF($B195="SPPA","N/A - SPPA",INDEX(PeGu!$B$78:$H$97,$AK195,MATCH($A193,PeGu!$B$76:$H$76,0)))</f>
        <v>N/A - SPPA</v>
      </c>
      <c r="AP195" s="262">
        <v>13</v>
      </c>
      <c r="AQ195" s="269" t="str">
        <f>IF($B195="SPPA","N/A - SPPA", INDEX('Microgrid Proposal'!$N$32:$N$38,MATCH($A195,'Microgrid Proposal'!$D$32:$D$38,0))*IF(AP195&lt;=$C195,1,0))</f>
        <v>N/A - SPPA</v>
      </c>
      <c r="AR195" s="264" t="str">
        <f t="shared" si="27"/>
        <v>N/A - SPPA</v>
      </c>
      <c r="AT195" s="262">
        <v>13</v>
      </c>
      <c r="AU195" s="269" t="str">
        <f>IF($B195="SPPA","N/A - SPPA", INDEX('Solar+Storage Proposal'!$N$32:$N$38,MATCH($A195,'Solar+Storage Proposal'!$D$32:$D$38,0))*IF(AT195&lt;=$C195,1,0))</f>
        <v>N/A - SPPA</v>
      </c>
      <c r="AV195" s="264" t="str">
        <f t="shared" si="28"/>
        <v>N/A - SPPA</v>
      </c>
      <c r="AX195" s="262">
        <v>13</v>
      </c>
      <c r="AY195" s="269" t="str">
        <f>IF($B195="SPPA","N/A - SPPA", INDEX('Solar-Only Proposal'!$M$32:$M$38,MATCH($A195,'Solar-Only Proposal'!$D$32:$D$38,0))*IF(AX195&lt;=$C195,1,0))</f>
        <v>N/A - SPPA</v>
      </c>
      <c r="AZ195" s="264" t="str">
        <f t="shared" si="29"/>
        <v>N/A - SPPA</v>
      </c>
    </row>
    <row r="196" spans="1:52" x14ac:dyDescent="0.35">
      <c r="A196" s="251" t="str">
        <f t="shared" si="25"/>
        <v>37-I1</v>
      </c>
      <c r="B196" s="251" t="str">
        <f t="shared" si="26"/>
        <v>SPPA</v>
      </c>
      <c r="C196" s="251">
        <f>INDEX('Site Data'!$S$7:$S$13,MATCH($A196,'Site Data'!$C$7:$C$13,0))</f>
        <v>20</v>
      </c>
      <c r="D196" s="251" t="s">
        <v>165</v>
      </c>
      <c r="F196" s="262" t="s">
        <v>282</v>
      </c>
      <c r="G196" s="269">
        <f>IF($B196="SEL","N/A - SEL",INDEX('Solar-Only Proposal'!$A$32:$W$38,MATCH($A196,'Solar-Only Proposal'!$D$32:$D$38,0),MATCH($D196,'Solar-Only Proposal'!$A$31:$W$31,0)))</f>
        <v>0</v>
      </c>
      <c r="H196" s="270" t="s">
        <v>275</v>
      </c>
      <c r="N196" s="262">
        <v>14</v>
      </c>
      <c r="O196" s="293">
        <f>IF($B196="SEL","N/A - SEL",O195*(1-'System Specification'!$D$10)*IF(N196&lt;=$C196,1,0))</f>
        <v>0</v>
      </c>
      <c r="P196" s="293" t="str" cm="1">
        <f t="array" ref="P196">INDEX(PeGu!$B$24:$H$43,$S196,MATCH($A194,_xlfn.ANCHORARRAY(PeGu!$B$20),0))</f>
        <v/>
      </c>
      <c r="Q196" s="294">
        <f>IF($B196="SEL","N/A - SEL",PeGu!$E$14*POWER(1+PeGu!$E$15,$S196-1))</f>
        <v>7.3426685672578193E-2</v>
      </c>
      <c r="S196" s="262">
        <v>14</v>
      </c>
      <c r="T196" s="293">
        <f>IF($B196="SEL","N/A - SEL",T195*(1-'System Specification'!$D$10)*IF(S196&lt;=$C196,1,0))</f>
        <v>0</v>
      </c>
      <c r="U196" s="293" t="str" cm="1">
        <f t="array" ref="U196">INDEX(PeGu!$B$52:$H$71,$S196,MATCH($A194,_xlfn.ANCHORARRAY(PeGu!$B$48),0))</f>
        <v/>
      </c>
      <c r="V196" s="294">
        <f>IF($B196="SEL","N/A - SEL",PeGu!$E$14*POWER(1+PeGu!$E$15,$S196-1))</f>
        <v>7.3426685672578193E-2</v>
      </c>
      <c r="X196" s="262">
        <v>14</v>
      </c>
      <c r="Y196" s="293" t="str" cm="1">
        <f t="array" ref="Y196">IF($B196="SEL","N/A - SEL",INDEX(PeGu!$B$78:$H$97,$X196,MATCH($A194,PeGu!$B$76:$H$76,0)))</f>
        <v/>
      </c>
      <c r="Z196" s="294">
        <f>IF($B196="SEL","N/A - SEL",PeGu!$K$12*POWER(1+PeGu!$K$13,$X196-1))</f>
        <v>0</v>
      </c>
      <c r="AB196" s="263">
        <v>14</v>
      </c>
      <c r="AC196" s="264" cm="1">
        <f t="array" ref="AC196">INDEX('Contract Early Termination'!$B$14:$H$33,$AB196,MATCH($A194,_xlfn.ANCHORARRAY('Contract Early Termination'!$B$10),0))</f>
        <v>0</v>
      </c>
      <c r="AE196" s="263">
        <v>14</v>
      </c>
      <c r="AF196" s="264" cm="1">
        <f t="array" ref="AF196">INDEX('Contract Early Termination'!$B$41:$H$60,$AE196,MATCH($A194,_xlfn.ANCHORARRAY('Contract Early Termination'!$B$37),0))</f>
        <v>0</v>
      </c>
      <c r="AH196" s="263">
        <v>14</v>
      </c>
      <c r="AI196" s="264" cm="1">
        <f t="array" ref="AI196">INDEX('Contract Early Termination'!$B$68:$H$87,$AB196,MATCH($A194,_xlfn.ANCHORARRAY('Contract Early Termination'!$B$64),0))</f>
        <v>0</v>
      </c>
      <c r="AK196" s="263">
        <v>14</v>
      </c>
      <c r="AL196" s="293" t="str">
        <f>IF($B196="SPPA","N/A - SPPA",AL195*(1-'System Specification'!$D$10)*IF(AK196&lt;=$C196,1,0))</f>
        <v>N/A - SPPA</v>
      </c>
      <c r="AM196" s="293" t="str">
        <f>IF($B196="SPPA","N/A - SPPA",AM195*(1-INDEX('System Specification'!$Q$14:$Q$20,MATCH($A196,'System Specification'!$D$14:$D$20,0)))*IF(AK196&lt;=$C196,1,0))</f>
        <v>N/A - SPPA</v>
      </c>
      <c r="AN196" s="298" t="str" cm="1">
        <f t="array" ref="AN196">IF($B196="SPPA","N/A - SPPA",INDEX(PeGu!$B$78:$H$97,$AK196,MATCH($A194,PeGu!$B$76:$H$76,0)))</f>
        <v>N/A - SPPA</v>
      </c>
      <c r="AP196" s="262">
        <v>14</v>
      </c>
      <c r="AQ196" s="269" t="str">
        <f>IF($B196="SPPA","N/A - SPPA", INDEX('Microgrid Proposal'!$N$32:$N$38,MATCH($A196,'Microgrid Proposal'!$D$32:$D$38,0))*IF(AP196&lt;=$C196,1,0))</f>
        <v>N/A - SPPA</v>
      </c>
      <c r="AR196" s="264" t="str">
        <f t="shared" si="27"/>
        <v>N/A - SPPA</v>
      </c>
      <c r="AT196" s="262">
        <v>14</v>
      </c>
      <c r="AU196" s="269" t="str">
        <f>IF($B196="SPPA","N/A - SPPA", INDEX('Solar+Storage Proposal'!$N$32:$N$38,MATCH($A196,'Solar+Storage Proposal'!$D$32:$D$38,0))*IF(AT196&lt;=$C196,1,0))</f>
        <v>N/A - SPPA</v>
      </c>
      <c r="AV196" s="264" t="str">
        <f t="shared" si="28"/>
        <v>N/A - SPPA</v>
      </c>
      <c r="AX196" s="262">
        <v>14</v>
      </c>
      <c r="AY196" s="269" t="str">
        <f>IF($B196="SPPA","N/A - SPPA", INDEX('Solar-Only Proposal'!$M$32:$M$38,MATCH($A196,'Solar-Only Proposal'!$D$32:$D$38,0))*IF(AX196&lt;=$C196,1,0))</f>
        <v>N/A - SPPA</v>
      </c>
      <c r="AZ196" s="264" t="str">
        <f t="shared" si="29"/>
        <v>N/A - SPPA</v>
      </c>
    </row>
    <row r="197" spans="1:52" x14ac:dyDescent="0.35">
      <c r="A197" s="251" t="str">
        <f t="shared" si="25"/>
        <v>37-I1</v>
      </c>
      <c r="B197" s="251" t="str">
        <f t="shared" si="26"/>
        <v>SPPA</v>
      </c>
      <c r="C197" s="251">
        <f>INDEX('Site Data'!$S$7:$S$13,MATCH($A197,'Site Data'!$C$7:$C$13,0))</f>
        <v>20</v>
      </c>
      <c r="D197" s="251" t="s">
        <v>189</v>
      </c>
      <c r="F197" s="262" t="s">
        <v>284</v>
      </c>
      <c r="G197" s="271">
        <f>IF($B197="SEL","N/A - SEL",INDEX('Solar-Only Proposal'!$A$32:$W$38,MATCH($A197,'Solar-Only Proposal'!$D$32:$D$38,0),MATCH($D197,'Solar-Only Proposal'!$A$31:$W$31,0)))</f>
        <v>0</v>
      </c>
      <c r="H197" s="270" t="s">
        <v>285</v>
      </c>
      <c r="N197" s="262">
        <v>15</v>
      </c>
      <c r="O197" s="293">
        <f>IF($B197="SEL","N/A - SEL",O196*(1-'System Specification'!$D$10)*IF(N197&lt;=$C197,1,0))</f>
        <v>0</v>
      </c>
      <c r="P197" s="293" t="str" cm="1">
        <f t="array" ref="P197">INDEX(PeGu!$B$24:$H$43,$S197,MATCH($A195,_xlfn.ANCHORARRAY(PeGu!$B$20),0))</f>
        <v/>
      </c>
      <c r="Q197" s="294">
        <f>IF($B197="SEL","N/A - SEL",PeGu!$E$14*POWER(1+PeGu!$E$15,$S197-1))</f>
        <v>7.5629486242755561E-2</v>
      </c>
      <c r="S197" s="262">
        <v>15</v>
      </c>
      <c r="T197" s="293">
        <f>IF($B197="SEL","N/A - SEL",T196*(1-'System Specification'!$D$10)*IF(S197&lt;=$C197,1,0))</f>
        <v>0</v>
      </c>
      <c r="U197" s="293" t="str" cm="1">
        <f t="array" ref="U197">INDEX(PeGu!$B$52:$H$71,$S197,MATCH($A195,_xlfn.ANCHORARRAY(PeGu!$B$48),0))</f>
        <v/>
      </c>
      <c r="V197" s="294">
        <f>IF($B197="SEL","N/A - SEL",PeGu!$E$14*POWER(1+PeGu!$E$15,$S197-1))</f>
        <v>7.5629486242755561E-2</v>
      </c>
      <c r="X197" s="262">
        <v>15</v>
      </c>
      <c r="Y197" s="293" t="str" cm="1">
        <f t="array" ref="Y197">IF($B197="SEL","N/A - SEL",INDEX(PeGu!$B$78:$H$97,$X197,MATCH($A195,PeGu!$B$76:$H$76,0)))</f>
        <v/>
      </c>
      <c r="Z197" s="294">
        <f>IF($B197="SEL","N/A - SEL",PeGu!$K$12*POWER(1+PeGu!$K$13,$X197-1))</f>
        <v>0</v>
      </c>
      <c r="AB197" s="263">
        <v>15</v>
      </c>
      <c r="AC197" s="264" cm="1">
        <f t="array" ref="AC197">INDEX('Contract Early Termination'!$B$14:$H$33,$AB197,MATCH($A195,_xlfn.ANCHORARRAY('Contract Early Termination'!$B$10),0))</f>
        <v>0</v>
      </c>
      <c r="AE197" s="263">
        <v>15</v>
      </c>
      <c r="AF197" s="264" cm="1">
        <f t="array" ref="AF197">INDEX('Contract Early Termination'!$B$41:$H$60,$AE197,MATCH($A195,_xlfn.ANCHORARRAY('Contract Early Termination'!$B$37),0))</f>
        <v>0</v>
      </c>
      <c r="AH197" s="263">
        <v>15</v>
      </c>
      <c r="AI197" s="264" cm="1">
        <f t="array" ref="AI197">INDEX('Contract Early Termination'!$B$68:$H$87,$AB197,MATCH($A195,_xlfn.ANCHORARRAY('Contract Early Termination'!$B$64),0))</f>
        <v>0</v>
      </c>
      <c r="AK197" s="263">
        <v>15</v>
      </c>
      <c r="AL197" s="293" t="str">
        <f>IF($B197="SPPA","N/A - SPPA",AL196*(1-'System Specification'!$D$10)*IF(AK197&lt;=$C197,1,0))</f>
        <v>N/A - SPPA</v>
      </c>
      <c r="AM197" s="293" t="str">
        <f>IF($B197="SPPA","N/A - SPPA",AM196*(1-INDEX('System Specification'!$Q$14:$Q$20,MATCH($A197,'System Specification'!$D$14:$D$20,0)))*IF(AK197&lt;=$C197,1,0))</f>
        <v>N/A - SPPA</v>
      </c>
      <c r="AN197" s="298" t="str" cm="1">
        <f t="array" ref="AN197">IF($B197="SPPA","N/A - SPPA",INDEX(PeGu!$B$78:$H$97,$AK197,MATCH($A195,PeGu!$B$76:$H$76,0)))</f>
        <v>N/A - SPPA</v>
      </c>
      <c r="AP197" s="262">
        <v>15</v>
      </c>
      <c r="AQ197" s="269" t="str">
        <f>IF($B197="SPPA","N/A - SPPA", INDEX('Microgrid Proposal'!$N$32:$N$38,MATCH($A197,'Microgrid Proposal'!$D$32:$D$38,0))*IF(AP197&lt;=$C197,1,0))</f>
        <v>N/A - SPPA</v>
      </c>
      <c r="AR197" s="264" t="str">
        <f t="shared" si="27"/>
        <v>N/A - SPPA</v>
      </c>
      <c r="AT197" s="262">
        <v>15</v>
      </c>
      <c r="AU197" s="269" t="str">
        <f>IF($B197="SPPA","N/A - SPPA", INDEX('Solar+Storage Proposal'!$N$32:$N$38,MATCH($A197,'Solar+Storage Proposal'!$D$32:$D$38,0))*IF(AT197&lt;=$C197,1,0))</f>
        <v>N/A - SPPA</v>
      </c>
      <c r="AV197" s="264" t="str">
        <f t="shared" si="28"/>
        <v>N/A - SPPA</v>
      </c>
      <c r="AX197" s="262">
        <v>15</v>
      </c>
      <c r="AY197" s="269" t="str">
        <f>IF($B197="SPPA","N/A - SPPA", INDEX('Solar-Only Proposal'!$M$32:$M$38,MATCH($A197,'Solar-Only Proposal'!$D$32:$D$38,0))*IF(AX197&lt;=$C197,1,0))</f>
        <v>N/A - SPPA</v>
      </c>
      <c r="AZ197" s="264" t="str">
        <f t="shared" si="29"/>
        <v>N/A - SPPA</v>
      </c>
    </row>
    <row r="198" spans="1:52" ht="15" thickBot="1" x14ac:dyDescent="0.4">
      <c r="A198" s="251" t="str">
        <f t="shared" si="25"/>
        <v>37-I1</v>
      </c>
      <c r="B198" s="251" t="str">
        <f t="shared" si="26"/>
        <v>SPPA</v>
      </c>
      <c r="C198" s="251">
        <f>INDEX('Site Data'!$S$7:$S$13,MATCH($A198,'Site Data'!$C$7:$C$13,0))</f>
        <v>20</v>
      </c>
      <c r="D198" s="251" t="s">
        <v>190</v>
      </c>
      <c r="F198" s="258" t="s">
        <v>284</v>
      </c>
      <c r="G198" s="272">
        <f>IF($B198="SEL","N/A - SEL",INDEX('Solar-Only Proposal'!$A$32:$W$38,MATCH($A198,'Solar-Only Proposal'!$D$32:$D$38,0),MATCH($D198,'Solar-Only Proposal'!$A$31:$W$31,0)))</f>
        <v>0</v>
      </c>
      <c r="H198" s="260" t="s">
        <v>286</v>
      </c>
      <c r="N198" s="262">
        <v>16</v>
      </c>
      <c r="O198" s="293">
        <f>IF($B198="SEL","N/A - SEL",O197*(1-'System Specification'!$D$10)*IF(N198&lt;=$C198,1,0))</f>
        <v>0</v>
      </c>
      <c r="P198" s="293" t="str" cm="1">
        <f t="array" ref="P198">INDEX(PeGu!$B$24:$H$43,$S198,MATCH($A196,_xlfn.ANCHORARRAY(PeGu!$B$20),0))</f>
        <v/>
      </c>
      <c r="Q198" s="294">
        <f>IF($B198="SEL","N/A - SEL",PeGu!$E$14*POWER(1+PeGu!$E$15,$S198-1))</f>
        <v>7.7898370830038227E-2</v>
      </c>
      <c r="S198" s="262">
        <v>16</v>
      </c>
      <c r="T198" s="293">
        <f>IF($B198="SEL","N/A - SEL",T197*(1-'System Specification'!$D$10)*IF(S198&lt;=$C198,1,0))</f>
        <v>0</v>
      </c>
      <c r="U198" s="293" t="str" cm="1">
        <f t="array" ref="U198">INDEX(PeGu!$B$52:$H$71,$S198,MATCH($A196,_xlfn.ANCHORARRAY(PeGu!$B$48),0))</f>
        <v/>
      </c>
      <c r="V198" s="294">
        <f>IF($B198="SEL","N/A - SEL",PeGu!$E$14*POWER(1+PeGu!$E$15,$S198-1))</f>
        <v>7.7898370830038227E-2</v>
      </c>
      <c r="X198" s="262">
        <v>16</v>
      </c>
      <c r="Y198" s="293" t="str" cm="1">
        <f t="array" ref="Y198">IF($B198="SEL","N/A - SEL",INDEX(PeGu!$B$78:$H$97,$X198,MATCH($A196,PeGu!$B$76:$H$76,0)))</f>
        <v/>
      </c>
      <c r="Z198" s="294">
        <f>IF($B198="SEL","N/A - SEL",PeGu!$K$12*POWER(1+PeGu!$K$13,$X198-1))</f>
        <v>0</v>
      </c>
      <c r="AB198" s="263">
        <v>16</v>
      </c>
      <c r="AC198" s="264" cm="1">
        <f t="array" ref="AC198">INDEX('Contract Early Termination'!$B$14:$H$33,$AB198,MATCH($A196,_xlfn.ANCHORARRAY('Contract Early Termination'!$B$10),0))</f>
        <v>0</v>
      </c>
      <c r="AE198" s="263">
        <v>16</v>
      </c>
      <c r="AF198" s="264" cm="1">
        <f t="array" ref="AF198">INDEX('Contract Early Termination'!$B$41:$H$60,$AE198,MATCH($A196,_xlfn.ANCHORARRAY('Contract Early Termination'!$B$37),0))</f>
        <v>0</v>
      </c>
      <c r="AH198" s="263">
        <v>16</v>
      </c>
      <c r="AI198" s="264" cm="1">
        <f t="array" ref="AI198">INDEX('Contract Early Termination'!$B$68:$H$87,$AB198,MATCH($A196,_xlfn.ANCHORARRAY('Contract Early Termination'!$B$64),0))</f>
        <v>0</v>
      </c>
      <c r="AK198" s="263">
        <v>16</v>
      </c>
      <c r="AL198" s="293" t="str">
        <f>IF($B198="SPPA","N/A - SPPA",AL197*(1-'System Specification'!$D$10)*IF(AK198&lt;=$C198,1,0))</f>
        <v>N/A - SPPA</v>
      </c>
      <c r="AM198" s="293" t="str">
        <f>IF($B198="SPPA","N/A - SPPA",AM197*(1-INDEX('System Specification'!$Q$14:$Q$20,MATCH($A198,'System Specification'!$D$14:$D$20,0)))*IF(AK198&lt;=$C198,1,0))</f>
        <v>N/A - SPPA</v>
      </c>
      <c r="AN198" s="298" t="str" cm="1">
        <f t="array" ref="AN198">IF($B198="SPPA","N/A - SPPA",INDEX(PeGu!$B$78:$H$97,$AK198,MATCH($A196,PeGu!$B$76:$H$76,0)))</f>
        <v>N/A - SPPA</v>
      </c>
      <c r="AP198" s="262">
        <v>16</v>
      </c>
      <c r="AQ198" s="269" t="str">
        <f>IF($B198="SPPA","N/A - SPPA", INDEX('Microgrid Proposal'!$N$32:$N$38,MATCH($A198,'Microgrid Proposal'!$D$32:$D$38,0))*IF(AP198&lt;=$C198,1,0))</f>
        <v>N/A - SPPA</v>
      </c>
      <c r="AR198" s="264" t="str">
        <f t="shared" si="27"/>
        <v>N/A - SPPA</v>
      </c>
      <c r="AT198" s="262">
        <v>16</v>
      </c>
      <c r="AU198" s="269" t="str">
        <f>IF($B198="SPPA","N/A - SPPA", INDEX('Solar+Storage Proposal'!$N$32:$N$38,MATCH($A198,'Solar+Storage Proposal'!$D$32:$D$38,0))*IF(AT198&lt;=$C198,1,0))</f>
        <v>N/A - SPPA</v>
      </c>
      <c r="AV198" s="264" t="str">
        <f t="shared" si="28"/>
        <v>N/A - SPPA</v>
      </c>
      <c r="AX198" s="262">
        <v>16</v>
      </c>
      <c r="AY198" s="269" t="str">
        <f>IF($B198="SPPA","N/A - SPPA", INDEX('Solar-Only Proposal'!$M$32:$M$38,MATCH($A198,'Solar-Only Proposal'!$D$32:$D$38,0))*IF(AX198&lt;=$C198,1,0))</f>
        <v>N/A - SPPA</v>
      </c>
      <c r="AZ198" s="264" t="str">
        <f t="shared" si="29"/>
        <v>N/A - SPPA</v>
      </c>
    </row>
    <row r="199" spans="1:52" ht="15" thickBot="1" x14ac:dyDescent="0.4">
      <c r="A199" s="251" t="str">
        <f t="shared" si="25"/>
        <v>37-I1</v>
      </c>
      <c r="B199" s="251" t="str">
        <f t="shared" si="26"/>
        <v>SPPA</v>
      </c>
      <c r="C199" s="251">
        <f>INDEX('Site Data'!$S$7:$S$13,MATCH($A199,'Site Data'!$C$7:$C$13,0))</f>
        <v>20</v>
      </c>
      <c r="N199" s="262">
        <v>17</v>
      </c>
      <c r="O199" s="293">
        <f>IF($B199="SEL","N/A - SEL",O198*(1-'System Specification'!$D$10)*IF(N199&lt;=$C199,1,0))</f>
        <v>0</v>
      </c>
      <c r="P199" s="293" t="str" cm="1">
        <f t="array" ref="P199">INDEX(PeGu!$B$24:$H$43,$S199,MATCH($A197,_xlfn.ANCHORARRAY(PeGu!$B$20),0))</f>
        <v/>
      </c>
      <c r="Q199" s="294">
        <f>IF($B199="SEL","N/A - SEL",PeGu!$E$14*POWER(1+PeGu!$E$15,$S199-1))</f>
        <v>8.0235321954939362E-2</v>
      </c>
      <c r="S199" s="262">
        <v>17</v>
      </c>
      <c r="T199" s="293">
        <f>IF($B199="SEL","N/A - SEL",T198*(1-'System Specification'!$D$10)*IF(S199&lt;=$C199,1,0))</f>
        <v>0</v>
      </c>
      <c r="U199" s="293" t="str" cm="1">
        <f t="array" ref="U199">INDEX(PeGu!$B$52:$H$71,$S199,MATCH($A197,_xlfn.ANCHORARRAY(PeGu!$B$48),0))</f>
        <v/>
      </c>
      <c r="V199" s="294">
        <f>IF($B199="SEL","N/A - SEL",PeGu!$E$14*POWER(1+PeGu!$E$15,$S199-1))</f>
        <v>8.0235321954939362E-2</v>
      </c>
      <c r="X199" s="262">
        <v>17</v>
      </c>
      <c r="Y199" s="293" t="str" cm="1">
        <f t="array" ref="Y199">IF($B199="SEL","N/A - SEL",INDEX(PeGu!$B$78:$H$97,$X199,MATCH($A197,PeGu!$B$76:$H$76,0)))</f>
        <v/>
      </c>
      <c r="Z199" s="294">
        <f>IF($B199="SEL","N/A - SEL",PeGu!$K$12*POWER(1+PeGu!$K$13,$X199-1))</f>
        <v>0</v>
      </c>
      <c r="AB199" s="263">
        <v>17</v>
      </c>
      <c r="AC199" s="264" cm="1">
        <f t="array" ref="AC199">INDEX('Contract Early Termination'!$B$14:$H$33,$AB199,MATCH($A197,_xlfn.ANCHORARRAY('Contract Early Termination'!$B$10),0))</f>
        <v>0</v>
      </c>
      <c r="AE199" s="263">
        <v>17</v>
      </c>
      <c r="AF199" s="264" cm="1">
        <f t="array" ref="AF199">INDEX('Contract Early Termination'!$B$41:$H$60,$AE199,MATCH($A197,_xlfn.ANCHORARRAY('Contract Early Termination'!$B$37),0))</f>
        <v>0</v>
      </c>
      <c r="AH199" s="263">
        <v>17</v>
      </c>
      <c r="AI199" s="264" cm="1">
        <f t="array" ref="AI199">INDEX('Contract Early Termination'!$B$68:$H$87,$AB199,MATCH($A197,_xlfn.ANCHORARRAY('Contract Early Termination'!$B$64),0))</f>
        <v>0</v>
      </c>
      <c r="AK199" s="263">
        <v>17</v>
      </c>
      <c r="AL199" s="293" t="str">
        <f>IF($B199="SPPA","N/A - SPPA",AL198*(1-'System Specification'!$D$10)*IF(AK199&lt;=$C199,1,0))</f>
        <v>N/A - SPPA</v>
      </c>
      <c r="AM199" s="293" t="str">
        <f>IF($B199="SPPA","N/A - SPPA",AM198*(1-INDEX('System Specification'!$Q$14:$Q$20,MATCH($A199,'System Specification'!$D$14:$D$20,0)))*IF(AK199&lt;=$C199,1,0))</f>
        <v>N/A - SPPA</v>
      </c>
      <c r="AN199" s="298" t="str" cm="1">
        <f t="array" ref="AN199">IF($B199="SPPA","N/A - SPPA",INDEX(PeGu!$B$78:$H$97,$AK199,MATCH($A197,PeGu!$B$76:$H$76,0)))</f>
        <v>N/A - SPPA</v>
      </c>
      <c r="AP199" s="262">
        <v>17</v>
      </c>
      <c r="AQ199" s="269" t="str">
        <f>IF($B199="SPPA","N/A - SPPA", INDEX('Microgrid Proposal'!$N$32:$N$38,MATCH($A199,'Microgrid Proposal'!$D$32:$D$38,0))*IF(AP199&lt;=$C199,1,0))</f>
        <v>N/A - SPPA</v>
      </c>
      <c r="AR199" s="264" t="str">
        <f t="shared" si="27"/>
        <v>N/A - SPPA</v>
      </c>
      <c r="AT199" s="262">
        <v>17</v>
      </c>
      <c r="AU199" s="269" t="str">
        <f>IF($B199="SPPA","N/A - SPPA", INDEX('Solar+Storage Proposal'!$N$32:$N$38,MATCH($A199,'Solar+Storage Proposal'!$D$32:$D$38,0))*IF(AT199&lt;=$C199,1,0))</f>
        <v>N/A - SPPA</v>
      </c>
      <c r="AV199" s="264" t="str">
        <f t="shared" si="28"/>
        <v>N/A - SPPA</v>
      </c>
      <c r="AX199" s="262">
        <v>17</v>
      </c>
      <c r="AY199" s="269" t="str">
        <f>IF($B199="SPPA","N/A - SPPA", INDEX('Solar-Only Proposal'!$M$32:$M$38,MATCH($A199,'Solar-Only Proposal'!$D$32:$D$38,0))*IF(AX199&lt;=$C199,1,0))</f>
        <v>N/A - SPPA</v>
      </c>
      <c r="AZ199" s="264" t="str">
        <f t="shared" si="29"/>
        <v>N/A - SPPA</v>
      </c>
    </row>
    <row r="200" spans="1:52" ht="15" thickBot="1" x14ac:dyDescent="0.4">
      <c r="A200" s="251" t="str">
        <f t="shared" si="25"/>
        <v>37-I1</v>
      </c>
      <c r="B200" s="251" t="str">
        <f t="shared" si="26"/>
        <v>SPPA</v>
      </c>
      <c r="C200" s="251">
        <f>INDEX('Site Data'!$S$7:$S$13,MATCH($A200,'Site Data'!$C$7:$C$13,0))</f>
        <v>20</v>
      </c>
      <c r="F200" s="502" t="s">
        <v>236</v>
      </c>
      <c r="G200" s="503"/>
      <c r="H200" s="504"/>
      <c r="J200" s="502" t="s">
        <v>237</v>
      </c>
      <c r="K200" s="503"/>
      <c r="L200" s="504"/>
      <c r="N200" s="262">
        <v>18</v>
      </c>
      <c r="O200" s="293">
        <f>IF($B200="SEL","N/A - SEL",O199*(1-'System Specification'!$D$10)*IF(N200&lt;=$C200,1,0))</f>
        <v>0</v>
      </c>
      <c r="P200" s="293" t="str" cm="1">
        <f t="array" ref="P200">INDEX(PeGu!$B$24:$H$43,$S200,MATCH($A198,_xlfn.ANCHORARRAY(PeGu!$B$20),0))</f>
        <v/>
      </c>
      <c r="Q200" s="294">
        <f>IF($B200="SEL","N/A - SEL",PeGu!$E$14*POWER(1+PeGu!$E$15,$S200-1))</f>
        <v>8.2642381613587543E-2</v>
      </c>
      <c r="S200" s="262">
        <v>18</v>
      </c>
      <c r="T200" s="293">
        <f>IF($B200="SEL","N/A - SEL",T199*(1-'System Specification'!$D$10)*IF(S200&lt;=$C200,1,0))</f>
        <v>0</v>
      </c>
      <c r="U200" s="293" t="str" cm="1">
        <f t="array" ref="U200">INDEX(PeGu!$B$52:$H$71,$S200,MATCH($A198,_xlfn.ANCHORARRAY(PeGu!$B$48),0))</f>
        <v/>
      </c>
      <c r="V200" s="294">
        <f>IF($B200="SEL","N/A - SEL",PeGu!$E$14*POWER(1+PeGu!$E$15,$S200-1))</f>
        <v>8.2642381613587543E-2</v>
      </c>
      <c r="X200" s="262">
        <v>18</v>
      </c>
      <c r="Y200" s="293" t="str" cm="1">
        <f t="array" ref="Y200">IF($B200="SEL","N/A - SEL",INDEX(PeGu!$B$78:$H$97,$X200,MATCH($A198,PeGu!$B$76:$H$76,0)))</f>
        <v/>
      </c>
      <c r="Z200" s="294">
        <f>IF($B200="SEL","N/A - SEL",PeGu!$K$12*POWER(1+PeGu!$K$13,$X200-1))</f>
        <v>0</v>
      </c>
      <c r="AB200" s="263">
        <v>18</v>
      </c>
      <c r="AC200" s="264" cm="1">
        <f t="array" ref="AC200">INDEX('Contract Early Termination'!$B$14:$H$33,$AB200,MATCH($A198,_xlfn.ANCHORARRAY('Contract Early Termination'!$B$10),0))</f>
        <v>0</v>
      </c>
      <c r="AE200" s="263">
        <v>18</v>
      </c>
      <c r="AF200" s="264" cm="1">
        <f t="array" ref="AF200">INDEX('Contract Early Termination'!$B$41:$H$60,$AE200,MATCH($A198,_xlfn.ANCHORARRAY('Contract Early Termination'!$B$37),0))</f>
        <v>0</v>
      </c>
      <c r="AH200" s="263">
        <v>18</v>
      </c>
      <c r="AI200" s="264" cm="1">
        <f t="array" ref="AI200">INDEX('Contract Early Termination'!$B$68:$H$87,$AB200,MATCH($A198,_xlfn.ANCHORARRAY('Contract Early Termination'!$B$64),0))</f>
        <v>0</v>
      </c>
      <c r="AK200" s="263">
        <v>18</v>
      </c>
      <c r="AL200" s="293" t="str">
        <f>IF($B200="SPPA","N/A - SPPA",AL199*(1-'System Specification'!$D$10)*IF(AK200&lt;=$C200,1,0))</f>
        <v>N/A - SPPA</v>
      </c>
      <c r="AM200" s="293" t="str">
        <f>IF($B200="SPPA","N/A - SPPA",AM199*(1-INDEX('System Specification'!$Q$14:$Q$20,MATCH($A200,'System Specification'!$D$14:$D$20,0)))*IF(AK200&lt;=$C200,1,0))</f>
        <v>N/A - SPPA</v>
      </c>
      <c r="AN200" s="298" t="str" cm="1">
        <f t="array" ref="AN200">IF($B200="SPPA","N/A - SPPA",INDEX(PeGu!$B$78:$H$97,$AK200,MATCH($A198,PeGu!$B$76:$H$76,0)))</f>
        <v>N/A - SPPA</v>
      </c>
      <c r="AP200" s="262">
        <v>18</v>
      </c>
      <c r="AQ200" s="269" t="str">
        <f>IF($B200="SPPA","N/A - SPPA", INDEX('Microgrid Proposal'!$N$32:$N$38,MATCH($A200,'Microgrid Proposal'!$D$32:$D$38,0))*IF(AP200&lt;=$C200,1,0))</f>
        <v>N/A - SPPA</v>
      </c>
      <c r="AR200" s="264" t="str">
        <f t="shared" si="27"/>
        <v>N/A - SPPA</v>
      </c>
      <c r="AT200" s="262">
        <v>18</v>
      </c>
      <c r="AU200" s="269" t="str">
        <f>IF($B200="SPPA","N/A - SPPA", INDEX('Solar+Storage Proposal'!$N$32:$N$38,MATCH($A200,'Solar+Storage Proposal'!$D$32:$D$38,0))*IF(AT200&lt;=$C200,1,0))</f>
        <v>N/A - SPPA</v>
      </c>
      <c r="AV200" s="264" t="str">
        <f t="shared" si="28"/>
        <v>N/A - SPPA</v>
      </c>
      <c r="AX200" s="262">
        <v>18</v>
      </c>
      <c r="AY200" s="269" t="str">
        <f>IF($B200="SPPA","N/A - SPPA", INDEX('Solar-Only Proposal'!$M$32:$M$38,MATCH($A200,'Solar-Only Proposal'!$D$32:$D$38,0))*IF(AX200&lt;=$C200,1,0))</f>
        <v>N/A - SPPA</v>
      </c>
      <c r="AZ200" s="264" t="str">
        <f t="shared" si="29"/>
        <v>N/A - SPPA</v>
      </c>
    </row>
    <row r="201" spans="1:52" ht="15" thickBot="1" x14ac:dyDescent="0.4">
      <c r="A201" s="251" t="str">
        <f t="shared" si="25"/>
        <v>37-I1</v>
      </c>
      <c r="B201" s="251" t="str">
        <f t="shared" si="26"/>
        <v>SPPA</v>
      </c>
      <c r="C201" s="251">
        <f>INDEX('Site Data'!$S$7:$S$13,MATCH($A201,'Site Data'!$C$7:$C$13,0))</f>
        <v>20</v>
      </c>
      <c r="F201" s="502" t="s">
        <v>290</v>
      </c>
      <c r="G201" s="503"/>
      <c r="H201" s="504"/>
      <c r="J201" s="502" t="s">
        <v>291</v>
      </c>
      <c r="K201" s="503"/>
      <c r="L201" s="504"/>
      <c r="N201" s="262">
        <v>19</v>
      </c>
      <c r="O201" s="293">
        <f>IF($B201="SEL","N/A - SEL",O200*(1-'System Specification'!$D$10)*IF(N201&lt;=$C201,1,0))</f>
        <v>0</v>
      </c>
      <c r="P201" s="293" t="str" cm="1">
        <f t="array" ref="P201">INDEX(PeGu!$B$24:$H$43,$S201,MATCH($A199,_xlfn.ANCHORARRAY(PeGu!$B$20),0))</f>
        <v/>
      </c>
      <c r="Q201" s="294">
        <f>IF($B201="SEL","N/A - SEL",PeGu!$E$14*POWER(1+PeGu!$E$15,$S201-1))</f>
        <v>8.5121653061995164E-2</v>
      </c>
      <c r="S201" s="262">
        <v>19</v>
      </c>
      <c r="T201" s="293">
        <f>IF($B201="SEL","N/A - SEL",T200*(1-'System Specification'!$D$10)*IF(S201&lt;=$C201,1,0))</f>
        <v>0</v>
      </c>
      <c r="U201" s="293" t="str" cm="1">
        <f t="array" ref="U201">INDEX(PeGu!$B$52:$H$71,$S201,MATCH($A199,_xlfn.ANCHORARRAY(PeGu!$B$48),0))</f>
        <v/>
      </c>
      <c r="V201" s="294">
        <f>IF($B201="SEL","N/A - SEL",PeGu!$E$14*POWER(1+PeGu!$E$15,$S201-1))</f>
        <v>8.5121653061995164E-2</v>
      </c>
      <c r="X201" s="262">
        <v>19</v>
      </c>
      <c r="Y201" s="293" t="str" cm="1">
        <f t="array" ref="Y201">IF($B201="SEL","N/A - SEL",INDEX(PeGu!$B$78:$H$97,$X201,MATCH($A199,PeGu!$B$76:$H$76,0)))</f>
        <v/>
      </c>
      <c r="Z201" s="294">
        <f>IF($B201="SEL","N/A - SEL",PeGu!$K$12*POWER(1+PeGu!$K$13,$X201-1))</f>
        <v>0</v>
      </c>
      <c r="AB201" s="263">
        <v>19</v>
      </c>
      <c r="AC201" s="264" cm="1">
        <f t="array" ref="AC201">INDEX('Contract Early Termination'!$B$14:$H$33,$AB201,MATCH($A199,_xlfn.ANCHORARRAY('Contract Early Termination'!$B$10),0))</f>
        <v>0</v>
      </c>
      <c r="AE201" s="263">
        <v>19</v>
      </c>
      <c r="AF201" s="264" cm="1">
        <f t="array" ref="AF201">INDEX('Contract Early Termination'!$B$41:$H$60,$AE201,MATCH($A199,_xlfn.ANCHORARRAY('Contract Early Termination'!$B$37),0))</f>
        <v>0</v>
      </c>
      <c r="AH201" s="263">
        <v>19</v>
      </c>
      <c r="AI201" s="264" cm="1">
        <f t="array" ref="AI201">INDEX('Contract Early Termination'!$B$68:$H$87,$AB201,MATCH($A199,_xlfn.ANCHORARRAY('Contract Early Termination'!$B$64),0))</f>
        <v>0</v>
      </c>
      <c r="AJ201" s="278"/>
      <c r="AK201" s="263">
        <v>19</v>
      </c>
      <c r="AL201" s="293" t="str">
        <f>IF($B201="SPPA","N/A - SPPA",AL200*(1-'System Specification'!$D$10)*IF(AK201&lt;=$C201,1,0))</f>
        <v>N/A - SPPA</v>
      </c>
      <c r="AM201" s="293" t="str">
        <f>IF($B201="SPPA","N/A - SPPA",AM200*(1-INDEX('System Specification'!$Q$14:$Q$20,MATCH($A201,'System Specification'!$D$14:$D$20,0)))*IF(AK201&lt;=$C201,1,0))</f>
        <v>N/A - SPPA</v>
      </c>
      <c r="AN201" s="298" t="str" cm="1">
        <f t="array" ref="AN201">IF($B201="SPPA","N/A - SPPA",INDEX(PeGu!$B$78:$H$97,$AK201,MATCH($A199,PeGu!$B$76:$H$76,0)))</f>
        <v>N/A - SPPA</v>
      </c>
      <c r="AP201" s="265">
        <v>19</v>
      </c>
      <c r="AQ201" s="269" t="str">
        <f>IF($B201="SPPA","N/A - SPPA", INDEX('Microgrid Proposal'!$N$32:$N$38,MATCH($A201,'Microgrid Proposal'!$D$32:$D$38,0))*IF(AP201&lt;=$C201,1,0))</f>
        <v>N/A - SPPA</v>
      </c>
      <c r="AR201" s="264" t="str">
        <f t="shared" si="27"/>
        <v>N/A - SPPA</v>
      </c>
      <c r="AT201" s="265">
        <v>19</v>
      </c>
      <c r="AU201" s="269" t="str">
        <f>IF($B201="SPPA","N/A - SPPA", INDEX('Solar+Storage Proposal'!$N$32:$N$38,MATCH($A201,'Solar+Storage Proposal'!$D$32:$D$38,0))*IF(AT201&lt;=$C201,1,0))</f>
        <v>N/A - SPPA</v>
      </c>
      <c r="AV201" s="264" t="str">
        <f t="shared" si="28"/>
        <v>N/A - SPPA</v>
      </c>
      <c r="AX201" s="265">
        <v>19</v>
      </c>
      <c r="AY201" s="269" t="str">
        <f>IF($B201="SPPA","N/A - SPPA", INDEX('Solar-Only Proposal'!$M$32:$M$38,MATCH($A201,'Solar-Only Proposal'!$D$32:$D$38,0))*IF(AX201&lt;=$C201,1,0))</f>
        <v>N/A - SPPA</v>
      </c>
      <c r="AZ201" s="264" t="str">
        <f t="shared" si="29"/>
        <v>N/A - SPPA</v>
      </c>
    </row>
    <row r="202" spans="1:52" ht="15" thickBot="1" x14ac:dyDescent="0.4">
      <c r="A202" s="251" t="str">
        <f t="shared" si="25"/>
        <v>37-I1</v>
      </c>
      <c r="B202" s="251" t="str">
        <f t="shared" si="26"/>
        <v>SPPA</v>
      </c>
      <c r="C202" s="251">
        <f>INDEX('Site Data'!$S$7:$S$13,MATCH($A202,'Site Data'!$C$7:$C$13,0))</f>
        <v>20</v>
      </c>
      <c r="F202" s="280" t="s">
        <v>292</v>
      </c>
      <c r="G202" s="281">
        <f>G181</f>
        <v>20</v>
      </c>
      <c r="H202" s="282" t="s">
        <v>250</v>
      </c>
      <c r="J202" s="266" t="s">
        <v>292</v>
      </c>
      <c r="K202" s="285" t="str">
        <f>K181</f>
        <v>N/A - SPPA</v>
      </c>
      <c r="L202" s="268" t="s">
        <v>250</v>
      </c>
      <c r="N202" s="258">
        <v>20</v>
      </c>
      <c r="O202" s="259">
        <f>IF($B202="SEL","N/A - SEL",O201*(1-'System Specification'!$D$10)*IF(N202&lt;=$C202,1,0))</f>
        <v>0</v>
      </c>
      <c r="P202" s="259" t="str" cm="1">
        <f t="array" ref="P202">INDEX(PeGu!$B$24:$H$43,$S202,MATCH($A200,_xlfn.ANCHORARRAY(PeGu!$B$20),0))</f>
        <v/>
      </c>
      <c r="Q202" s="295">
        <f>IF($B202="SEL","N/A - SEL",PeGu!$E$14*POWER(1+PeGu!$E$15,$S202-1))</f>
        <v>8.7675302653855022E-2</v>
      </c>
      <c r="S202" s="258">
        <v>20</v>
      </c>
      <c r="T202" s="259">
        <f>IF($B202="SEL","N/A - SEL",T201*(1-'System Specification'!$D$10)*IF(S202&lt;=$C202,1,0))</f>
        <v>0</v>
      </c>
      <c r="U202" s="259" t="str" cm="1">
        <f t="array" ref="U202">INDEX(PeGu!$B$52:$H$71,$S202,MATCH($A200,_xlfn.ANCHORARRAY(PeGu!$B$48),0))</f>
        <v/>
      </c>
      <c r="V202" s="295">
        <f>IF($B202="SEL","N/A - SEL",PeGu!$E$14*POWER(1+PeGu!$E$15,$S202-1))</f>
        <v>8.7675302653855022E-2</v>
      </c>
      <c r="X202" s="258">
        <v>20</v>
      </c>
      <c r="Y202" s="259" t="str" cm="1">
        <f t="array" ref="Y202">IF($B202="SEL","N/A - SEL",INDEX(PeGu!$B$78:$H$97,$X202,MATCH($A200,PeGu!$B$76:$H$76,0)))</f>
        <v/>
      </c>
      <c r="Z202" s="295">
        <f>IF($B202="SEL","N/A - SEL",PeGu!$K$12*POWER(1+PeGu!$K$13,$X202-1))</f>
        <v>0</v>
      </c>
      <c r="AB202" s="273">
        <v>20</v>
      </c>
      <c r="AC202" s="274" cm="1">
        <f t="array" ref="AC202">INDEX('Contract Early Termination'!$B$14:$H$33,$AB202,MATCH($A200,_xlfn.ANCHORARRAY('Contract Early Termination'!$B$10),0))</f>
        <v>0</v>
      </c>
      <c r="AD202" s="275"/>
      <c r="AE202" s="273">
        <v>20</v>
      </c>
      <c r="AF202" s="274" cm="1">
        <f t="array" ref="AF202">INDEX('Contract Early Termination'!$B$41:$H$60,$AE202,MATCH($A200,_xlfn.ANCHORARRAY('Contract Early Termination'!$B$37),0))</f>
        <v>0</v>
      </c>
      <c r="AG202" s="277"/>
      <c r="AH202" s="273">
        <v>20</v>
      </c>
      <c r="AI202" s="274" cm="1">
        <f t="array" ref="AI202">INDEX('Contract Early Termination'!$B$68:$H$87,$AB202,MATCH($A200,_xlfn.ANCHORARRAY('Contract Early Termination'!$B$64),0))</f>
        <v>0</v>
      </c>
      <c r="AJ202" s="278"/>
      <c r="AK202" s="273">
        <v>20</v>
      </c>
      <c r="AL202" s="259" t="str">
        <f>IF($B202="SPPA","N/A - SPPA",AL201*(1-'System Specification'!$D$10)*IF(AK202&lt;=$C202,1,0))</f>
        <v>N/A - SPPA</v>
      </c>
      <c r="AM202" s="259" t="str">
        <f>IF($B202="SPPA","N/A - SPPA",AM201*(1-INDEX('System Specification'!$Q$14:$Q$20,MATCH($A202,'System Specification'!$D$14:$D$20,0)))*IF(AK202&lt;=$C202,1,0))</f>
        <v>N/A - SPPA</v>
      </c>
      <c r="AN202" s="299" t="str" cm="1">
        <f t="array" ref="AN202">IF($B202="SPPA","N/A - SPPA",INDEX(PeGu!$B$78:$H$97,$AK202,MATCH($A200,PeGu!$B$76:$H$76,0)))</f>
        <v>N/A - SPPA</v>
      </c>
      <c r="AP202" s="276">
        <v>20</v>
      </c>
      <c r="AQ202" s="300" t="str">
        <f>IF($B202="SPPA","N/A - SPPA", INDEX('Microgrid Proposal'!$N$32:$N$38,MATCH($A202,'Microgrid Proposal'!$D$32:$D$38,0))*IF(AP202&lt;=$C202,1,0))</f>
        <v>N/A - SPPA</v>
      </c>
      <c r="AR202" s="274" t="str">
        <f t="shared" si="27"/>
        <v>N/A - SPPA</v>
      </c>
      <c r="AT202" s="276">
        <v>20</v>
      </c>
      <c r="AU202" s="300" t="str">
        <f>IF($B202="SPPA","N/A - SPPA", INDEX('Solar+Storage Proposal'!$N$32:$N$38,MATCH($A202,'Solar+Storage Proposal'!$D$32:$D$38,0))*IF(AT202&lt;=$C202,1,0))</f>
        <v>N/A - SPPA</v>
      </c>
      <c r="AV202" s="274" t="str">
        <f t="shared" si="28"/>
        <v>N/A - SPPA</v>
      </c>
      <c r="AX202" s="276">
        <v>20</v>
      </c>
      <c r="AY202" s="300" t="str">
        <f>IF($B202="SPPA","N/A - SPPA", INDEX('Solar-Only Proposal'!$M$32:$M$38,MATCH($A202,'Solar-Only Proposal'!$D$32:$D$38,0))*IF(AX202&lt;=$C202,1,0))</f>
        <v>N/A - SPPA</v>
      </c>
      <c r="AZ202" s="274" t="str">
        <f t="shared" si="29"/>
        <v>N/A - SPPA</v>
      </c>
    </row>
    <row r="203" spans="1:52" ht="15" thickBot="1" x14ac:dyDescent="0.4">
      <c r="A203" s="251" t="str">
        <f t="shared" si="25"/>
        <v>37-I1</v>
      </c>
      <c r="B203" s="251" t="str">
        <f t="shared" si="26"/>
        <v>SPPA</v>
      </c>
      <c r="C203" s="251">
        <f>INDEX('Site Data'!$S$7:$S$13,MATCH($A203,'Site Data'!$C$7:$C$13,0))</f>
        <v>20</v>
      </c>
      <c r="F203" s="502" t="s">
        <v>293</v>
      </c>
      <c r="G203" s="503"/>
      <c r="H203" s="504"/>
      <c r="J203" s="258" t="s">
        <v>294</v>
      </c>
      <c r="K203" s="302" t="str">
        <f>IF($B203="SPPA","N/A - SPPA",PeGu!$E$16)</f>
        <v>N/A - SPPA</v>
      </c>
      <c r="L203" s="260" t="s">
        <v>295</v>
      </c>
      <c r="T203" s="275"/>
      <c r="U203" s="275"/>
      <c r="V203" s="283"/>
      <c r="Y203" s="275"/>
      <c r="Z203" s="275"/>
      <c r="AA203" s="283"/>
      <c r="AD203" s="275"/>
      <c r="AE203" s="283"/>
      <c r="AG203" s="277"/>
      <c r="AH203" s="279"/>
      <c r="AJ203" s="278"/>
      <c r="AK203" s="279"/>
      <c r="AM203" s="278"/>
      <c r="AN203" s="279"/>
      <c r="AP203" s="278"/>
      <c r="AQ203" s="278"/>
      <c r="AR203" s="278"/>
      <c r="AT203" s="278"/>
      <c r="AU203" s="278"/>
      <c r="AV203" s="278"/>
      <c r="AX203" s="278"/>
      <c r="AY203" s="278"/>
      <c r="AZ203" s="278"/>
    </row>
    <row r="204" spans="1:52" ht="15" thickBot="1" x14ac:dyDescent="0.4">
      <c r="A204" s="251" t="str">
        <f t="shared" si="25"/>
        <v>37-I1</v>
      </c>
      <c r="B204" s="251" t="str">
        <f t="shared" si="26"/>
        <v>SPPA</v>
      </c>
      <c r="C204" s="251">
        <f>INDEX('Site Data'!$S$7:$S$13,MATCH($A204,'Site Data'!$C$7:$C$13,0))</f>
        <v>20</v>
      </c>
      <c r="F204" s="280" t="s">
        <v>296</v>
      </c>
      <c r="G204" s="284">
        <f>IF($B204="SEL","N/A - SEL",PeGu!$E$12)</f>
        <v>0</v>
      </c>
      <c r="H204" s="282" t="s">
        <v>295</v>
      </c>
      <c r="T204" s="275"/>
      <c r="U204" s="275"/>
      <c r="V204" s="283"/>
      <c r="Y204" s="275"/>
      <c r="Z204" s="275"/>
      <c r="AA204" s="283"/>
      <c r="AD204" s="275"/>
      <c r="AE204" s="283"/>
      <c r="AG204" s="277"/>
      <c r="AH204" s="279"/>
      <c r="AJ204" s="278"/>
      <c r="AK204" s="279"/>
      <c r="AM204" s="278"/>
      <c r="AN204" s="279"/>
      <c r="AP204" s="278"/>
      <c r="AQ204" s="278"/>
      <c r="AR204" s="278"/>
      <c r="AT204" s="278"/>
      <c r="AU204" s="278"/>
      <c r="AV204" s="278"/>
      <c r="AX204" s="278"/>
      <c r="AY204" s="278"/>
      <c r="AZ204" s="278"/>
    </row>
    <row r="205" spans="1:52" ht="15" thickBot="1" x14ac:dyDescent="0.4"/>
    <row r="206" spans="1:52" x14ac:dyDescent="0.35">
      <c r="F206" s="255" t="s">
        <v>9</v>
      </c>
      <c r="G206" s="522">
        <f>G173+1</f>
        <v>7</v>
      </c>
      <c r="H206" s="523"/>
    </row>
    <row r="207" spans="1:52" x14ac:dyDescent="0.35">
      <c r="F207" s="256" t="s">
        <v>10</v>
      </c>
      <c r="G207" s="524" t="str">
        <f>INDEX(Site_Data_Table,MATCH(G206,'Site Data'!$A$6:$A$13,0),MATCH(F207,Site_Data_Column_Names,0))</f>
        <v>Santa Ana Courthouse</v>
      </c>
      <c r="H207" s="525"/>
    </row>
    <row r="208" spans="1:52" x14ac:dyDescent="0.35">
      <c r="F208" s="256" t="s">
        <v>11</v>
      </c>
      <c r="G208" s="526" t="str">
        <f>INDEX(Site_Data_Table,MATCH(G206,'Site Data'!$A$6:$A$13,0),MATCH(F208,Site_Data_Column_Names,0))</f>
        <v>64-E1</v>
      </c>
      <c r="H208" s="527"/>
    </row>
    <row r="209" spans="1:52" ht="15.65" customHeight="1" thickBot="1" x14ac:dyDescent="0.4">
      <c r="F209" s="257" t="s">
        <v>26</v>
      </c>
      <c r="G209" s="531" t="str">
        <f>INDEX(Site_Data_Table,MATCH(G206,'Site Data'!$A$6:$A$13,0),MATCH(F209,Site_Data_Column_Names,0))</f>
        <v>SPPA</v>
      </c>
      <c r="H209" s="532"/>
    </row>
    <row r="211" spans="1:52" ht="15.65" customHeight="1" thickBot="1" x14ac:dyDescent="0.4">
      <c r="A211" s="301" t="s">
        <v>11</v>
      </c>
      <c r="B211" s="301" t="s">
        <v>26</v>
      </c>
      <c r="C211" s="301" t="s">
        <v>231</v>
      </c>
      <c r="D211" s="301" t="s">
        <v>232</v>
      </c>
      <c r="E211" s="301" t="s">
        <v>233</v>
      </c>
    </row>
    <row r="212" spans="1:52" ht="15" thickBot="1" x14ac:dyDescent="0.4">
      <c r="A212" s="251" t="str">
        <f>G208</f>
        <v>64-E1</v>
      </c>
      <c r="B212" s="251" t="str">
        <f>G209</f>
        <v>SPPA</v>
      </c>
      <c r="C212" s="251">
        <f>INDEX('Site Data'!$S$7:$S$13,MATCH($A212,'Site Data'!$C$7:$C$13,0))</f>
        <v>20</v>
      </c>
      <c r="F212" s="502" t="s">
        <v>234</v>
      </c>
      <c r="G212" s="503"/>
      <c r="H212" s="504"/>
      <c r="J212" s="502" t="s">
        <v>235</v>
      </c>
      <c r="K212" s="503"/>
      <c r="L212" s="504"/>
      <c r="N212" s="513" t="s">
        <v>236</v>
      </c>
      <c r="O212" s="514"/>
      <c r="P212" s="514"/>
      <c r="Q212" s="515"/>
      <c r="S212" s="528" t="s">
        <v>236</v>
      </c>
      <c r="T212" s="529"/>
      <c r="U212" s="529"/>
      <c r="V212" s="530"/>
      <c r="X212" s="516" t="s">
        <v>236</v>
      </c>
      <c r="Y212" s="517"/>
      <c r="Z212" s="518"/>
      <c r="AB212" s="513" t="str">
        <f>IF($B212="SPPA","Attachment E","Attachment N2")</f>
        <v>Attachment E</v>
      </c>
      <c r="AC212" s="515"/>
      <c r="AE212" s="513" t="str">
        <f>IF($B212="SPPA","Attachment E","Attachment N2")</f>
        <v>Attachment E</v>
      </c>
      <c r="AF212" s="515"/>
      <c r="AH212" s="513" t="str">
        <f>IF($B212="SPPA","Attachment E","Attachment N2")</f>
        <v>Attachment E</v>
      </c>
      <c r="AI212" s="515"/>
      <c r="AK212" s="519" t="s">
        <v>237</v>
      </c>
      <c r="AL212" s="520"/>
      <c r="AM212" s="520"/>
      <c r="AN212" s="521"/>
      <c r="AP212" s="541" t="s">
        <v>235</v>
      </c>
      <c r="AQ212" s="542"/>
      <c r="AR212" s="543"/>
      <c r="AT212" s="541" t="s">
        <v>235</v>
      </c>
      <c r="AU212" s="542"/>
      <c r="AV212" s="543"/>
      <c r="AX212" s="541" t="s">
        <v>235</v>
      </c>
      <c r="AY212" s="542"/>
      <c r="AZ212" s="543"/>
    </row>
    <row r="213" spans="1:52" ht="14.65" customHeight="1" thickBot="1" x14ac:dyDescent="0.4">
      <c r="A213" s="251" t="str">
        <f>A212</f>
        <v>64-E1</v>
      </c>
      <c r="B213" s="251" t="str">
        <f>B212</f>
        <v>SPPA</v>
      </c>
      <c r="C213" s="251">
        <f>INDEX('Site Data'!$S$7:$S$13,MATCH($A213,'Site Data'!$C$7:$C$13,0))</f>
        <v>20</v>
      </c>
      <c r="F213" s="505" t="s">
        <v>46</v>
      </c>
      <c r="G213" s="506"/>
      <c r="H213" s="507"/>
      <c r="J213" s="502" t="s">
        <v>238</v>
      </c>
      <c r="K213" s="503"/>
      <c r="L213" s="504"/>
      <c r="N213" s="508" t="s">
        <v>239</v>
      </c>
      <c r="O213" s="509"/>
      <c r="P213" s="509"/>
      <c r="Q213" s="510"/>
      <c r="S213" s="508" t="s">
        <v>240</v>
      </c>
      <c r="T213" s="509"/>
      <c r="U213" s="509"/>
      <c r="V213" s="510"/>
      <c r="W213" s="252"/>
      <c r="X213" s="508" t="s">
        <v>241</v>
      </c>
      <c r="Y213" s="509"/>
      <c r="Z213" s="510"/>
      <c r="AB213" s="511" t="s">
        <v>242</v>
      </c>
      <c r="AC213" s="512"/>
      <c r="AE213" s="511" t="s">
        <v>243</v>
      </c>
      <c r="AF213" s="512"/>
      <c r="AH213" s="511" t="s">
        <v>244</v>
      </c>
      <c r="AI213" s="512"/>
      <c r="AK213" s="538" t="s">
        <v>245</v>
      </c>
      <c r="AL213" s="539"/>
      <c r="AM213" s="539"/>
      <c r="AN213" s="540"/>
      <c r="AP213" s="544" t="s">
        <v>246</v>
      </c>
      <c r="AQ213" s="545"/>
      <c r="AR213" s="546"/>
      <c r="AT213" s="544" t="s">
        <v>247</v>
      </c>
      <c r="AU213" s="545"/>
      <c r="AV213" s="546"/>
      <c r="AX213" s="544" t="s">
        <v>248</v>
      </c>
      <c r="AY213" s="545"/>
      <c r="AZ213" s="546"/>
    </row>
    <row r="214" spans="1:52" ht="15" thickBot="1" x14ac:dyDescent="0.4">
      <c r="A214" s="251" t="str">
        <f t="shared" ref="A214:A237" si="30">A213</f>
        <v>64-E1</v>
      </c>
      <c r="B214" s="251" t="str">
        <f t="shared" ref="B214:B237" si="31">B213</f>
        <v>SPPA</v>
      </c>
      <c r="C214" s="251">
        <f>INDEX('Site Data'!$S$7:$S$13,MATCH($A214,'Site Data'!$C$7:$C$13,0))</f>
        <v>20</v>
      </c>
      <c r="D214" s="251" t="s">
        <v>27</v>
      </c>
      <c r="E214" s="251" t="s">
        <v>27</v>
      </c>
      <c r="F214" s="258" t="s">
        <v>249</v>
      </c>
      <c r="G214" s="259">
        <f>IF($B214="SEL","N/A - SEL",INDEX(Site_Data_Table,MATCH($A214,'Site Data'!$C$6:$C$13,0),MATCH($D214,Site_Data_Column_Names,0)))</f>
        <v>20</v>
      </c>
      <c r="H214" s="260" t="s">
        <v>250</v>
      </c>
      <c r="J214" s="266" t="s">
        <v>251</v>
      </c>
      <c r="K214" s="285" t="str">
        <f>IF($B214="SPPA","N/A - SPPA",INDEX(Site_Data_Table,MATCH($A214,'Site Data'!$C$6:$C$13,0),MATCH($E214,Site_Data_Column_Names,0)))</f>
        <v>N/A - SPPA</v>
      </c>
      <c r="L214" s="268" t="s">
        <v>250</v>
      </c>
      <c r="N214" s="535" t="s">
        <v>252</v>
      </c>
      <c r="O214" s="536"/>
      <c r="P214" s="536"/>
      <c r="Q214" s="537"/>
      <c r="S214" s="535" t="s">
        <v>252</v>
      </c>
      <c r="T214" s="536"/>
      <c r="U214" s="536"/>
      <c r="V214" s="537"/>
      <c r="X214" s="535" t="s">
        <v>253</v>
      </c>
      <c r="Y214" s="536"/>
      <c r="Z214" s="537"/>
      <c r="AB214" s="533" t="s">
        <v>254</v>
      </c>
      <c r="AC214" s="534"/>
      <c r="AE214" s="533" t="s">
        <v>254</v>
      </c>
      <c r="AF214" s="534"/>
      <c r="AH214" s="533" t="s">
        <v>254</v>
      </c>
      <c r="AI214" s="534"/>
      <c r="AK214" s="550" t="s">
        <v>255</v>
      </c>
      <c r="AL214" s="551"/>
      <c r="AM214" s="551"/>
      <c r="AN214" s="552"/>
      <c r="AP214" s="547" t="s">
        <v>256</v>
      </c>
      <c r="AQ214" s="548"/>
      <c r="AR214" s="549"/>
      <c r="AT214" s="547" t="s">
        <v>256</v>
      </c>
      <c r="AU214" s="548"/>
      <c r="AV214" s="549"/>
      <c r="AX214" s="547" t="s">
        <v>256</v>
      </c>
      <c r="AY214" s="548"/>
      <c r="AZ214" s="549"/>
    </row>
    <row r="215" spans="1:52" ht="29.5" thickBot="1" x14ac:dyDescent="0.4">
      <c r="A215" s="251" t="str">
        <f t="shared" si="30"/>
        <v>64-E1</v>
      </c>
      <c r="B215" s="251" t="str">
        <f t="shared" si="31"/>
        <v>SPPA</v>
      </c>
      <c r="C215" s="251">
        <f>INDEX('Site Data'!$S$7:$S$13,MATCH($A215,'Site Data'!$C$7:$C$13,0))</f>
        <v>20</v>
      </c>
      <c r="F215" s="505" t="s">
        <v>257</v>
      </c>
      <c r="G215" s="506"/>
      <c r="H215" s="507"/>
      <c r="J215" s="519" t="s">
        <v>258</v>
      </c>
      <c r="K215" s="520"/>
      <c r="L215" s="521"/>
      <c r="N215" s="332" t="s">
        <v>259</v>
      </c>
      <c r="O215" s="333" t="s">
        <v>260</v>
      </c>
      <c r="P215" s="333" t="s">
        <v>261</v>
      </c>
      <c r="Q215" s="334" t="s">
        <v>262</v>
      </c>
      <c r="S215" s="329" t="s">
        <v>259</v>
      </c>
      <c r="T215" s="330" t="s">
        <v>260</v>
      </c>
      <c r="U215" s="330" t="s">
        <v>261</v>
      </c>
      <c r="V215" s="331" t="s">
        <v>262</v>
      </c>
      <c r="X215" s="332" t="s">
        <v>134</v>
      </c>
      <c r="Y215" s="333" t="s">
        <v>263</v>
      </c>
      <c r="Z215" s="334" t="s">
        <v>264</v>
      </c>
      <c r="AB215" s="332" t="s">
        <v>265</v>
      </c>
      <c r="AC215" s="334" t="s">
        <v>266</v>
      </c>
      <c r="AE215" s="332" t="s">
        <v>265</v>
      </c>
      <c r="AF215" s="334" t="s">
        <v>266</v>
      </c>
      <c r="AH215" s="332" t="s">
        <v>265</v>
      </c>
      <c r="AI215" s="334" t="s">
        <v>266</v>
      </c>
      <c r="AK215" s="289" t="s">
        <v>267</v>
      </c>
      <c r="AL215" s="290" t="s">
        <v>268</v>
      </c>
      <c r="AM215" s="290" t="s">
        <v>269</v>
      </c>
      <c r="AN215" s="291" t="s">
        <v>270</v>
      </c>
      <c r="AP215" s="289" t="s">
        <v>134</v>
      </c>
      <c r="AQ215" s="290" t="s">
        <v>271</v>
      </c>
      <c r="AR215" s="291" t="s">
        <v>272</v>
      </c>
      <c r="AT215" s="289" t="s">
        <v>134</v>
      </c>
      <c r="AU215" s="290" t="s">
        <v>271</v>
      </c>
      <c r="AV215" s="291" t="s">
        <v>272</v>
      </c>
      <c r="AX215" s="289" t="s">
        <v>134</v>
      </c>
      <c r="AY215" s="290" t="s">
        <v>271</v>
      </c>
      <c r="AZ215" s="291" t="s">
        <v>272</v>
      </c>
    </row>
    <row r="216" spans="1:52" ht="15" thickBot="1" x14ac:dyDescent="0.4">
      <c r="A216" s="251" t="str">
        <f t="shared" si="30"/>
        <v>64-E1</v>
      </c>
      <c r="B216" s="251" t="str">
        <f t="shared" si="31"/>
        <v>SPPA</v>
      </c>
      <c r="C216" s="251">
        <f>INDEX('Site Data'!$S$7:$S$13,MATCH($A216,'Site Data'!$C$7:$C$13,0))</f>
        <v>20</v>
      </c>
      <c r="E216" s="251" t="s">
        <v>165</v>
      </c>
      <c r="F216" s="258" t="s">
        <v>273</v>
      </c>
      <c r="G216" s="259">
        <f>G214</f>
        <v>20</v>
      </c>
      <c r="H216" s="260" t="s">
        <v>250</v>
      </c>
      <c r="J216" s="261" t="s">
        <v>274</v>
      </c>
      <c r="K216" s="303" t="str">
        <f>IF($B216="SPPA","N/A - SPPA",INDEX('Microgrid Proposal'!$A$32:$X$38,MATCH($A216,'Microgrid Proposal'!$D$32:$D$38,0),MATCH($E216,'Microgrid Proposal'!$A$31:$X$31,0)))</f>
        <v>N/A - SPPA</v>
      </c>
      <c r="L216" s="304" t="s">
        <v>275</v>
      </c>
      <c r="N216" s="262">
        <v>1</v>
      </c>
      <c r="O216" s="293">
        <f>IF($B216="SEL","N/A - SEL",INDEX(Prod_Yr_1,MATCH($A216,'System Specification'!$D$14:$D$20,0)))</f>
        <v>0</v>
      </c>
      <c r="P216" s="293" t="str" cm="1">
        <f t="array" ref="P216">INDEX(PeGu!$B$24:$H$43,$S216,MATCH($A214,_xlfn.ANCHORARRAY(PeGu!$B$20),0))</f>
        <v/>
      </c>
      <c r="Q216" s="294">
        <f>IF($B216="SEL","N/A - SEL",PeGu!$E$14*POWER(1+PeGu!$E$15,$S216-1))</f>
        <v>0.05</v>
      </c>
      <c r="S216" s="261">
        <v>1</v>
      </c>
      <c r="T216" s="296">
        <f>IF($B214="SEL","N/A -SEL",INDEX(Prod_Yr_1_PV_Only,MATCH($A214,'System Specification'!$D$14:$D$20,0)))</f>
        <v>0</v>
      </c>
      <c r="U216" s="296" t="str" cm="1">
        <f t="array" ref="U216">INDEX(PeGu!$B$52:$H$71,$S216,MATCH($A214,_xlfn.ANCHORARRAY(PeGu!$B$48),0))</f>
        <v/>
      </c>
      <c r="V216" s="297">
        <f>IF($B216="SEL","N/A - SEL",PeGu!$E$14*POWER(1+PeGu!$E$15,$S216-1))</f>
        <v>0.05</v>
      </c>
      <c r="X216" s="262">
        <v>1</v>
      </c>
      <c r="Y216" s="293" t="str" cm="1">
        <f t="array" ref="Y216">IF($B216="SEL","N/A - SEL",INDEX(PeGu!$B$78:$H$97,$X216,MATCH($A214,PeGu!$B$76:$H$76,0)))</f>
        <v/>
      </c>
      <c r="Z216" s="294">
        <f>IF($B216="SEL","N/A - SEL",PeGu!$K$12*POWER(1+PeGu!$K$13,$X216-1))</f>
        <v>0</v>
      </c>
      <c r="AB216" s="263">
        <v>1</v>
      </c>
      <c r="AC216" s="264" cm="1">
        <f t="array" ref="AC216">INDEX('Contract Early Termination'!$B$14:$H$33,$AB216,MATCH($A214,_xlfn.ANCHORARRAY('Contract Early Termination'!$B$10),0))</f>
        <v>0</v>
      </c>
      <c r="AE216" s="263">
        <v>1</v>
      </c>
      <c r="AF216" s="264" cm="1">
        <f t="array" ref="AF216">INDEX('Contract Early Termination'!$B$41:$H$60,$AE216,MATCH($A214,_xlfn.ANCHORARRAY('Contract Early Termination'!$B$37),0))</f>
        <v>0</v>
      </c>
      <c r="AH216" s="263">
        <v>1</v>
      </c>
      <c r="AI216" s="264" cm="1">
        <f t="array" ref="AI216">INDEX('Contract Early Termination'!$B$68:$H$87,$AB216,MATCH($A214,_xlfn.ANCHORARRAY('Contract Early Termination'!$B$64),0))</f>
        <v>0</v>
      </c>
      <c r="AK216" s="263">
        <v>1</v>
      </c>
      <c r="AL216" s="293" t="str">
        <f>IF($B216="SPPA","N/A - SPPA", INDEX(Prod_Yr_1,MATCH($A214,'System Specification'!$D$14:$D$20,0)))</f>
        <v>N/A - SPPA</v>
      </c>
      <c r="AM216" s="293" t="str">
        <f>IF($B216="SPPA","N/A - SPPA", INDEX('System Specification'!$P$14:$P$20,MATCH($A214,'System Specification'!$D$14:$D$20,0)))</f>
        <v>N/A - SPPA</v>
      </c>
      <c r="AN216" s="298" t="str" cm="1">
        <f t="array" ref="AN216">IF($B216="SPPA","N/A - SPPA",INDEX(PeGu!$B$78:$H$97,$AK216,MATCH($A214,PeGu!$B$76:$H$76,0)))</f>
        <v>N/A - SPPA</v>
      </c>
      <c r="AP216" s="262">
        <v>1</v>
      </c>
      <c r="AQ216" s="269" t="str">
        <f>IF($B216="SPPA","N/A - SPPA", INDEX('Microgrid Proposal'!$N$32:$N$38,MATCH($A216,'Microgrid Proposal'!$D$32:$D$38,0))*IF(AP216&lt;=$C216,1,0))</f>
        <v>N/A - SPPA</v>
      </c>
      <c r="AR216" s="264" t="str">
        <f>IF($B216="SPPA","N/A - SPPA",AQ216*12)</f>
        <v>N/A - SPPA</v>
      </c>
      <c r="AT216" s="262">
        <v>1</v>
      </c>
      <c r="AU216" s="269" t="str">
        <f>IF($B216="SPPA","N/A - SPPA", INDEX('Solar+Storage Proposal'!$N$32:$N$38,MATCH($A216,'Solar+Storage Proposal'!$D$32:$D$38,0))*IF(AT216&lt;=$C216,1,0))</f>
        <v>N/A - SPPA</v>
      </c>
      <c r="AV216" s="264" t="str">
        <f>IF($B216="SPPA","N/A - SPPA",AU216*12)</f>
        <v>N/A - SPPA</v>
      </c>
      <c r="AX216" s="262">
        <v>1</v>
      </c>
      <c r="AY216" s="269" t="str">
        <f>IF($B216="SPPA","N/A - SPPA", INDEX('Solar-Only Proposal'!$M$32:$M$38,MATCH($A216,'Solar-Only Proposal'!$D$32:$D$38,0))*IF(AX216&lt;=$C216,1,0))</f>
        <v>N/A - SPPA</v>
      </c>
      <c r="AZ216" s="264" t="str">
        <f>IF($B216="SPPA","N/A - SPPA",AY216*12)</f>
        <v>N/A - SPPA</v>
      </c>
    </row>
    <row r="217" spans="1:52" ht="15" thickBot="1" x14ac:dyDescent="0.4">
      <c r="A217" s="251" t="str">
        <f t="shared" si="30"/>
        <v>64-E1</v>
      </c>
      <c r="B217" s="251" t="str">
        <f t="shared" si="31"/>
        <v>SPPA</v>
      </c>
      <c r="C217" s="251">
        <f>INDEX('Site Data'!$S$7:$S$13,MATCH($A217,'Site Data'!$C$7:$C$13,0))</f>
        <v>20</v>
      </c>
      <c r="E217" s="251" t="s">
        <v>192</v>
      </c>
      <c r="F217" s="502" t="s">
        <v>276</v>
      </c>
      <c r="G217" s="503"/>
      <c r="H217" s="504"/>
      <c r="J217" s="262" t="s">
        <v>277</v>
      </c>
      <c r="K217" s="269" t="str">
        <f>IF($B217="SPPA","N/A - SPPA",INDEX('Microgrid Proposal'!$A$32:$X$38,MATCH($A217,'Microgrid Proposal'!$D$32:$D$38,0),MATCH($E217,'Microgrid Proposal'!$A$31:$X$31,0)))</f>
        <v>N/A - SPPA</v>
      </c>
      <c r="L217" s="270" t="s">
        <v>278</v>
      </c>
      <c r="N217" s="262">
        <v>2</v>
      </c>
      <c r="O217" s="293">
        <f>IF($B217="SEL","N/A - SEL",O216*(1-'System Specification'!$D$10)*IF(N217&lt;=$C217,1,0))</f>
        <v>0</v>
      </c>
      <c r="P217" s="293" t="str" cm="1">
        <f t="array" ref="P217">INDEX(PeGu!$B$24:$H$43,$S217,MATCH($A215,_xlfn.ANCHORARRAY(PeGu!$B$20),0))</f>
        <v/>
      </c>
      <c r="Q217" s="294">
        <f>IF($B217="SEL","N/A - SEL",PeGu!$E$14*POWER(1+PeGu!$E$15,$S217-1))</f>
        <v>5.1500000000000004E-2</v>
      </c>
      <c r="S217" s="262">
        <v>2</v>
      </c>
      <c r="T217" s="293">
        <f>IF($B217="SEL","N/A - SEL",T216*(1-'System Specification'!$D$10)*IF(S217&lt;=$C217,1,0))</f>
        <v>0</v>
      </c>
      <c r="U217" s="293" t="str" cm="1">
        <f t="array" ref="U217">INDEX(PeGu!$B$52:$H$71,$S217,MATCH($A215,_xlfn.ANCHORARRAY(PeGu!$B$48),0))</f>
        <v/>
      </c>
      <c r="V217" s="294">
        <f>IF($B217="SEL","N/A - SEL",PeGu!$E$14*POWER(1+PeGu!$E$15,$S217-1))</f>
        <v>5.1500000000000004E-2</v>
      </c>
      <c r="X217" s="262">
        <v>2</v>
      </c>
      <c r="Y217" s="293" t="str" cm="1">
        <f t="array" ref="Y217">IF($B217="SEL","N/A - SEL",INDEX(PeGu!$B$78:$H$97,$X217,MATCH($A215,PeGu!$B$76:$H$76,0)))</f>
        <v/>
      </c>
      <c r="Z217" s="294">
        <f>IF($B217="SEL","N/A - SEL",PeGu!$K$12*POWER(1+PeGu!$K$13,$X217-1))</f>
        <v>0</v>
      </c>
      <c r="AB217" s="263">
        <v>2</v>
      </c>
      <c r="AC217" s="264" cm="1">
        <f t="array" ref="AC217">INDEX('Contract Early Termination'!$B$14:$H$33,$AB217,MATCH($A215,_xlfn.ANCHORARRAY('Contract Early Termination'!$B$10),0))</f>
        <v>0</v>
      </c>
      <c r="AE217" s="263">
        <v>2</v>
      </c>
      <c r="AF217" s="264" cm="1">
        <f t="array" ref="AF217">INDEX('Contract Early Termination'!$B$41:$H$60,$AE217,MATCH($A215,_xlfn.ANCHORARRAY('Contract Early Termination'!$B$37),0))</f>
        <v>0</v>
      </c>
      <c r="AH217" s="263">
        <v>2</v>
      </c>
      <c r="AI217" s="264" cm="1">
        <f t="array" ref="AI217">INDEX('Contract Early Termination'!$B$68:$H$87,$AB217,MATCH($A215,_xlfn.ANCHORARRAY('Contract Early Termination'!$B$64),0))</f>
        <v>0</v>
      </c>
      <c r="AK217" s="263">
        <v>2</v>
      </c>
      <c r="AL217" s="293" t="str">
        <f>IF($B217="SPPA","N/A - SPPA",AL216*(1-'System Specification'!$D$10)*IF(AK217&lt;=$C217,1,0))</f>
        <v>N/A - SPPA</v>
      </c>
      <c r="AM217" s="293" t="str">
        <f>IF($B217="SPPA","N/A - SPPA",AM216*(1-INDEX('System Specification'!$Q$14:$Q$20,MATCH($A217,'System Specification'!$D$14:$D$20,0)))*IF(AK217&lt;=$C217,1,0))</f>
        <v>N/A - SPPA</v>
      </c>
      <c r="AN217" s="298" t="str" cm="1">
        <f t="array" ref="AN217">IF($B217="SPPA","N/A - SPPA",INDEX(PeGu!$B$78:$H$97,$AK217,MATCH($A215,PeGu!$B$76:$H$76,0)))</f>
        <v>N/A - SPPA</v>
      </c>
      <c r="AP217" s="262">
        <v>2</v>
      </c>
      <c r="AQ217" s="269" t="str">
        <f>IF($B217="SPPA","N/A - SPPA", INDEX('Microgrid Proposal'!$N$32:$N$38,MATCH($A217,'Microgrid Proposal'!$D$32:$D$38,0))*IF(AP217&lt;=$C217,1,0))</f>
        <v>N/A - SPPA</v>
      </c>
      <c r="AR217" s="264" t="str">
        <f t="shared" ref="AR217:AR235" si="32">IF($B217="SPPA","N/A - SPPA",AQ217*12)</f>
        <v>N/A - SPPA</v>
      </c>
      <c r="AT217" s="262">
        <v>2</v>
      </c>
      <c r="AU217" s="269" t="str">
        <f>IF($B217="SPPA","N/A - SPPA", INDEX('Solar+Storage Proposal'!$N$32:$N$38,MATCH($A217,'Solar+Storage Proposal'!$D$32:$D$38,0))*IF(AT217&lt;=$C217,1,0))</f>
        <v>N/A - SPPA</v>
      </c>
      <c r="AV217" s="264" t="str">
        <f t="shared" ref="AV217:AV235" si="33">IF($B217="SPPA","N/A - SPPA",AU217*12)</f>
        <v>N/A - SPPA</v>
      </c>
      <c r="AX217" s="262">
        <v>2</v>
      </c>
      <c r="AY217" s="269" t="str">
        <f>IF($B217="SPPA","N/A - SPPA", INDEX('Solar-Only Proposal'!$M$32:$M$38,MATCH($A217,'Solar-Only Proposal'!$D$32:$D$38,0))*IF(AX217&lt;=$C217,1,0))</f>
        <v>N/A - SPPA</v>
      </c>
      <c r="AZ217" s="264" t="str">
        <f t="shared" ref="AZ217:AZ235" si="34">IF($B217="SPPA","N/A - SPPA",AY217*12)</f>
        <v>N/A - SPPA</v>
      </c>
    </row>
    <row r="218" spans="1:52" ht="15" thickBot="1" x14ac:dyDescent="0.4">
      <c r="A218" s="251" t="str">
        <f t="shared" si="30"/>
        <v>64-E1</v>
      </c>
      <c r="B218" s="251" t="str">
        <f t="shared" si="31"/>
        <v>SPPA</v>
      </c>
      <c r="C218" s="251">
        <f>INDEX('Site Data'!$S$7:$S$13,MATCH($A218,'Site Data'!$C$7:$C$13,0))</f>
        <v>20</v>
      </c>
      <c r="D218" s="251" t="s">
        <v>188</v>
      </c>
      <c r="E218" s="251" t="s">
        <v>193</v>
      </c>
      <c r="F218" s="266" t="s">
        <v>279</v>
      </c>
      <c r="G218" s="267">
        <f>IF($B218="SEL","N/A - SEL",INDEX('Microgrid Proposal'!$A$32:$X$38,MATCH($A218,'Microgrid Proposal'!$D$32:$D$38,0),MATCH($D218,'Microgrid Proposal'!$A$31:$X$31,0)))</f>
        <v>0</v>
      </c>
      <c r="H218" s="268" t="s">
        <v>280</v>
      </c>
      <c r="J218" s="258" t="s">
        <v>277</v>
      </c>
      <c r="K218" s="300" t="str">
        <f>IF($B218="SPPA","N/A - SPPA",INDEX('Microgrid Proposal'!$A$32:$X$38,MATCH($A218,'Microgrid Proposal'!$D$32:$D$38,0),MATCH($E218,'Microgrid Proposal'!$A$31:$X$31,0)))</f>
        <v>N/A - SPPA</v>
      </c>
      <c r="L218" s="260" t="s">
        <v>281</v>
      </c>
      <c r="N218" s="262">
        <v>3</v>
      </c>
      <c r="O218" s="293">
        <f>IF($B218="SEL","N/A - SEL",O217*(1-'System Specification'!$D$10)*IF(N218&lt;=$C218,1,0))</f>
        <v>0</v>
      </c>
      <c r="P218" s="293" t="str" cm="1">
        <f t="array" ref="P218">INDEX(PeGu!$B$24:$H$43,$S218,MATCH($A216,_xlfn.ANCHORARRAY(PeGu!$B$20),0))</f>
        <v/>
      </c>
      <c r="Q218" s="294">
        <f>IF($B218="SEL","N/A - SEL",PeGu!$E$14*POWER(1+PeGu!$E$15,$S218-1))</f>
        <v>5.3045000000000002E-2</v>
      </c>
      <c r="S218" s="262">
        <v>3</v>
      </c>
      <c r="T218" s="293">
        <f>IF($B218="SEL","N/A - SEL",T217*(1-'System Specification'!$D$10)*IF(S218&lt;=$C218,1,0))</f>
        <v>0</v>
      </c>
      <c r="U218" s="293" t="str" cm="1">
        <f t="array" ref="U218">INDEX(PeGu!$B$52:$H$71,$S218,MATCH($A216,_xlfn.ANCHORARRAY(PeGu!$B$48),0))</f>
        <v/>
      </c>
      <c r="V218" s="294">
        <f>IF($B218="SEL","N/A - SEL",PeGu!$E$14*POWER(1+PeGu!$E$15,$S218-1))</f>
        <v>5.3045000000000002E-2</v>
      </c>
      <c r="X218" s="262">
        <v>3</v>
      </c>
      <c r="Y218" s="293" t="str" cm="1">
        <f t="array" ref="Y218">IF($B218="SEL","N/A - SEL",INDEX(PeGu!$B$78:$H$97,$X218,MATCH($A216,PeGu!$B$76:$H$76,0)))</f>
        <v/>
      </c>
      <c r="Z218" s="294">
        <f>IF($B218="SEL","N/A - SEL",PeGu!$K$12*POWER(1+PeGu!$K$13,$X218-1))</f>
        <v>0</v>
      </c>
      <c r="AB218" s="263">
        <v>3</v>
      </c>
      <c r="AC218" s="264" cm="1">
        <f t="array" ref="AC218">INDEX('Contract Early Termination'!$B$14:$H$33,$AB218,MATCH($A216,_xlfn.ANCHORARRAY('Contract Early Termination'!$B$10),0))</f>
        <v>0</v>
      </c>
      <c r="AE218" s="263">
        <v>3</v>
      </c>
      <c r="AF218" s="264" cm="1">
        <f t="array" ref="AF218">INDEX('Contract Early Termination'!$B$41:$H$60,$AE218,MATCH($A216,_xlfn.ANCHORARRAY('Contract Early Termination'!$B$37),0))</f>
        <v>0</v>
      </c>
      <c r="AH218" s="263">
        <v>3</v>
      </c>
      <c r="AI218" s="264" cm="1">
        <f t="array" ref="AI218">INDEX('Contract Early Termination'!$B$68:$H$87,$AB218,MATCH($A216,_xlfn.ANCHORARRAY('Contract Early Termination'!$B$64),0))</f>
        <v>0</v>
      </c>
      <c r="AK218" s="263">
        <v>3</v>
      </c>
      <c r="AL218" s="293" t="str">
        <f>IF($B218="SPPA","N/A - SPPA",AL217*(1-'System Specification'!$D$10)*IF(AK218&lt;=$C218,1,0))</f>
        <v>N/A - SPPA</v>
      </c>
      <c r="AM218" s="293" t="str">
        <f>IF($B218="SPPA","N/A - SPPA",AM217*(1-INDEX('System Specification'!$Q$14:$Q$20,MATCH($A218,'System Specification'!$D$14:$D$20,0)))*IF(AK218&lt;=$C218,1,0))</f>
        <v>N/A - SPPA</v>
      </c>
      <c r="AN218" s="298" t="str" cm="1">
        <f t="array" ref="AN218">IF($B218="SPPA","N/A - SPPA",INDEX(PeGu!$B$78:$H$97,$AK218,MATCH($A216,PeGu!$B$76:$H$76,0)))</f>
        <v>N/A - SPPA</v>
      </c>
      <c r="AP218" s="262">
        <v>3</v>
      </c>
      <c r="AQ218" s="269" t="str">
        <f>IF($B218="SPPA","N/A - SPPA", INDEX('Microgrid Proposal'!$N$32:$N$38,MATCH($A218,'Microgrid Proposal'!$D$32:$D$38,0))*IF(AP218&lt;=$C218,1,0))</f>
        <v>N/A - SPPA</v>
      </c>
      <c r="AR218" s="264" t="str">
        <f t="shared" si="32"/>
        <v>N/A - SPPA</v>
      </c>
      <c r="AT218" s="262">
        <v>3</v>
      </c>
      <c r="AU218" s="269" t="str">
        <f>IF($B218="SPPA","N/A - SPPA", INDEX('Solar+Storage Proposal'!$N$32:$N$38,MATCH($A218,'Solar+Storage Proposal'!$D$32:$D$38,0))*IF(AT218&lt;=$C218,1,0))</f>
        <v>N/A - SPPA</v>
      </c>
      <c r="AV218" s="264" t="str">
        <f t="shared" si="33"/>
        <v>N/A - SPPA</v>
      </c>
      <c r="AX218" s="262">
        <v>3</v>
      </c>
      <c r="AY218" s="269" t="str">
        <f>IF($B218="SPPA","N/A - SPPA", INDEX('Solar-Only Proposal'!$M$32:$M$38,MATCH($A218,'Solar-Only Proposal'!$D$32:$D$38,0))*IF(AX218&lt;=$C218,1,0))</f>
        <v>N/A - SPPA</v>
      </c>
      <c r="AZ218" s="264" t="str">
        <f t="shared" si="34"/>
        <v>N/A - SPPA</v>
      </c>
    </row>
    <row r="219" spans="1:52" ht="15" thickBot="1" x14ac:dyDescent="0.4">
      <c r="A219" s="251" t="str">
        <f t="shared" si="30"/>
        <v>64-E1</v>
      </c>
      <c r="B219" s="251" t="str">
        <f t="shared" si="31"/>
        <v>SPPA</v>
      </c>
      <c r="C219" s="251">
        <f>INDEX('Site Data'!$S$7:$S$13,MATCH($A219,'Site Data'!$C$7:$C$13,0))</f>
        <v>20</v>
      </c>
      <c r="D219" s="251" t="s">
        <v>165</v>
      </c>
      <c r="F219" s="262" t="s">
        <v>282</v>
      </c>
      <c r="G219" s="269">
        <f>IF($B219="SEL","N/A - SEL",INDEX('Microgrid Proposal'!$A$32:$X$38,MATCH($A219,'Microgrid Proposal'!$D$32:$D$38,0),MATCH($D219,'Microgrid Proposal'!$A$31:$X$31,0)))</f>
        <v>0</v>
      </c>
      <c r="H219" s="270" t="s">
        <v>275</v>
      </c>
      <c r="J219" s="519" t="s">
        <v>283</v>
      </c>
      <c r="K219" s="520"/>
      <c r="L219" s="521"/>
      <c r="N219" s="262">
        <v>4</v>
      </c>
      <c r="O219" s="293">
        <f>IF($B219="SEL","N/A - SEL",O218*(1-'System Specification'!$D$10)*IF(N219&lt;=$C219,1,0))</f>
        <v>0</v>
      </c>
      <c r="P219" s="293" t="str" cm="1">
        <f t="array" ref="P219">INDEX(PeGu!$B$24:$H$43,$S219,MATCH($A217,_xlfn.ANCHORARRAY(PeGu!$B$20),0))</f>
        <v/>
      </c>
      <c r="Q219" s="294">
        <f>IF($B219="SEL","N/A - SEL",PeGu!$E$14*POWER(1+PeGu!$E$15,$S219-1))</f>
        <v>5.463635E-2</v>
      </c>
      <c r="S219" s="262">
        <v>4</v>
      </c>
      <c r="T219" s="293">
        <f>IF($B219="SEL","N/A - SEL",T218*(1-'System Specification'!$D$10)*IF(S219&lt;=$C219,1,0))</f>
        <v>0</v>
      </c>
      <c r="U219" s="293" t="str" cm="1">
        <f t="array" ref="U219">INDEX(PeGu!$B$52:$H$71,$S219,MATCH($A217,_xlfn.ANCHORARRAY(PeGu!$B$48),0))</f>
        <v/>
      </c>
      <c r="V219" s="294">
        <f>IF($B219="SEL","N/A - SEL",PeGu!$E$14*POWER(1+PeGu!$E$15,$S219-1))</f>
        <v>5.463635E-2</v>
      </c>
      <c r="X219" s="262">
        <v>4</v>
      </c>
      <c r="Y219" s="293" t="str" cm="1">
        <f t="array" ref="Y219">IF($B219="SEL","N/A - SEL",INDEX(PeGu!$B$78:$H$97,$X219,MATCH($A217,PeGu!$B$76:$H$76,0)))</f>
        <v/>
      </c>
      <c r="Z219" s="294">
        <f>IF($B219="SEL","N/A - SEL",PeGu!$K$12*POWER(1+PeGu!$K$13,$X219-1))</f>
        <v>0</v>
      </c>
      <c r="AB219" s="263">
        <v>4</v>
      </c>
      <c r="AC219" s="264" cm="1">
        <f t="array" ref="AC219">INDEX('Contract Early Termination'!$B$14:$H$33,$AB219,MATCH($A217,_xlfn.ANCHORARRAY('Contract Early Termination'!$B$10),0))</f>
        <v>0</v>
      </c>
      <c r="AE219" s="263">
        <v>4</v>
      </c>
      <c r="AF219" s="264" cm="1">
        <f t="array" ref="AF219">INDEX('Contract Early Termination'!$B$41:$H$60,$AE219,MATCH($A217,_xlfn.ANCHORARRAY('Contract Early Termination'!$B$37),0))</f>
        <v>0</v>
      </c>
      <c r="AH219" s="263">
        <v>4</v>
      </c>
      <c r="AI219" s="264" cm="1">
        <f t="array" ref="AI219">INDEX('Contract Early Termination'!$B$68:$H$87,$AB219,MATCH($A217,_xlfn.ANCHORARRAY('Contract Early Termination'!$B$64),0))</f>
        <v>0</v>
      </c>
      <c r="AK219" s="263">
        <v>4</v>
      </c>
      <c r="AL219" s="293" t="str">
        <f>IF($B219="SPPA","N/A - SPPA",AL218*(1-'System Specification'!$D$10)*IF(AK219&lt;=$C219,1,0))</f>
        <v>N/A - SPPA</v>
      </c>
      <c r="AM219" s="293" t="str">
        <f>IF($B219="SPPA","N/A - SPPA",AM218*(1-INDEX('System Specification'!$Q$14:$Q$20,MATCH($A219,'System Specification'!$D$14:$D$20,0)))*IF(AK219&lt;=$C219,1,0))</f>
        <v>N/A - SPPA</v>
      </c>
      <c r="AN219" s="298" t="str" cm="1">
        <f t="array" ref="AN219">IF($B219="SPPA","N/A - SPPA",INDEX(PeGu!$B$78:$H$97,$AK219,MATCH($A217,PeGu!$B$76:$H$76,0)))</f>
        <v>N/A - SPPA</v>
      </c>
      <c r="AP219" s="262">
        <v>4</v>
      </c>
      <c r="AQ219" s="269" t="str">
        <f>IF($B219="SPPA","N/A - SPPA", INDEX('Microgrid Proposal'!$N$32:$N$38,MATCH($A219,'Microgrid Proposal'!$D$32:$D$38,0))*IF(AP219&lt;=$C219,1,0))</f>
        <v>N/A - SPPA</v>
      </c>
      <c r="AR219" s="264" t="str">
        <f t="shared" si="32"/>
        <v>N/A - SPPA</v>
      </c>
      <c r="AT219" s="262">
        <v>4</v>
      </c>
      <c r="AU219" s="269" t="str">
        <f>IF($B219="SPPA","N/A - SPPA", INDEX('Solar+Storage Proposal'!$N$32:$N$38,MATCH($A219,'Solar+Storage Proposal'!$D$32:$D$38,0))*IF(AT219&lt;=$C219,1,0))</f>
        <v>N/A - SPPA</v>
      </c>
      <c r="AV219" s="264" t="str">
        <f t="shared" si="33"/>
        <v>N/A - SPPA</v>
      </c>
      <c r="AX219" s="262">
        <v>4</v>
      </c>
      <c r="AY219" s="269" t="str">
        <f>IF($B219="SPPA","N/A - SPPA", INDEX('Solar-Only Proposal'!$M$32:$M$38,MATCH($A219,'Solar-Only Proposal'!$D$32:$D$38,0))*IF(AX219&lt;=$C219,1,0))</f>
        <v>N/A - SPPA</v>
      </c>
      <c r="AZ219" s="264" t="str">
        <f t="shared" si="34"/>
        <v>N/A - SPPA</v>
      </c>
    </row>
    <row r="220" spans="1:52" x14ac:dyDescent="0.35">
      <c r="A220" s="251" t="str">
        <f t="shared" si="30"/>
        <v>64-E1</v>
      </c>
      <c r="B220" s="251" t="str">
        <f t="shared" si="31"/>
        <v>SPPA</v>
      </c>
      <c r="C220" s="251">
        <f>INDEX('Site Data'!$S$7:$S$13,MATCH($A220,'Site Data'!$C$7:$C$13,0))</f>
        <v>20</v>
      </c>
      <c r="D220" s="251" t="s">
        <v>189</v>
      </c>
      <c r="E220" s="251" t="s">
        <v>165</v>
      </c>
      <c r="F220" s="262" t="s">
        <v>284</v>
      </c>
      <c r="G220" s="271">
        <f>IF($B220="SEL","N/A - SEL",INDEX('Microgrid Proposal'!$A$32:$X$38,MATCH($A220,'Microgrid Proposal'!$D$32:$D$38,0),MATCH($D220,'Microgrid Proposal'!$A$31:$X$31,0)))</f>
        <v>0</v>
      </c>
      <c r="H220" s="270" t="s">
        <v>285</v>
      </c>
      <c r="J220" s="261" t="s">
        <v>274</v>
      </c>
      <c r="K220" s="303" t="str">
        <f>IF($B220="SPPA","N/A - SPPA",INDEX('Solar+Storage Proposal'!$A$32:$X$38,MATCH($A220,'Solar+Storage Proposal'!$D$32:$D$38,0),MATCH($E220,'Solar+Storage Proposal'!$A$31:$X$31,0)))</f>
        <v>N/A - SPPA</v>
      </c>
      <c r="L220" s="304" t="s">
        <v>275</v>
      </c>
      <c r="N220" s="262">
        <v>5</v>
      </c>
      <c r="O220" s="293">
        <f>IF($B220="SEL","N/A - SEL",O219*(1-'System Specification'!$D$10)*IF(N220&lt;=$C220,1,0))</f>
        <v>0</v>
      </c>
      <c r="P220" s="293" t="str" cm="1">
        <f t="array" ref="P220">INDEX(PeGu!$B$24:$H$43,$S220,MATCH($A218,_xlfn.ANCHORARRAY(PeGu!$B$20),0))</f>
        <v/>
      </c>
      <c r="Q220" s="294">
        <f>IF($B220="SEL","N/A - SEL",PeGu!$E$14*POWER(1+PeGu!$E$15,$S220-1))</f>
        <v>5.6275440499999996E-2</v>
      </c>
      <c r="S220" s="262">
        <v>5</v>
      </c>
      <c r="T220" s="293">
        <f>IF($B220="SEL","N/A - SEL",T219*(1-'System Specification'!$D$10)*IF(S220&lt;=$C220,1,0))</f>
        <v>0</v>
      </c>
      <c r="U220" s="293" t="str" cm="1">
        <f t="array" ref="U220">INDEX(PeGu!$B$52:$H$71,$S220,MATCH($A218,_xlfn.ANCHORARRAY(PeGu!$B$48),0))</f>
        <v/>
      </c>
      <c r="V220" s="294">
        <f>IF($B220="SEL","N/A - SEL",PeGu!$E$14*POWER(1+PeGu!$E$15,$S220-1))</f>
        <v>5.6275440499999996E-2</v>
      </c>
      <c r="X220" s="262">
        <v>5</v>
      </c>
      <c r="Y220" s="293" t="str" cm="1">
        <f t="array" ref="Y220">IF($B220="SEL","N/A - SEL",INDEX(PeGu!$B$78:$H$97,$X220,MATCH($A218,PeGu!$B$76:$H$76,0)))</f>
        <v/>
      </c>
      <c r="Z220" s="294">
        <f>IF($B220="SEL","N/A - SEL",PeGu!$K$12*POWER(1+PeGu!$K$13,$X220-1))</f>
        <v>0</v>
      </c>
      <c r="AB220" s="263">
        <v>5</v>
      </c>
      <c r="AC220" s="264" cm="1">
        <f t="array" ref="AC220">INDEX('Contract Early Termination'!$B$14:$H$33,$AB220,MATCH($A218,_xlfn.ANCHORARRAY('Contract Early Termination'!$B$10),0))</f>
        <v>0</v>
      </c>
      <c r="AE220" s="263">
        <v>5</v>
      </c>
      <c r="AF220" s="264" cm="1">
        <f t="array" ref="AF220">INDEX('Contract Early Termination'!$B$41:$H$60,$AE220,MATCH($A218,_xlfn.ANCHORARRAY('Contract Early Termination'!$B$37),0))</f>
        <v>0</v>
      </c>
      <c r="AH220" s="263">
        <v>5</v>
      </c>
      <c r="AI220" s="264" cm="1">
        <f t="array" ref="AI220">INDEX('Contract Early Termination'!$B$68:$H$87,$AB220,MATCH($A218,_xlfn.ANCHORARRAY('Contract Early Termination'!$B$64),0))</f>
        <v>0</v>
      </c>
      <c r="AK220" s="263">
        <v>5</v>
      </c>
      <c r="AL220" s="293" t="str">
        <f>IF($B220="SPPA","N/A - SPPA",AL219*(1-'System Specification'!$D$10)*IF(AK220&lt;=$C220,1,0))</f>
        <v>N/A - SPPA</v>
      </c>
      <c r="AM220" s="293" t="str">
        <f>IF($B220="SPPA","N/A - SPPA",AM219*(1-INDEX('System Specification'!$Q$14:$Q$20,MATCH($A220,'System Specification'!$D$14:$D$20,0)))*IF(AK220&lt;=$C220,1,0))</f>
        <v>N/A - SPPA</v>
      </c>
      <c r="AN220" s="298" t="str" cm="1">
        <f t="array" ref="AN220">IF($B220="SPPA","N/A - SPPA",INDEX(PeGu!$B$78:$H$97,$AK220,MATCH($A218,PeGu!$B$76:$H$76,0)))</f>
        <v>N/A - SPPA</v>
      </c>
      <c r="AP220" s="262">
        <v>5</v>
      </c>
      <c r="AQ220" s="269" t="str">
        <f>IF($B220="SPPA","N/A - SPPA", INDEX('Microgrid Proposal'!$N$32:$N$38,MATCH($A220,'Microgrid Proposal'!$D$32:$D$38,0))*IF(AP220&lt;=$C220,1,0))</f>
        <v>N/A - SPPA</v>
      </c>
      <c r="AR220" s="264" t="str">
        <f t="shared" si="32"/>
        <v>N/A - SPPA</v>
      </c>
      <c r="AT220" s="262">
        <v>5</v>
      </c>
      <c r="AU220" s="269" t="str">
        <f>IF($B220="SPPA","N/A - SPPA", INDEX('Solar+Storage Proposal'!$N$32:$N$38,MATCH($A220,'Solar+Storage Proposal'!$D$32:$D$38,0))*IF(AT220&lt;=$C220,1,0))</f>
        <v>N/A - SPPA</v>
      </c>
      <c r="AV220" s="264" t="str">
        <f t="shared" si="33"/>
        <v>N/A - SPPA</v>
      </c>
      <c r="AX220" s="262">
        <v>5</v>
      </c>
      <c r="AY220" s="269" t="str">
        <f>IF($B220="SPPA","N/A - SPPA", INDEX('Solar-Only Proposal'!$M$32:$M$38,MATCH($A220,'Solar-Only Proposal'!$D$32:$D$38,0))*IF(AX220&lt;=$C220,1,0))</f>
        <v>N/A - SPPA</v>
      </c>
      <c r="AZ220" s="264" t="str">
        <f t="shared" si="34"/>
        <v>N/A - SPPA</v>
      </c>
    </row>
    <row r="221" spans="1:52" ht="15" thickBot="1" x14ac:dyDescent="0.4">
      <c r="A221" s="251" t="str">
        <f t="shared" si="30"/>
        <v>64-E1</v>
      </c>
      <c r="B221" s="251" t="str">
        <f t="shared" si="31"/>
        <v>SPPA</v>
      </c>
      <c r="C221" s="251">
        <f>INDEX('Site Data'!$S$7:$S$13,MATCH($A221,'Site Data'!$C$7:$C$13,0))</f>
        <v>20</v>
      </c>
      <c r="D221" s="251" t="s">
        <v>190</v>
      </c>
      <c r="E221" s="251" t="s">
        <v>192</v>
      </c>
      <c r="F221" s="258" t="s">
        <v>284</v>
      </c>
      <c r="G221" s="272">
        <f>IF($B221="SEL","N/A - SEL",INDEX('Microgrid Proposal'!$A$32:$X$38,MATCH($A221,'Microgrid Proposal'!$D$32:$D$38,0),MATCH($D221,'Microgrid Proposal'!$A$31:$X$31,0)))</f>
        <v>0</v>
      </c>
      <c r="H221" s="260" t="s">
        <v>286</v>
      </c>
      <c r="J221" s="262" t="s">
        <v>277</v>
      </c>
      <c r="K221" s="269" t="str">
        <f>IF($B221="SPPA","N/A - SPPA",INDEX('Solar+Storage Proposal'!$A$32:$X$38,MATCH($A221,'Solar+Storage Proposal'!$D$32:$D$38,0),MATCH($E221,'Solar+Storage Proposal'!$A$31:$X$31,0)))</f>
        <v>N/A - SPPA</v>
      </c>
      <c r="L221" s="270" t="s">
        <v>278</v>
      </c>
      <c r="N221" s="262">
        <v>6</v>
      </c>
      <c r="O221" s="293">
        <f>IF($B221="SEL","N/A - SEL",O220*(1-'System Specification'!$D$10)*IF(N221&lt;=$C221,1,0))</f>
        <v>0</v>
      </c>
      <c r="P221" s="293" t="str" cm="1">
        <f t="array" ref="P221">INDEX(PeGu!$B$24:$H$43,$S221,MATCH($A219,_xlfn.ANCHORARRAY(PeGu!$B$20),0))</f>
        <v/>
      </c>
      <c r="Q221" s="294">
        <f>IF($B221="SEL","N/A - SEL",PeGu!$E$14*POWER(1+PeGu!$E$15,$S221-1))</f>
        <v>5.7963703714999995E-2</v>
      </c>
      <c r="S221" s="262">
        <v>6</v>
      </c>
      <c r="T221" s="293">
        <f>IF($B221="SEL","N/A - SEL",T220*(1-'System Specification'!$D$10)*IF(S221&lt;=$C221,1,0))</f>
        <v>0</v>
      </c>
      <c r="U221" s="293" t="str" cm="1">
        <f t="array" ref="U221">INDEX(PeGu!$B$52:$H$71,$S221,MATCH($A219,_xlfn.ANCHORARRAY(PeGu!$B$48),0))</f>
        <v/>
      </c>
      <c r="V221" s="294">
        <f>IF($B221="SEL","N/A - SEL",PeGu!$E$14*POWER(1+PeGu!$E$15,$S221-1))</f>
        <v>5.7963703714999995E-2</v>
      </c>
      <c r="X221" s="262">
        <v>6</v>
      </c>
      <c r="Y221" s="293" t="str" cm="1">
        <f t="array" ref="Y221">IF($B221="SEL","N/A - SEL",INDEX(PeGu!$B$78:$H$97,$X221,MATCH($A219,PeGu!$B$76:$H$76,0)))</f>
        <v/>
      </c>
      <c r="Z221" s="294">
        <f>IF($B221="SEL","N/A - SEL",PeGu!$K$12*POWER(1+PeGu!$K$13,$X221-1))</f>
        <v>0</v>
      </c>
      <c r="AB221" s="263">
        <v>6</v>
      </c>
      <c r="AC221" s="264" cm="1">
        <f t="array" ref="AC221">INDEX('Contract Early Termination'!$B$14:$H$33,$AB221,MATCH($A219,_xlfn.ANCHORARRAY('Contract Early Termination'!$B$10),0))</f>
        <v>0</v>
      </c>
      <c r="AE221" s="263">
        <v>6</v>
      </c>
      <c r="AF221" s="264" cm="1">
        <f t="array" ref="AF221">INDEX('Contract Early Termination'!$B$41:$H$60,$AE221,MATCH($A219,_xlfn.ANCHORARRAY('Contract Early Termination'!$B$37),0))</f>
        <v>0</v>
      </c>
      <c r="AH221" s="263">
        <v>6</v>
      </c>
      <c r="AI221" s="264" cm="1">
        <f t="array" ref="AI221">INDEX('Contract Early Termination'!$B$68:$H$87,$AB221,MATCH($A219,_xlfn.ANCHORARRAY('Contract Early Termination'!$B$64),0))</f>
        <v>0</v>
      </c>
      <c r="AK221" s="263">
        <v>6</v>
      </c>
      <c r="AL221" s="293" t="str">
        <f>IF($B221="SPPA","N/A - SPPA",AL220*(1-'System Specification'!$D$10)*IF(AK221&lt;=$C221,1,0))</f>
        <v>N/A - SPPA</v>
      </c>
      <c r="AM221" s="293" t="str">
        <f>IF($B221="SPPA","N/A - SPPA",AM220*(1-INDEX('System Specification'!$Q$14:$Q$20,MATCH($A221,'System Specification'!$D$14:$D$20,0)))*IF(AK221&lt;=$C221,1,0))</f>
        <v>N/A - SPPA</v>
      </c>
      <c r="AN221" s="298" t="str" cm="1">
        <f t="array" ref="AN221">IF($B221="SPPA","N/A - SPPA",INDEX(PeGu!$B$78:$H$97,$AK221,MATCH($A219,PeGu!$B$76:$H$76,0)))</f>
        <v>N/A - SPPA</v>
      </c>
      <c r="AP221" s="262">
        <v>6</v>
      </c>
      <c r="AQ221" s="269" t="str">
        <f>IF($B221="SPPA","N/A - SPPA", INDEX('Microgrid Proposal'!$N$32:$N$38,MATCH($A221,'Microgrid Proposal'!$D$32:$D$38,0))*IF(AP221&lt;=$C221,1,0))</f>
        <v>N/A - SPPA</v>
      </c>
      <c r="AR221" s="264" t="str">
        <f t="shared" si="32"/>
        <v>N/A - SPPA</v>
      </c>
      <c r="AT221" s="262">
        <v>6</v>
      </c>
      <c r="AU221" s="269" t="str">
        <f>IF($B221="SPPA","N/A - SPPA", INDEX('Solar+Storage Proposal'!$N$32:$N$38,MATCH($A221,'Solar+Storage Proposal'!$D$32:$D$38,0))*IF(AT221&lt;=$C221,1,0))</f>
        <v>N/A - SPPA</v>
      </c>
      <c r="AV221" s="264" t="str">
        <f t="shared" si="33"/>
        <v>N/A - SPPA</v>
      </c>
      <c r="AX221" s="262">
        <v>6</v>
      </c>
      <c r="AY221" s="269" t="str">
        <f>IF($B221="SPPA","N/A - SPPA", INDEX('Solar-Only Proposal'!$M$32:$M$38,MATCH($A221,'Solar-Only Proposal'!$D$32:$D$38,0))*IF(AX221&lt;=$C221,1,0))</f>
        <v>N/A - SPPA</v>
      </c>
      <c r="AZ221" s="264" t="str">
        <f t="shared" si="34"/>
        <v>N/A - SPPA</v>
      </c>
    </row>
    <row r="222" spans="1:52" ht="15" thickBot="1" x14ac:dyDescent="0.4">
      <c r="A222" s="251" t="str">
        <f t="shared" si="30"/>
        <v>64-E1</v>
      </c>
      <c r="B222" s="251" t="str">
        <f t="shared" si="31"/>
        <v>SPPA</v>
      </c>
      <c r="C222" s="251">
        <f>INDEX('Site Data'!$S$7:$S$13,MATCH($A222,'Site Data'!$C$7:$C$13,0))</f>
        <v>20</v>
      </c>
      <c r="E222" s="251" t="s">
        <v>193</v>
      </c>
      <c r="F222" s="538" t="s">
        <v>287</v>
      </c>
      <c r="G222" s="539"/>
      <c r="H222" s="540"/>
      <c r="J222" s="258" t="s">
        <v>277</v>
      </c>
      <c r="K222" s="300" t="str">
        <f>IF($B222="SPPA","N/A - SPPA",INDEX('Solar+Storage Proposal'!$A$32:$X$38,MATCH($A222,'Solar+Storage Proposal'!$D$32:$D$38,0),MATCH($E222,'Solar+Storage Proposal'!$A$31:$X$31,0)))</f>
        <v>N/A - SPPA</v>
      </c>
      <c r="L222" s="260" t="s">
        <v>281</v>
      </c>
      <c r="N222" s="262">
        <v>7</v>
      </c>
      <c r="O222" s="293">
        <f>IF($B222="SEL","N/A - SEL",O221*(1-'System Specification'!$D$10)*IF(N222&lt;=$C222,1,0))</f>
        <v>0</v>
      </c>
      <c r="P222" s="293" t="str" cm="1">
        <f t="array" ref="P222">INDEX(PeGu!$B$24:$H$43,$S222,MATCH($A220,_xlfn.ANCHORARRAY(PeGu!$B$20),0))</f>
        <v/>
      </c>
      <c r="Q222" s="294">
        <f>IF($B222="SEL","N/A - SEL",PeGu!$E$14*POWER(1+PeGu!$E$15,$S222-1))</f>
        <v>5.970261482645E-2</v>
      </c>
      <c r="S222" s="262">
        <v>7</v>
      </c>
      <c r="T222" s="293">
        <f>IF($B222="SEL","N/A - SEL",T221*(1-'System Specification'!$D$10)*IF(S222&lt;=$C222,1,0))</f>
        <v>0</v>
      </c>
      <c r="U222" s="293" t="str" cm="1">
        <f t="array" ref="U222">INDEX(PeGu!$B$52:$H$71,$S222,MATCH($A220,_xlfn.ANCHORARRAY(PeGu!$B$48),0))</f>
        <v/>
      </c>
      <c r="V222" s="294">
        <f>IF($B222="SEL","N/A - SEL",PeGu!$E$14*POWER(1+PeGu!$E$15,$S222-1))</f>
        <v>5.970261482645E-2</v>
      </c>
      <c r="X222" s="262">
        <v>7</v>
      </c>
      <c r="Y222" s="293" t="str" cm="1">
        <f t="array" ref="Y222">IF($B222="SEL","N/A - SEL",INDEX(PeGu!$B$78:$H$97,$X222,MATCH($A220,PeGu!$B$76:$H$76,0)))</f>
        <v/>
      </c>
      <c r="Z222" s="294">
        <f>IF($B222="SEL","N/A - SEL",PeGu!$K$12*POWER(1+PeGu!$K$13,$X222-1))</f>
        <v>0</v>
      </c>
      <c r="AB222" s="263">
        <v>7</v>
      </c>
      <c r="AC222" s="264" cm="1">
        <f t="array" ref="AC222">INDEX('Contract Early Termination'!$B$14:$H$33,$AB222,MATCH($A220,_xlfn.ANCHORARRAY('Contract Early Termination'!$B$10),0))</f>
        <v>0</v>
      </c>
      <c r="AE222" s="263">
        <v>7</v>
      </c>
      <c r="AF222" s="264" cm="1">
        <f t="array" ref="AF222">INDEX('Contract Early Termination'!$B$41:$H$60,$AE222,MATCH($A220,_xlfn.ANCHORARRAY('Contract Early Termination'!$B$37),0))</f>
        <v>0</v>
      </c>
      <c r="AH222" s="263">
        <v>7</v>
      </c>
      <c r="AI222" s="264" cm="1">
        <f t="array" ref="AI222">INDEX('Contract Early Termination'!$B$68:$H$87,$AB222,MATCH($A220,_xlfn.ANCHORARRAY('Contract Early Termination'!$B$64),0))</f>
        <v>0</v>
      </c>
      <c r="AK222" s="263">
        <v>7</v>
      </c>
      <c r="AL222" s="293" t="str">
        <f>IF($B222="SPPA","N/A - SPPA",AL221*(1-'System Specification'!$D$10)*IF(AK222&lt;=$C222,1,0))</f>
        <v>N/A - SPPA</v>
      </c>
      <c r="AM222" s="293" t="str">
        <f>IF($B222="SPPA","N/A - SPPA",AM221*(1-INDEX('System Specification'!$Q$14:$Q$20,MATCH($A222,'System Specification'!$D$14:$D$20,0)))*IF(AK222&lt;=$C222,1,0))</f>
        <v>N/A - SPPA</v>
      </c>
      <c r="AN222" s="298" t="str" cm="1">
        <f t="array" ref="AN222">IF($B222="SPPA","N/A - SPPA",INDEX(PeGu!$B$78:$H$97,$AK222,MATCH($A220,PeGu!$B$76:$H$76,0)))</f>
        <v>N/A - SPPA</v>
      </c>
      <c r="AP222" s="262">
        <v>7</v>
      </c>
      <c r="AQ222" s="269" t="str">
        <f>IF($B222="SPPA","N/A - SPPA", INDEX('Microgrid Proposal'!$N$32:$N$38,MATCH($A222,'Microgrid Proposal'!$D$32:$D$38,0))*IF(AP222&lt;=$C222,1,0))</f>
        <v>N/A - SPPA</v>
      </c>
      <c r="AR222" s="264" t="str">
        <f t="shared" si="32"/>
        <v>N/A - SPPA</v>
      </c>
      <c r="AT222" s="262">
        <v>7</v>
      </c>
      <c r="AU222" s="269" t="str">
        <f>IF($B222="SPPA","N/A - SPPA", INDEX('Solar+Storage Proposal'!$N$32:$N$38,MATCH($A222,'Solar+Storage Proposal'!$D$32:$D$38,0))*IF(AT222&lt;=$C222,1,0))</f>
        <v>N/A - SPPA</v>
      </c>
      <c r="AV222" s="264" t="str">
        <f t="shared" si="33"/>
        <v>N/A - SPPA</v>
      </c>
      <c r="AX222" s="262">
        <v>7</v>
      </c>
      <c r="AY222" s="269" t="str">
        <f>IF($B222="SPPA","N/A - SPPA", INDEX('Solar-Only Proposal'!$M$32:$M$38,MATCH($A222,'Solar-Only Proposal'!$D$32:$D$38,0))*IF(AX222&lt;=$C222,1,0))</f>
        <v>N/A - SPPA</v>
      </c>
      <c r="AZ222" s="264" t="str">
        <f t="shared" si="34"/>
        <v>N/A - SPPA</v>
      </c>
    </row>
    <row r="223" spans="1:52" ht="15" thickBot="1" x14ac:dyDescent="0.4">
      <c r="A223" s="251" t="str">
        <f t="shared" si="30"/>
        <v>64-E1</v>
      </c>
      <c r="B223" s="251" t="str">
        <f t="shared" si="31"/>
        <v>SPPA</v>
      </c>
      <c r="C223" s="251">
        <f>INDEX('Site Data'!$S$7:$S$13,MATCH($A223,'Site Data'!$C$7:$C$13,0))</f>
        <v>20</v>
      </c>
      <c r="D223" s="251" t="s">
        <v>188</v>
      </c>
      <c r="F223" s="266" t="s">
        <v>279</v>
      </c>
      <c r="G223" s="267">
        <f>IF($B223="SEL","N/A - SEL",INDEX('Solar+Storage Proposal'!$A$32:$X$38,MATCH($A223,'Solar+Storage Proposal'!$D$32:$D$38,0),MATCH($D223,'Solar+Storage Proposal'!$A$31:$X$31,0)))</f>
        <v>0</v>
      </c>
      <c r="H223" s="268" t="s">
        <v>280</v>
      </c>
      <c r="J223" s="519" t="s">
        <v>288</v>
      </c>
      <c r="K223" s="520"/>
      <c r="L223" s="521"/>
      <c r="N223" s="262">
        <v>8</v>
      </c>
      <c r="O223" s="293">
        <f>IF($B223="SEL","N/A - SEL",O222*(1-'System Specification'!$D$10)*IF(N223&lt;=$C223,1,0))</f>
        <v>0</v>
      </c>
      <c r="P223" s="293" t="str" cm="1">
        <f t="array" ref="P223">INDEX(PeGu!$B$24:$H$43,$S223,MATCH($A221,_xlfn.ANCHORARRAY(PeGu!$B$20),0))</f>
        <v/>
      </c>
      <c r="Q223" s="294">
        <f>IF($B223="SEL","N/A - SEL",PeGu!$E$14*POWER(1+PeGu!$E$15,$S223-1))</f>
        <v>6.1493693271243502E-2</v>
      </c>
      <c r="S223" s="262">
        <v>8</v>
      </c>
      <c r="T223" s="293">
        <f>IF($B223="SEL","N/A - SEL",T222*(1-'System Specification'!$D$10)*IF(S223&lt;=$C223,1,0))</f>
        <v>0</v>
      </c>
      <c r="U223" s="293" t="str" cm="1">
        <f t="array" ref="U223">INDEX(PeGu!$B$52:$H$71,$S223,MATCH($A221,_xlfn.ANCHORARRAY(PeGu!$B$48),0))</f>
        <v/>
      </c>
      <c r="V223" s="294">
        <f>IF($B223="SEL","N/A - SEL",PeGu!$E$14*POWER(1+PeGu!$E$15,$S223-1))</f>
        <v>6.1493693271243502E-2</v>
      </c>
      <c r="X223" s="262">
        <v>8</v>
      </c>
      <c r="Y223" s="293" t="str" cm="1">
        <f t="array" ref="Y223">IF($B223="SEL","N/A - SEL",INDEX(PeGu!$B$78:$H$97,$X223,MATCH($A221,PeGu!$B$76:$H$76,0)))</f>
        <v/>
      </c>
      <c r="Z223" s="294">
        <f>IF($B223="SEL","N/A - SEL",PeGu!$K$12*POWER(1+PeGu!$K$13,$X223-1))</f>
        <v>0</v>
      </c>
      <c r="AB223" s="263">
        <v>8</v>
      </c>
      <c r="AC223" s="264" cm="1">
        <f t="array" ref="AC223">INDEX('Contract Early Termination'!$B$14:$H$33,$AB223,MATCH($A221,_xlfn.ANCHORARRAY('Contract Early Termination'!$B$10),0))</f>
        <v>0</v>
      </c>
      <c r="AE223" s="263">
        <v>8</v>
      </c>
      <c r="AF223" s="264" cm="1">
        <f t="array" ref="AF223">INDEX('Contract Early Termination'!$B$41:$H$60,$AE223,MATCH($A221,_xlfn.ANCHORARRAY('Contract Early Termination'!$B$37),0))</f>
        <v>0</v>
      </c>
      <c r="AH223" s="263">
        <v>8</v>
      </c>
      <c r="AI223" s="264" cm="1">
        <f t="array" ref="AI223">INDEX('Contract Early Termination'!$B$68:$H$87,$AB223,MATCH($A221,_xlfn.ANCHORARRAY('Contract Early Termination'!$B$64),0))</f>
        <v>0</v>
      </c>
      <c r="AK223" s="263">
        <v>8</v>
      </c>
      <c r="AL223" s="293" t="str">
        <f>IF($B223="SPPA","N/A - SPPA",AL222*(1-'System Specification'!$D$10)*IF(AK223&lt;=$C223,1,0))</f>
        <v>N/A - SPPA</v>
      </c>
      <c r="AM223" s="293" t="str">
        <f>IF($B223="SPPA","N/A - SPPA",AM222*(1-INDEX('System Specification'!$Q$14:$Q$20,MATCH($A223,'System Specification'!$D$14:$D$20,0)))*IF(AK223&lt;=$C223,1,0))</f>
        <v>N/A - SPPA</v>
      </c>
      <c r="AN223" s="298" t="str" cm="1">
        <f t="array" ref="AN223">IF($B223="SPPA","N/A - SPPA",INDEX(PeGu!$B$78:$H$97,$AK223,MATCH($A221,PeGu!$B$76:$H$76,0)))</f>
        <v>N/A - SPPA</v>
      </c>
      <c r="AP223" s="262">
        <v>8</v>
      </c>
      <c r="AQ223" s="269" t="str">
        <f>IF($B223="SPPA","N/A - SPPA", INDEX('Microgrid Proposal'!$N$32:$N$38,MATCH($A223,'Microgrid Proposal'!$D$32:$D$38,0))*IF(AP223&lt;=$C223,1,0))</f>
        <v>N/A - SPPA</v>
      </c>
      <c r="AR223" s="264" t="str">
        <f t="shared" si="32"/>
        <v>N/A - SPPA</v>
      </c>
      <c r="AT223" s="262">
        <v>8</v>
      </c>
      <c r="AU223" s="269" t="str">
        <f>IF($B223="SPPA","N/A - SPPA", INDEX('Solar+Storage Proposal'!$N$32:$N$38,MATCH($A223,'Solar+Storage Proposal'!$D$32:$D$38,0))*IF(AT223&lt;=$C223,1,0))</f>
        <v>N/A - SPPA</v>
      </c>
      <c r="AV223" s="264" t="str">
        <f t="shared" si="33"/>
        <v>N/A - SPPA</v>
      </c>
      <c r="AX223" s="262">
        <v>8</v>
      </c>
      <c r="AY223" s="269" t="str">
        <f>IF($B223="SPPA","N/A - SPPA", INDEX('Solar-Only Proposal'!$M$32:$M$38,MATCH($A223,'Solar-Only Proposal'!$D$32:$D$38,0))*IF(AX223&lt;=$C223,1,0))</f>
        <v>N/A - SPPA</v>
      </c>
      <c r="AZ223" s="264" t="str">
        <f t="shared" si="34"/>
        <v>N/A - SPPA</v>
      </c>
    </row>
    <row r="224" spans="1:52" x14ac:dyDescent="0.35">
      <c r="A224" s="251" t="str">
        <f t="shared" si="30"/>
        <v>64-E1</v>
      </c>
      <c r="B224" s="251" t="str">
        <f t="shared" si="31"/>
        <v>SPPA</v>
      </c>
      <c r="C224" s="251">
        <f>INDEX('Site Data'!$S$7:$S$13,MATCH($A224,'Site Data'!$C$7:$C$13,0))</f>
        <v>20</v>
      </c>
      <c r="D224" s="251" t="s">
        <v>165</v>
      </c>
      <c r="E224" s="251" t="s">
        <v>165</v>
      </c>
      <c r="F224" s="262" t="s">
        <v>282</v>
      </c>
      <c r="G224" s="269">
        <f>IF($B224="SEL","N/A - SEL",INDEX('Solar+Storage Proposal'!$A$32:$X$38,MATCH($A224,'Solar+Storage Proposal'!$D$32:$D$38,0),MATCH($D224,'Solar+Storage Proposal'!$A$31:$X$31,0)))</f>
        <v>0</v>
      </c>
      <c r="H224" s="270" t="s">
        <v>275</v>
      </c>
      <c r="J224" s="261" t="s">
        <v>274</v>
      </c>
      <c r="K224" s="303" t="str">
        <f>IF($B224="SPPA","N/A - SPPA",INDEX('Solar-Only Proposal'!$A$32:$W$38,MATCH($A224,'Solar-Only Proposal'!$D$32:$D$38,0),MATCH($E224,'Solar-Only Proposal'!$A$31:$W$31,0)))</f>
        <v>N/A - SPPA</v>
      </c>
      <c r="L224" s="304" t="s">
        <v>275</v>
      </c>
      <c r="N224" s="262">
        <v>9</v>
      </c>
      <c r="O224" s="293">
        <f>IF($B224="SEL","N/A - SEL",O223*(1-'System Specification'!$D$10)*IF(N224&lt;=$C224,1,0))</f>
        <v>0</v>
      </c>
      <c r="P224" s="293" t="str" cm="1">
        <f t="array" ref="P224">INDEX(PeGu!$B$24:$H$43,$S224,MATCH($A222,_xlfn.ANCHORARRAY(PeGu!$B$20),0))</f>
        <v/>
      </c>
      <c r="Q224" s="294">
        <f>IF($B224="SEL","N/A - SEL",PeGu!$E$14*POWER(1+PeGu!$E$15,$S224-1))</f>
        <v>6.3338504069380797E-2</v>
      </c>
      <c r="S224" s="262">
        <v>9</v>
      </c>
      <c r="T224" s="293">
        <f>IF($B224="SEL","N/A - SEL",T223*(1-'System Specification'!$D$10)*IF(S224&lt;=$C224,1,0))</f>
        <v>0</v>
      </c>
      <c r="U224" s="293" t="str" cm="1">
        <f t="array" ref="U224">INDEX(PeGu!$B$52:$H$71,$S224,MATCH($A222,_xlfn.ANCHORARRAY(PeGu!$B$48),0))</f>
        <v/>
      </c>
      <c r="V224" s="294">
        <f>IF($B224="SEL","N/A - SEL",PeGu!$E$14*POWER(1+PeGu!$E$15,$S224-1))</f>
        <v>6.3338504069380797E-2</v>
      </c>
      <c r="X224" s="262">
        <v>9</v>
      </c>
      <c r="Y224" s="293" t="str" cm="1">
        <f t="array" ref="Y224">IF($B224="SEL","N/A - SEL",INDEX(PeGu!$B$78:$H$97,$X224,MATCH($A222,PeGu!$B$76:$H$76,0)))</f>
        <v/>
      </c>
      <c r="Z224" s="294">
        <f>IF($B224="SEL","N/A - SEL",PeGu!$K$12*POWER(1+PeGu!$K$13,$X224-1))</f>
        <v>0</v>
      </c>
      <c r="AB224" s="263">
        <v>9</v>
      </c>
      <c r="AC224" s="264" cm="1">
        <f t="array" ref="AC224">INDEX('Contract Early Termination'!$B$14:$H$33,$AB224,MATCH($A222,_xlfn.ANCHORARRAY('Contract Early Termination'!$B$10),0))</f>
        <v>0</v>
      </c>
      <c r="AE224" s="263">
        <v>9</v>
      </c>
      <c r="AF224" s="264" cm="1">
        <f t="array" ref="AF224">INDEX('Contract Early Termination'!$B$41:$H$60,$AE224,MATCH($A222,_xlfn.ANCHORARRAY('Contract Early Termination'!$B$37),0))</f>
        <v>0</v>
      </c>
      <c r="AH224" s="263">
        <v>9</v>
      </c>
      <c r="AI224" s="264" cm="1">
        <f t="array" ref="AI224">INDEX('Contract Early Termination'!$B$68:$H$87,$AB224,MATCH($A222,_xlfn.ANCHORARRAY('Contract Early Termination'!$B$64),0))</f>
        <v>0</v>
      </c>
      <c r="AK224" s="263">
        <v>9</v>
      </c>
      <c r="AL224" s="293" t="str">
        <f>IF($B224="SPPA","N/A - SPPA",AL223*(1-'System Specification'!$D$10)*IF(AK224&lt;=$C224,1,0))</f>
        <v>N/A - SPPA</v>
      </c>
      <c r="AM224" s="293" t="str">
        <f>IF($B224="SPPA","N/A - SPPA",AM223*(1-INDEX('System Specification'!$Q$14:$Q$20,MATCH($A224,'System Specification'!$D$14:$D$20,0)))*IF(AK224&lt;=$C224,1,0))</f>
        <v>N/A - SPPA</v>
      </c>
      <c r="AN224" s="298" t="str" cm="1">
        <f t="array" ref="AN224">IF($B224="SPPA","N/A - SPPA",INDEX(PeGu!$B$78:$H$97,$AK224,MATCH($A222,PeGu!$B$76:$H$76,0)))</f>
        <v>N/A - SPPA</v>
      </c>
      <c r="AP224" s="262">
        <v>9</v>
      </c>
      <c r="AQ224" s="269" t="str">
        <f>IF($B224="SPPA","N/A - SPPA", INDEX('Microgrid Proposal'!$N$32:$N$38,MATCH($A224,'Microgrid Proposal'!$D$32:$D$38,0))*IF(AP224&lt;=$C224,1,0))</f>
        <v>N/A - SPPA</v>
      </c>
      <c r="AR224" s="264" t="str">
        <f t="shared" si="32"/>
        <v>N/A - SPPA</v>
      </c>
      <c r="AT224" s="262">
        <v>9</v>
      </c>
      <c r="AU224" s="269" t="str">
        <f>IF($B224="SPPA","N/A - SPPA", INDEX('Solar+Storage Proposal'!$N$32:$N$38,MATCH($A224,'Solar+Storage Proposal'!$D$32:$D$38,0))*IF(AT224&lt;=$C224,1,0))</f>
        <v>N/A - SPPA</v>
      </c>
      <c r="AV224" s="264" t="str">
        <f t="shared" si="33"/>
        <v>N/A - SPPA</v>
      </c>
      <c r="AX224" s="262">
        <v>9</v>
      </c>
      <c r="AY224" s="269" t="str">
        <f>IF($B224="SPPA","N/A - SPPA", INDEX('Solar-Only Proposal'!$M$32:$M$38,MATCH($A224,'Solar-Only Proposal'!$D$32:$D$38,0))*IF(AX224&lt;=$C224,1,0))</f>
        <v>N/A - SPPA</v>
      </c>
      <c r="AZ224" s="264" t="str">
        <f t="shared" si="34"/>
        <v>N/A - SPPA</v>
      </c>
    </row>
    <row r="225" spans="1:52" x14ac:dyDescent="0.35">
      <c r="A225" s="251" t="str">
        <f t="shared" si="30"/>
        <v>64-E1</v>
      </c>
      <c r="B225" s="251" t="str">
        <f t="shared" si="31"/>
        <v>SPPA</v>
      </c>
      <c r="C225" s="251">
        <f>INDEX('Site Data'!$S$7:$S$13,MATCH($A225,'Site Data'!$C$7:$C$13,0))</f>
        <v>20</v>
      </c>
      <c r="D225" s="251" t="s">
        <v>189</v>
      </c>
      <c r="E225" s="251" t="s">
        <v>192</v>
      </c>
      <c r="F225" s="262" t="s">
        <v>284</v>
      </c>
      <c r="G225" s="271">
        <f>IF($B225="SEL","N/A - SEL",INDEX('Solar+Storage Proposal'!$A$32:$X$38,MATCH($A225,'Solar+Storage Proposal'!$D$32:$D$38,0),MATCH($D225,'Solar+Storage Proposal'!$A$31:$X$31,0)))</f>
        <v>0</v>
      </c>
      <c r="H225" s="270" t="s">
        <v>285</v>
      </c>
      <c r="J225" s="262" t="s">
        <v>277</v>
      </c>
      <c r="K225" s="269" t="str">
        <f>IF($B225="SPPA","N/A - SPPA",INDEX('Solar-Only Proposal'!$A$32:$W$38,MATCH($A225,'Solar-Only Proposal'!$D$32:$D$38,0),MATCH($E225,'Solar-Only Proposal'!$A$31:$W$31,0)))</f>
        <v>N/A - SPPA</v>
      </c>
      <c r="L225" s="270" t="s">
        <v>278</v>
      </c>
      <c r="N225" s="262">
        <v>10</v>
      </c>
      <c r="O225" s="293">
        <f>IF($B225="SEL","N/A - SEL",O224*(1-'System Specification'!$D$10)*IF(N225&lt;=$C225,1,0))</f>
        <v>0</v>
      </c>
      <c r="P225" s="293" t="str" cm="1">
        <f t="array" ref="P225">INDEX(PeGu!$B$24:$H$43,$S225,MATCH($A223,_xlfn.ANCHORARRAY(PeGu!$B$20),0))</f>
        <v/>
      </c>
      <c r="Q225" s="294">
        <f>IF($B225="SEL","N/A - SEL",PeGu!$E$14*POWER(1+PeGu!$E$15,$S225-1))</f>
        <v>6.5238659191462225E-2</v>
      </c>
      <c r="S225" s="262">
        <v>10</v>
      </c>
      <c r="T225" s="293">
        <f>IF($B225="SEL","N/A - SEL",T224*(1-'System Specification'!$D$10)*IF(S225&lt;=$C225,1,0))</f>
        <v>0</v>
      </c>
      <c r="U225" s="293" t="str" cm="1">
        <f t="array" ref="U225">INDEX(PeGu!$B$52:$H$71,$S225,MATCH($A223,_xlfn.ANCHORARRAY(PeGu!$B$48),0))</f>
        <v/>
      </c>
      <c r="V225" s="294">
        <f>IF($B225="SEL","N/A - SEL",PeGu!$E$14*POWER(1+PeGu!$E$15,$S225-1))</f>
        <v>6.5238659191462225E-2</v>
      </c>
      <c r="X225" s="262">
        <v>10</v>
      </c>
      <c r="Y225" s="293" t="str" cm="1">
        <f t="array" ref="Y225">IF($B225="SEL","N/A - SEL",INDEX(PeGu!$B$78:$H$97,$X225,MATCH($A223,PeGu!$B$76:$H$76,0)))</f>
        <v/>
      </c>
      <c r="Z225" s="294">
        <f>IF($B225="SEL","N/A - SEL",PeGu!$K$12*POWER(1+PeGu!$K$13,$X225-1))</f>
        <v>0</v>
      </c>
      <c r="AB225" s="263">
        <v>10</v>
      </c>
      <c r="AC225" s="264" cm="1">
        <f t="array" ref="AC225">INDEX('Contract Early Termination'!$B$14:$H$33,$AB225,MATCH($A223,_xlfn.ANCHORARRAY('Contract Early Termination'!$B$10),0))</f>
        <v>0</v>
      </c>
      <c r="AE225" s="263">
        <v>10</v>
      </c>
      <c r="AF225" s="264" cm="1">
        <f t="array" ref="AF225">INDEX('Contract Early Termination'!$B$41:$H$60,$AE225,MATCH($A223,_xlfn.ANCHORARRAY('Contract Early Termination'!$B$37),0))</f>
        <v>0</v>
      </c>
      <c r="AH225" s="263">
        <v>10</v>
      </c>
      <c r="AI225" s="264" cm="1">
        <f t="array" ref="AI225">INDEX('Contract Early Termination'!$B$68:$H$87,$AB225,MATCH($A223,_xlfn.ANCHORARRAY('Contract Early Termination'!$B$64),0))</f>
        <v>0</v>
      </c>
      <c r="AK225" s="263">
        <v>10</v>
      </c>
      <c r="AL225" s="293" t="str">
        <f>IF($B225="SPPA","N/A - SPPA",AL224*(1-'System Specification'!$D$10)*IF(AK225&lt;=$C225,1,0))</f>
        <v>N/A - SPPA</v>
      </c>
      <c r="AM225" s="293" t="str">
        <f>IF($B225="SPPA","N/A - SPPA",AM224*(1-INDEX('System Specification'!$Q$14:$Q$20,MATCH($A225,'System Specification'!$D$14:$D$20,0)))*IF(AK225&lt;=$C225,1,0))</f>
        <v>N/A - SPPA</v>
      </c>
      <c r="AN225" s="298" t="str" cm="1">
        <f t="array" ref="AN225">IF($B225="SPPA","N/A - SPPA",INDEX(PeGu!$B$78:$H$97,$AK225,MATCH($A223,PeGu!$B$76:$H$76,0)))</f>
        <v>N/A - SPPA</v>
      </c>
      <c r="AP225" s="262">
        <v>10</v>
      </c>
      <c r="AQ225" s="269" t="str">
        <f>IF($B225="SPPA","N/A - SPPA", INDEX('Microgrid Proposal'!$N$32:$N$38,MATCH($A225,'Microgrid Proposal'!$D$32:$D$38,0))*IF(AP225&lt;=$C225,1,0))</f>
        <v>N/A - SPPA</v>
      </c>
      <c r="AR225" s="264" t="str">
        <f t="shared" si="32"/>
        <v>N/A - SPPA</v>
      </c>
      <c r="AT225" s="262">
        <v>10</v>
      </c>
      <c r="AU225" s="269" t="str">
        <f>IF($B225="SPPA","N/A - SPPA", INDEX('Solar+Storage Proposal'!$N$32:$N$38,MATCH($A225,'Solar+Storage Proposal'!$D$32:$D$38,0))*IF(AT225&lt;=$C225,1,0))</f>
        <v>N/A - SPPA</v>
      </c>
      <c r="AV225" s="264" t="str">
        <f t="shared" si="33"/>
        <v>N/A - SPPA</v>
      </c>
      <c r="AX225" s="262">
        <v>10</v>
      </c>
      <c r="AY225" s="269" t="str">
        <f>IF($B225="SPPA","N/A - SPPA", INDEX('Solar-Only Proposal'!$M$32:$M$38,MATCH($A225,'Solar-Only Proposal'!$D$32:$D$38,0))*IF(AX225&lt;=$C225,1,0))</f>
        <v>N/A - SPPA</v>
      </c>
      <c r="AZ225" s="264" t="str">
        <f t="shared" si="34"/>
        <v>N/A - SPPA</v>
      </c>
    </row>
    <row r="226" spans="1:52" ht="15" thickBot="1" x14ac:dyDescent="0.4">
      <c r="A226" s="251" t="str">
        <f t="shared" si="30"/>
        <v>64-E1</v>
      </c>
      <c r="B226" s="251" t="str">
        <f t="shared" si="31"/>
        <v>SPPA</v>
      </c>
      <c r="C226" s="251">
        <f>INDEX('Site Data'!$S$7:$S$13,MATCH($A226,'Site Data'!$C$7:$C$13,0))</f>
        <v>20</v>
      </c>
      <c r="D226" s="251" t="s">
        <v>190</v>
      </c>
      <c r="E226" s="251" t="s">
        <v>193</v>
      </c>
      <c r="F226" s="258" t="s">
        <v>284</v>
      </c>
      <c r="G226" s="272">
        <f>IF($B226="SEL","N/A - SEL",INDEX('Solar+Storage Proposal'!$A$32:$X$38,MATCH($A226,'Solar+Storage Proposal'!$D$32:$D$38,0),MATCH($D226,'Solar+Storage Proposal'!$A$31:$X$31,0)))</f>
        <v>0</v>
      </c>
      <c r="H226" s="260" t="s">
        <v>286</v>
      </c>
      <c r="J226" s="258" t="s">
        <v>277</v>
      </c>
      <c r="K226" s="300" t="str">
        <f>IF($B226="SPPA","N/A - SPPA",INDEX('Solar-Only Proposal'!$A$32:$W$38,MATCH($A226,'Solar-Only Proposal'!$D$32:$D$38,0),MATCH($E226,'Solar-Only Proposal'!$A$31:$W$31,0)))</f>
        <v>N/A - SPPA</v>
      </c>
      <c r="L226" s="260" t="s">
        <v>281</v>
      </c>
      <c r="N226" s="262">
        <v>11</v>
      </c>
      <c r="O226" s="293">
        <f>IF($B226="SEL","N/A - SEL",O225*(1-'System Specification'!$D$10)*IF(N226&lt;=$C226,1,0))</f>
        <v>0</v>
      </c>
      <c r="P226" s="293" t="str" cm="1">
        <f t="array" ref="P226">INDEX(PeGu!$B$24:$H$43,$S226,MATCH($A224,_xlfn.ANCHORARRAY(PeGu!$B$20),0))</f>
        <v/>
      </c>
      <c r="Q226" s="294">
        <f>IF($B226="SEL","N/A - SEL",PeGu!$E$14*POWER(1+PeGu!$E$15,$S226-1))</f>
        <v>6.7195818967206097E-2</v>
      </c>
      <c r="S226" s="262">
        <v>11</v>
      </c>
      <c r="T226" s="293">
        <f>IF($B226="SEL","N/A - SEL",T225*(1-'System Specification'!$D$10)*IF(S226&lt;=$C226,1,0))</f>
        <v>0</v>
      </c>
      <c r="U226" s="293" t="str" cm="1">
        <f t="array" ref="U226">INDEX(PeGu!$B$52:$H$71,$S226,MATCH($A224,_xlfn.ANCHORARRAY(PeGu!$B$48),0))</f>
        <v/>
      </c>
      <c r="V226" s="294">
        <f>IF($B226="SEL","N/A - SEL",PeGu!$E$14*POWER(1+PeGu!$E$15,$S226-1))</f>
        <v>6.7195818967206097E-2</v>
      </c>
      <c r="X226" s="262">
        <v>11</v>
      </c>
      <c r="Y226" s="293" t="str" cm="1">
        <f t="array" ref="Y226">IF($B226="SEL","N/A - SEL",INDEX(PeGu!$B$78:$H$97,$X226,MATCH($A224,PeGu!$B$76:$H$76,0)))</f>
        <v/>
      </c>
      <c r="Z226" s="294">
        <f>IF($B226="SEL","N/A - SEL",PeGu!$K$12*POWER(1+PeGu!$K$13,$X226-1))</f>
        <v>0</v>
      </c>
      <c r="AB226" s="263">
        <v>11</v>
      </c>
      <c r="AC226" s="264" cm="1">
        <f t="array" ref="AC226">INDEX('Contract Early Termination'!$B$14:$H$33,$AB226,MATCH($A224,_xlfn.ANCHORARRAY('Contract Early Termination'!$B$10),0))</f>
        <v>0</v>
      </c>
      <c r="AE226" s="263">
        <v>11</v>
      </c>
      <c r="AF226" s="264" cm="1">
        <f t="array" ref="AF226">INDEX('Contract Early Termination'!$B$41:$H$60,$AE226,MATCH($A224,_xlfn.ANCHORARRAY('Contract Early Termination'!$B$37),0))</f>
        <v>0</v>
      </c>
      <c r="AH226" s="263">
        <v>11</v>
      </c>
      <c r="AI226" s="264" cm="1">
        <f t="array" ref="AI226">INDEX('Contract Early Termination'!$B$68:$H$87,$AB226,MATCH($A224,_xlfn.ANCHORARRAY('Contract Early Termination'!$B$64),0))</f>
        <v>0</v>
      </c>
      <c r="AK226" s="263">
        <v>11</v>
      </c>
      <c r="AL226" s="293" t="str">
        <f>IF($B226="SPPA","N/A - SPPA",AL225*(1-'System Specification'!$D$10)*IF(AK226&lt;=$C226,1,0))</f>
        <v>N/A - SPPA</v>
      </c>
      <c r="AM226" s="293" t="str">
        <f>IF($B226="SPPA","N/A - SPPA",AM225*(1-INDEX('System Specification'!$Q$14:$Q$20,MATCH($A226,'System Specification'!$D$14:$D$20,0)))*IF(AK226&lt;=$C226,1,0))</f>
        <v>N/A - SPPA</v>
      </c>
      <c r="AN226" s="298" t="str" cm="1">
        <f t="array" ref="AN226">IF($B226="SPPA","N/A - SPPA",INDEX(PeGu!$B$78:$H$97,$AK226,MATCH($A224,PeGu!$B$76:$H$76,0)))</f>
        <v>N/A - SPPA</v>
      </c>
      <c r="AP226" s="262">
        <v>11</v>
      </c>
      <c r="AQ226" s="269" t="str">
        <f>IF($B226="SPPA","N/A - SPPA", INDEX('Microgrid Proposal'!$N$32:$N$38,MATCH($A226,'Microgrid Proposal'!$D$32:$D$38,0))*IF(AP226&lt;=$C226,1,0))</f>
        <v>N/A - SPPA</v>
      </c>
      <c r="AR226" s="264" t="str">
        <f t="shared" si="32"/>
        <v>N/A - SPPA</v>
      </c>
      <c r="AT226" s="262">
        <v>11</v>
      </c>
      <c r="AU226" s="269" t="str">
        <f>IF($B226="SPPA","N/A - SPPA", INDEX('Solar+Storage Proposal'!$N$32:$N$38,MATCH($A226,'Solar+Storage Proposal'!$D$32:$D$38,0))*IF(AT226&lt;=$C226,1,0))</f>
        <v>N/A - SPPA</v>
      </c>
      <c r="AV226" s="264" t="str">
        <f t="shared" si="33"/>
        <v>N/A - SPPA</v>
      </c>
      <c r="AX226" s="262">
        <v>11</v>
      </c>
      <c r="AY226" s="269" t="str">
        <f>IF($B226="SPPA","N/A - SPPA", INDEX('Solar-Only Proposal'!$M$32:$M$38,MATCH($A226,'Solar-Only Proposal'!$D$32:$D$38,0))*IF(AX226&lt;=$C226,1,0))</f>
        <v>N/A - SPPA</v>
      </c>
      <c r="AZ226" s="264" t="str">
        <f t="shared" si="34"/>
        <v>N/A - SPPA</v>
      </c>
    </row>
    <row r="227" spans="1:52" ht="15" thickBot="1" x14ac:dyDescent="0.4">
      <c r="A227" s="251" t="str">
        <f t="shared" si="30"/>
        <v>64-E1</v>
      </c>
      <c r="B227" s="251" t="str">
        <f t="shared" si="31"/>
        <v>SPPA</v>
      </c>
      <c r="C227" s="251">
        <f>INDEX('Site Data'!$S$7:$S$13,MATCH($A227,'Site Data'!$C$7:$C$13,0))</f>
        <v>20</v>
      </c>
      <c r="F227" s="505" t="s">
        <v>289</v>
      </c>
      <c r="G227" s="506"/>
      <c r="H227" s="507"/>
      <c r="N227" s="262">
        <v>12</v>
      </c>
      <c r="O227" s="293">
        <f>IF($B227="SEL","N/A - SEL",O226*(1-'System Specification'!$D$10)*IF(N227&lt;=$C227,1,0))</f>
        <v>0</v>
      </c>
      <c r="P227" s="293" t="str" cm="1">
        <f t="array" ref="P227">INDEX(PeGu!$B$24:$H$43,$S227,MATCH($A225,_xlfn.ANCHORARRAY(PeGu!$B$20),0))</f>
        <v/>
      </c>
      <c r="Q227" s="294">
        <f>IF($B227="SEL","N/A - SEL",PeGu!$E$14*POWER(1+PeGu!$E$15,$S227-1))</f>
        <v>6.921169353622228E-2</v>
      </c>
      <c r="S227" s="262">
        <v>12</v>
      </c>
      <c r="T227" s="293">
        <f>IF($B227="SEL","N/A - SEL",T226*(1-'System Specification'!$D$10)*IF(S227&lt;=$C227,1,0))</f>
        <v>0</v>
      </c>
      <c r="U227" s="293" t="str" cm="1">
        <f t="array" ref="U227">INDEX(PeGu!$B$52:$H$71,$S227,MATCH($A225,_xlfn.ANCHORARRAY(PeGu!$B$48),0))</f>
        <v/>
      </c>
      <c r="V227" s="294">
        <f>IF($B227="SEL","N/A - SEL",PeGu!$E$14*POWER(1+PeGu!$E$15,$S227-1))</f>
        <v>6.921169353622228E-2</v>
      </c>
      <c r="X227" s="262">
        <v>12</v>
      </c>
      <c r="Y227" s="293" t="str" cm="1">
        <f t="array" ref="Y227">IF($B227="SEL","N/A - SEL",INDEX(PeGu!$B$78:$H$97,$X227,MATCH($A225,PeGu!$B$76:$H$76,0)))</f>
        <v/>
      </c>
      <c r="Z227" s="294">
        <f>IF($B227="SEL","N/A - SEL",PeGu!$K$12*POWER(1+PeGu!$K$13,$X227-1))</f>
        <v>0</v>
      </c>
      <c r="AB227" s="263">
        <v>12</v>
      </c>
      <c r="AC227" s="264" cm="1">
        <f t="array" ref="AC227">INDEX('Contract Early Termination'!$B$14:$H$33,$AB227,MATCH($A225,_xlfn.ANCHORARRAY('Contract Early Termination'!$B$10),0))</f>
        <v>0</v>
      </c>
      <c r="AE227" s="263">
        <v>12</v>
      </c>
      <c r="AF227" s="264" cm="1">
        <f t="array" ref="AF227">INDEX('Contract Early Termination'!$B$41:$H$60,$AE227,MATCH($A225,_xlfn.ANCHORARRAY('Contract Early Termination'!$B$37),0))</f>
        <v>0</v>
      </c>
      <c r="AH227" s="263">
        <v>12</v>
      </c>
      <c r="AI227" s="264" cm="1">
        <f t="array" ref="AI227">INDEX('Contract Early Termination'!$B$68:$H$87,$AB227,MATCH($A225,_xlfn.ANCHORARRAY('Contract Early Termination'!$B$64),0))</f>
        <v>0</v>
      </c>
      <c r="AK227" s="263">
        <v>12</v>
      </c>
      <c r="AL227" s="293" t="str">
        <f>IF($B227="SPPA","N/A - SPPA",AL226*(1-'System Specification'!$D$10)*IF(AK227&lt;=$C227,1,0))</f>
        <v>N/A - SPPA</v>
      </c>
      <c r="AM227" s="293" t="str">
        <f>IF($B227="SPPA","N/A - SPPA",AM226*(1-INDEX('System Specification'!$Q$14:$Q$20,MATCH($A227,'System Specification'!$D$14:$D$20,0)))*IF(AK227&lt;=$C227,1,0))</f>
        <v>N/A - SPPA</v>
      </c>
      <c r="AN227" s="298" t="str" cm="1">
        <f t="array" ref="AN227">IF($B227="SPPA","N/A - SPPA",INDEX(PeGu!$B$78:$H$97,$AK227,MATCH($A225,PeGu!$B$76:$H$76,0)))</f>
        <v>N/A - SPPA</v>
      </c>
      <c r="AP227" s="262">
        <v>12</v>
      </c>
      <c r="AQ227" s="269" t="str">
        <f>IF($B227="SPPA","N/A - SPPA", INDEX('Microgrid Proposal'!$N$32:$N$38,MATCH($A227,'Microgrid Proposal'!$D$32:$D$38,0))*IF(AP227&lt;=$C227,1,0))</f>
        <v>N/A - SPPA</v>
      </c>
      <c r="AR227" s="264" t="str">
        <f t="shared" si="32"/>
        <v>N/A - SPPA</v>
      </c>
      <c r="AT227" s="262">
        <v>12</v>
      </c>
      <c r="AU227" s="269" t="str">
        <f>IF($B227="SPPA","N/A - SPPA", INDEX('Solar+Storage Proposal'!$N$32:$N$38,MATCH($A227,'Solar+Storage Proposal'!$D$32:$D$38,0))*IF(AT227&lt;=$C227,1,0))</f>
        <v>N/A - SPPA</v>
      </c>
      <c r="AV227" s="264" t="str">
        <f t="shared" si="33"/>
        <v>N/A - SPPA</v>
      </c>
      <c r="AX227" s="262">
        <v>12</v>
      </c>
      <c r="AY227" s="269" t="str">
        <f>IF($B227="SPPA","N/A - SPPA", INDEX('Solar-Only Proposal'!$M$32:$M$38,MATCH($A227,'Solar-Only Proposal'!$D$32:$D$38,0))*IF(AX227&lt;=$C227,1,0))</f>
        <v>N/A - SPPA</v>
      </c>
      <c r="AZ227" s="264" t="str">
        <f t="shared" si="34"/>
        <v>N/A - SPPA</v>
      </c>
    </row>
    <row r="228" spans="1:52" x14ac:dyDescent="0.35">
      <c r="A228" s="251" t="str">
        <f t="shared" si="30"/>
        <v>64-E1</v>
      </c>
      <c r="B228" s="251" t="str">
        <f t="shared" si="31"/>
        <v>SPPA</v>
      </c>
      <c r="C228" s="251">
        <f>INDEX('Site Data'!$S$7:$S$13,MATCH($A228,'Site Data'!$C$7:$C$13,0))</f>
        <v>20</v>
      </c>
      <c r="D228" s="251" t="s">
        <v>188</v>
      </c>
      <c r="F228" s="266" t="s">
        <v>279</v>
      </c>
      <c r="G228" s="267">
        <f>IF($B228="SEL","N/A - SEL",INDEX('Solar-Only Proposal'!$A$32:$W$38,MATCH($A228,'Solar-Only Proposal'!$D$32:$D$38,0),MATCH($D228,'Solar-Only Proposal'!$A$31:$W$31,0)))</f>
        <v>0</v>
      </c>
      <c r="H228" s="268" t="s">
        <v>280</v>
      </c>
      <c r="N228" s="262">
        <v>13</v>
      </c>
      <c r="O228" s="293">
        <f>IF($B228="SEL","N/A - SEL",O227*(1-'System Specification'!$D$10)*IF(N228&lt;=$C228,1,0))</f>
        <v>0</v>
      </c>
      <c r="P228" s="293" t="str" cm="1">
        <f t="array" ref="P228">INDEX(PeGu!$B$24:$H$43,$S228,MATCH($A226,_xlfn.ANCHORARRAY(PeGu!$B$20),0))</f>
        <v/>
      </c>
      <c r="Q228" s="294">
        <f>IF($B228="SEL","N/A - SEL",PeGu!$E$14*POWER(1+PeGu!$E$15,$S228-1))</f>
        <v>7.128804434230894E-2</v>
      </c>
      <c r="S228" s="262">
        <v>13</v>
      </c>
      <c r="T228" s="293">
        <f>IF($B228="SEL","N/A - SEL",T227*(1-'System Specification'!$D$10)*IF(S228&lt;=$C228,1,0))</f>
        <v>0</v>
      </c>
      <c r="U228" s="293" t="str" cm="1">
        <f t="array" ref="U228">INDEX(PeGu!$B$52:$H$71,$S228,MATCH($A226,_xlfn.ANCHORARRAY(PeGu!$B$48),0))</f>
        <v/>
      </c>
      <c r="V228" s="294">
        <f>IF($B228="SEL","N/A - SEL",PeGu!$E$14*POWER(1+PeGu!$E$15,$S228-1))</f>
        <v>7.128804434230894E-2</v>
      </c>
      <c r="X228" s="262">
        <v>13</v>
      </c>
      <c r="Y228" s="293" t="str" cm="1">
        <f t="array" ref="Y228">IF($B228="SEL","N/A - SEL",INDEX(PeGu!$B$78:$H$97,$X228,MATCH($A226,PeGu!$B$76:$H$76,0)))</f>
        <v/>
      </c>
      <c r="Z228" s="294">
        <f>IF($B228="SEL","N/A - SEL",PeGu!$K$12*POWER(1+PeGu!$K$13,$X228-1))</f>
        <v>0</v>
      </c>
      <c r="AB228" s="263">
        <v>13</v>
      </c>
      <c r="AC228" s="264" cm="1">
        <f t="array" ref="AC228">INDEX('Contract Early Termination'!$B$14:$H$33,$AB228,MATCH($A226,_xlfn.ANCHORARRAY('Contract Early Termination'!$B$10),0))</f>
        <v>0</v>
      </c>
      <c r="AE228" s="263">
        <v>13</v>
      </c>
      <c r="AF228" s="264" cm="1">
        <f t="array" ref="AF228">INDEX('Contract Early Termination'!$B$41:$H$60,$AE228,MATCH($A226,_xlfn.ANCHORARRAY('Contract Early Termination'!$B$37),0))</f>
        <v>0</v>
      </c>
      <c r="AH228" s="263">
        <v>13</v>
      </c>
      <c r="AI228" s="264" cm="1">
        <f t="array" ref="AI228">INDEX('Contract Early Termination'!$B$68:$H$87,$AB228,MATCH($A226,_xlfn.ANCHORARRAY('Contract Early Termination'!$B$64),0))</f>
        <v>0</v>
      </c>
      <c r="AK228" s="263">
        <v>13</v>
      </c>
      <c r="AL228" s="293" t="str">
        <f>IF($B228="SPPA","N/A - SPPA",AL227*(1-'System Specification'!$D$10)*IF(AK228&lt;=$C228,1,0))</f>
        <v>N/A - SPPA</v>
      </c>
      <c r="AM228" s="293" t="str">
        <f>IF($B228="SPPA","N/A - SPPA",AM227*(1-INDEX('System Specification'!$Q$14:$Q$20,MATCH($A228,'System Specification'!$D$14:$D$20,0)))*IF(AK228&lt;=$C228,1,0))</f>
        <v>N/A - SPPA</v>
      </c>
      <c r="AN228" s="298" t="str" cm="1">
        <f t="array" ref="AN228">IF($B228="SPPA","N/A - SPPA",INDEX(PeGu!$B$78:$H$97,$AK228,MATCH($A226,PeGu!$B$76:$H$76,0)))</f>
        <v>N/A - SPPA</v>
      </c>
      <c r="AP228" s="262">
        <v>13</v>
      </c>
      <c r="AQ228" s="269" t="str">
        <f>IF($B228="SPPA","N/A - SPPA", INDEX('Microgrid Proposal'!$N$32:$N$38,MATCH($A228,'Microgrid Proposal'!$D$32:$D$38,0))*IF(AP228&lt;=$C228,1,0))</f>
        <v>N/A - SPPA</v>
      </c>
      <c r="AR228" s="264" t="str">
        <f t="shared" si="32"/>
        <v>N/A - SPPA</v>
      </c>
      <c r="AT228" s="262">
        <v>13</v>
      </c>
      <c r="AU228" s="269" t="str">
        <f>IF($B228="SPPA","N/A - SPPA", INDEX('Solar+Storage Proposal'!$N$32:$N$38,MATCH($A228,'Solar+Storage Proposal'!$D$32:$D$38,0))*IF(AT228&lt;=$C228,1,0))</f>
        <v>N/A - SPPA</v>
      </c>
      <c r="AV228" s="264" t="str">
        <f t="shared" si="33"/>
        <v>N/A - SPPA</v>
      </c>
      <c r="AX228" s="262">
        <v>13</v>
      </c>
      <c r="AY228" s="269" t="str">
        <f>IF($B228="SPPA","N/A - SPPA", INDEX('Solar-Only Proposal'!$M$32:$M$38,MATCH($A228,'Solar-Only Proposal'!$D$32:$D$38,0))*IF(AX228&lt;=$C228,1,0))</f>
        <v>N/A - SPPA</v>
      </c>
      <c r="AZ228" s="264" t="str">
        <f t="shared" si="34"/>
        <v>N/A - SPPA</v>
      </c>
    </row>
    <row r="229" spans="1:52" x14ac:dyDescent="0.35">
      <c r="A229" s="251" t="str">
        <f t="shared" si="30"/>
        <v>64-E1</v>
      </c>
      <c r="B229" s="251" t="str">
        <f t="shared" si="31"/>
        <v>SPPA</v>
      </c>
      <c r="C229" s="251">
        <f>INDEX('Site Data'!$S$7:$S$13,MATCH($A229,'Site Data'!$C$7:$C$13,0))</f>
        <v>20</v>
      </c>
      <c r="D229" s="251" t="s">
        <v>165</v>
      </c>
      <c r="F229" s="262" t="s">
        <v>282</v>
      </c>
      <c r="G229" s="269">
        <f>IF($B229="SEL","N/A - SEL",INDEX('Solar-Only Proposal'!$A$32:$W$38,MATCH($A229,'Solar-Only Proposal'!$D$32:$D$38,0),MATCH($D229,'Solar-Only Proposal'!$A$31:$W$31,0)))</f>
        <v>0</v>
      </c>
      <c r="H229" s="270" t="s">
        <v>275</v>
      </c>
      <c r="N229" s="262">
        <v>14</v>
      </c>
      <c r="O229" s="293">
        <f>IF($B229="SEL","N/A - SEL",O228*(1-'System Specification'!$D$10)*IF(N229&lt;=$C229,1,0))</f>
        <v>0</v>
      </c>
      <c r="P229" s="293" t="str" cm="1">
        <f t="array" ref="P229">INDEX(PeGu!$B$24:$H$43,$S229,MATCH($A227,_xlfn.ANCHORARRAY(PeGu!$B$20),0))</f>
        <v/>
      </c>
      <c r="Q229" s="294">
        <f>IF($B229="SEL","N/A - SEL",PeGu!$E$14*POWER(1+PeGu!$E$15,$S229-1))</f>
        <v>7.3426685672578193E-2</v>
      </c>
      <c r="S229" s="262">
        <v>14</v>
      </c>
      <c r="T229" s="293">
        <f>IF($B229="SEL","N/A - SEL",T228*(1-'System Specification'!$D$10)*IF(S229&lt;=$C229,1,0))</f>
        <v>0</v>
      </c>
      <c r="U229" s="293" t="str" cm="1">
        <f t="array" ref="U229">INDEX(PeGu!$B$52:$H$71,$S229,MATCH($A227,_xlfn.ANCHORARRAY(PeGu!$B$48),0))</f>
        <v/>
      </c>
      <c r="V229" s="294">
        <f>IF($B229="SEL","N/A - SEL",PeGu!$E$14*POWER(1+PeGu!$E$15,$S229-1))</f>
        <v>7.3426685672578193E-2</v>
      </c>
      <c r="X229" s="262">
        <v>14</v>
      </c>
      <c r="Y229" s="293" t="str" cm="1">
        <f t="array" ref="Y229">IF($B229="SEL","N/A - SEL",INDEX(PeGu!$B$78:$H$97,$X229,MATCH($A227,PeGu!$B$76:$H$76,0)))</f>
        <v/>
      </c>
      <c r="Z229" s="294">
        <f>IF($B229="SEL","N/A - SEL",PeGu!$K$12*POWER(1+PeGu!$K$13,$X229-1))</f>
        <v>0</v>
      </c>
      <c r="AB229" s="263">
        <v>14</v>
      </c>
      <c r="AC229" s="264" cm="1">
        <f t="array" ref="AC229">INDEX('Contract Early Termination'!$B$14:$H$33,$AB229,MATCH($A227,_xlfn.ANCHORARRAY('Contract Early Termination'!$B$10),0))</f>
        <v>0</v>
      </c>
      <c r="AE229" s="263">
        <v>14</v>
      </c>
      <c r="AF229" s="264" cm="1">
        <f t="array" ref="AF229">INDEX('Contract Early Termination'!$B$41:$H$60,$AE229,MATCH($A227,_xlfn.ANCHORARRAY('Contract Early Termination'!$B$37),0))</f>
        <v>0</v>
      </c>
      <c r="AH229" s="263">
        <v>14</v>
      </c>
      <c r="AI229" s="264" cm="1">
        <f t="array" ref="AI229">INDEX('Contract Early Termination'!$B$68:$H$87,$AB229,MATCH($A227,_xlfn.ANCHORARRAY('Contract Early Termination'!$B$64),0))</f>
        <v>0</v>
      </c>
      <c r="AK229" s="263">
        <v>14</v>
      </c>
      <c r="AL229" s="293" t="str">
        <f>IF($B229="SPPA","N/A - SPPA",AL228*(1-'System Specification'!$D$10)*IF(AK229&lt;=$C229,1,0))</f>
        <v>N/A - SPPA</v>
      </c>
      <c r="AM229" s="293" t="str">
        <f>IF($B229="SPPA","N/A - SPPA",AM228*(1-INDEX('System Specification'!$Q$14:$Q$20,MATCH($A229,'System Specification'!$D$14:$D$20,0)))*IF(AK229&lt;=$C229,1,0))</f>
        <v>N/A - SPPA</v>
      </c>
      <c r="AN229" s="298" t="str" cm="1">
        <f t="array" ref="AN229">IF($B229="SPPA","N/A - SPPA",INDEX(PeGu!$B$78:$H$97,$AK229,MATCH($A227,PeGu!$B$76:$H$76,0)))</f>
        <v>N/A - SPPA</v>
      </c>
      <c r="AP229" s="262">
        <v>14</v>
      </c>
      <c r="AQ229" s="269" t="str">
        <f>IF($B229="SPPA","N/A - SPPA", INDEX('Microgrid Proposal'!$N$32:$N$38,MATCH($A229,'Microgrid Proposal'!$D$32:$D$38,0))*IF(AP229&lt;=$C229,1,0))</f>
        <v>N/A - SPPA</v>
      </c>
      <c r="AR229" s="264" t="str">
        <f t="shared" si="32"/>
        <v>N/A - SPPA</v>
      </c>
      <c r="AT229" s="262">
        <v>14</v>
      </c>
      <c r="AU229" s="269" t="str">
        <f>IF($B229="SPPA","N/A - SPPA", INDEX('Solar+Storage Proposal'!$N$32:$N$38,MATCH($A229,'Solar+Storage Proposal'!$D$32:$D$38,0))*IF(AT229&lt;=$C229,1,0))</f>
        <v>N/A - SPPA</v>
      </c>
      <c r="AV229" s="264" t="str">
        <f t="shared" si="33"/>
        <v>N/A - SPPA</v>
      </c>
      <c r="AX229" s="262">
        <v>14</v>
      </c>
      <c r="AY229" s="269" t="str">
        <f>IF($B229="SPPA","N/A - SPPA", INDEX('Solar-Only Proposal'!$M$32:$M$38,MATCH($A229,'Solar-Only Proposal'!$D$32:$D$38,0))*IF(AX229&lt;=$C229,1,0))</f>
        <v>N/A - SPPA</v>
      </c>
      <c r="AZ229" s="264" t="str">
        <f t="shared" si="34"/>
        <v>N/A - SPPA</v>
      </c>
    </row>
    <row r="230" spans="1:52" x14ac:dyDescent="0.35">
      <c r="A230" s="251" t="str">
        <f t="shared" si="30"/>
        <v>64-E1</v>
      </c>
      <c r="B230" s="251" t="str">
        <f t="shared" si="31"/>
        <v>SPPA</v>
      </c>
      <c r="C230" s="251">
        <f>INDEX('Site Data'!$S$7:$S$13,MATCH($A230,'Site Data'!$C$7:$C$13,0))</f>
        <v>20</v>
      </c>
      <c r="D230" s="251" t="s">
        <v>189</v>
      </c>
      <c r="F230" s="262" t="s">
        <v>284</v>
      </c>
      <c r="G230" s="271">
        <f>IF($B230="SEL","N/A - SEL",INDEX('Solar-Only Proposal'!$A$32:$W$38,MATCH($A230,'Solar-Only Proposal'!$D$32:$D$38,0),MATCH($D230,'Solar-Only Proposal'!$A$31:$W$31,0)))</f>
        <v>0</v>
      </c>
      <c r="H230" s="270" t="s">
        <v>285</v>
      </c>
      <c r="N230" s="262">
        <v>15</v>
      </c>
      <c r="O230" s="293">
        <f>IF($B230="SEL","N/A - SEL",O229*(1-'System Specification'!$D$10)*IF(N230&lt;=$C230,1,0))</f>
        <v>0</v>
      </c>
      <c r="P230" s="293" t="str" cm="1">
        <f t="array" ref="P230">INDEX(PeGu!$B$24:$H$43,$S230,MATCH($A228,_xlfn.ANCHORARRAY(PeGu!$B$20),0))</f>
        <v/>
      </c>
      <c r="Q230" s="294">
        <f>IF($B230="SEL","N/A - SEL",PeGu!$E$14*POWER(1+PeGu!$E$15,$S230-1))</f>
        <v>7.5629486242755561E-2</v>
      </c>
      <c r="S230" s="262">
        <v>15</v>
      </c>
      <c r="T230" s="293">
        <f>IF($B230="SEL","N/A - SEL",T229*(1-'System Specification'!$D$10)*IF(S230&lt;=$C230,1,0))</f>
        <v>0</v>
      </c>
      <c r="U230" s="293" t="str" cm="1">
        <f t="array" ref="U230">INDEX(PeGu!$B$52:$H$71,$S230,MATCH($A228,_xlfn.ANCHORARRAY(PeGu!$B$48),0))</f>
        <v/>
      </c>
      <c r="V230" s="294">
        <f>IF($B230="SEL","N/A - SEL",PeGu!$E$14*POWER(1+PeGu!$E$15,$S230-1))</f>
        <v>7.5629486242755561E-2</v>
      </c>
      <c r="X230" s="262">
        <v>15</v>
      </c>
      <c r="Y230" s="293" t="str" cm="1">
        <f t="array" ref="Y230">IF($B230="SEL","N/A - SEL",INDEX(PeGu!$B$78:$H$97,$X230,MATCH($A228,PeGu!$B$76:$H$76,0)))</f>
        <v/>
      </c>
      <c r="Z230" s="294">
        <f>IF($B230="SEL","N/A - SEL",PeGu!$K$12*POWER(1+PeGu!$K$13,$X230-1))</f>
        <v>0</v>
      </c>
      <c r="AB230" s="263">
        <v>15</v>
      </c>
      <c r="AC230" s="264" cm="1">
        <f t="array" ref="AC230">INDEX('Contract Early Termination'!$B$14:$H$33,$AB230,MATCH($A228,_xlfn.ANCHORARRAY('Contract Early Termination'!$B$10),0))</f>
        <v>0</v>
      </c>
      <c r="AE230" s="263">
        <v>15</v>
      </c>
      <c r="AF230" s="264" cm="1">
        <f t="array" ref="AF230">INDEX('Contract Early Termination'!$B$41:$H$60,$AE230,MATCH($A228,_xlfn.ANCHORARRAY('Contract Early Termination'!$B$37),0))</f>
        <v>0</v>
      </c>
      <c r="AH230" s="263">
        <v>15</v>
      </c>
      <c r="AI230" s="264" cm="1">
        <f t="array" ref="AI230">INDEX('Contract Early Termination'!$B$68:$H$87,$AB230,MATCH($A228,_xlfn.ANCHORARRAY('Contract Early Termination'!$B$64),0))</f>
        <v>0</v>
      </c>
      <c r="AK230" s="263">
        <v>15</v>
      </c>
      <c r="AL230" s="293" t="str">
        <f>IF($B230="SPPA","N/A - SPPA",AL229*(1-'System Specification'!$D$10)*IF(AK230&lt;=$C230,1,0))</f>
        <v>N/A - SPPA</v>
      </c>
      <c r="AM230" s="293" t="str">
        <f>IF($B230="SPPA","N/A - SPPA",AM229*(1-INDEX('System Specification'!$Q$14:$Q$20,MATCH($A230,'System Specification'!$D$14:$D$20,0)))*IF(AK230&lt;=$C230,1,0))</f>
        <v>N/A - SPPA</v>
      </c>
      <c r="AN230" s="298" t="str" cm="1">
        <f t="array" ref="AN230">IF($B230="SPPA","N/A - SPPA",INDEX(PeGu!$B$78:$H$97,$AK230,MATCH($A228,PeGu!$B$76:$H$76,0)))</f>
        <v>N/A - SPPA</v>
      </c>
      <c r="AP230" s="262">
        <v>15</v>
      </c>
      <c r="AQ230" s="269" t="str">
        <f>IF($B230="SPPA","N/A - SPPA", INDEX('Microgrid Proposal'!$N$32:$N$38,MATCH($A230,'Microgrid Proposal'!$D$32:$D$38,0))*IF(AP230&lt;=$C230,1,0))</f>
        <v>N/A - SPPA</v>
      </c>
      <c r="AR230" s="264" t="str">
        <f t="shared" si="32"/>
        <v>N/A - SPPA</v>
      </c>
      <c r="AT230" s="262">
        <v>15</v>
      </c>
      <c r="AU230" s="269" t="str">
        <f>IF($B230="SPPA","N/A - SPPA", INDEX('Solar+Storage Proposal'!$N$32:$N$38,MATCH($A230,'Solar+Storage Proposal'!$D$32:$D$38,0))*IF(AT230&lt;=$C230,1,0))</f>
        <v>N/A - SPPA</v>
      </c>
      <c r="AV230" s="264" t="str">
        <f t="shared" si="33"/>
        <v>N/A - SPPA</v>
      </c>
      <c r="AX230" s="262">
        <v>15</v>
      </c>
      <c r="AY230" s="269" t="str">
        <f>IF($B230="SPPA","N/A - SPPA", INDEX('Solar-Only Proposal'!$M$32:$M$38,MATCH($A230,'Solar-Only Proposal'!$D$32:$D$38,0))*IF(AX230&lt;=$C230,1,0))</f>
        <v>N/A - SPPA</v>
      </c>
      <c r="AZ230" s="264" t="str">
        <f t="shared" si="34"/>
        <v>N/A - SPPA</v>
      </c>
    </row>
    <row r="231" spans="1:52" ht="15" thickBot="1" x14ac:dyDescent="0.4">
      <c r="A231" s="251" t="str">
        <f t="shared" si="30"/>
        <v>64-E1</v>
      </c>
      <c r="B231" s="251" t="str">
        <f t="shared" si="31"/>
        <v>SPPA</v>
      </c>
      <c r="C231" s="251">
        <f>INDEX('Site Data'!$S$7:$S$13,MATCH($A231,'Site Data'!$C$7:$C$13,0))</f>
        <v>20</v>
      </c>
      <c r="D231" s="251" t="s">
        <v>190</v>
      </c>
      <c r="F231" s="258" t="s">
        <v>284</v>
      </c>
      <c r="G231" s="272">
        <f>IF($B231="SEL","N/A - SEL",INDEX('Solar-Only Proposal'!$A$32:$W$38,MATCH($A231,'Solar-Only Proposal'!$D$32:$D$38,0),MATCH($D231,'Solar-Only Proposal'!$A$31:$W$31,0)))</f>
        <v>0</v>
      </c>
      <c r="H231" s="260" t="s">
        <v>286</v>
      </c>
      <c r="N231" s="262">
        <v>16</v>
      </c>
      <c r="O231" s="293">
        <f>IF($B231="SEL","N/A - SEL",O230*(1-'System Specification'!$D$10)*IF(N231&lt;=$C231,1,0))</f>
        <v>0</v>
      </c>
      <c r="P231" s="293" t="str" cm="1">
        <f t="array" ref="P231">INDEX(PeGu!$B$24:$H$43,$S231,MATCH($A229,_xlfn.ANCHORARRAY(PeGu!$B$20),0))</f>
        <v/>
      </c>
      <c r="Q231" s="294">
        <f>IF($B231="SEL","N/A - SEL",PeGu!$E$14*POWER(1+PeGu!$E$15,$S231-1))</f>
        <v>7.7898370830038227E-2</v>
      </c>
      <c r="S231" s="262">
        <v>16</v>
      </c>
      <c r="T231" s="293">
        <f>IF($B231="SEL","N/A - SEL",T230*(1-'System Specification'!$D$10)*IF(S231&lt;=$C231,1,0))</f>
        <v>0</v>
      </c>
      <c r="U231" s="293" t="str" cm="1">
        <f t="array" ref="U231">INDEX(PeGu!$B$52:$H$71,$S231,MATCH($A229,_xlfn.ANCHORARRAY(PeGu!$B$48),0))</f>
        <v/>
      </c>
      <c r="V231" s="294">
        <f>IF($B231="SEL","N/A - SEL",PeGu!$E$14*POWER(1+PeGu!$E$15,$S231-1))</f>
        <v>7.7898370830038227E-2</v>
      </c>
      <c r="X231" s="262">
        <v>16</v>
      </c>
      <c r="Y231" s="293" t="str" cm="1">
        <f t="array" ref="Y231">IF($B231="SEL","N/A - SEL",INDEX(PeGu!$B$78:$H$97,$X231,MATCH($A229,PeGu!$B$76:$H$76,0)))</f>
        <v/>
      </c>
      <c r="Z231" s="294">
        <f>IF($B231="SEL","N/A - SEL",PeGu!$K$12*POWER(1+PeGu!$K$13,$X231-1))</f>
        <v>0</v>
      </c>
      <c r="AB231" s="263">
        <v>16</v>
      </c>
      <c r="AC231" s="264" cm="1">
        <f t="array" ref="AC231">INDEX('Contract Early Termination'!$B$14:$H$33,$AB231,MATCH($A229,_xlfn.ANCHORARRAY('Contract Early Termination'!$B$10),0))</f>
        <v>0</v>
      </c>
      <c r="AE231" s="263">
        <v>16</v>
      </c>
      <c r="AF231" s="264" cm="1">
        <f t="array" ref="AF231">INDEX('Contract Early Termination'!$B$41:$H$60,$AE231,MATCH($A229,_xlfn.ANCHORARRAY('Contract Early Termination'!$B$37),0))</f>
        <v>0</v>
      </c>
      <c r="AH231" s="263">
        <v>16</v>
      </c>
      <c r="AI231" s="264" cm="1">
        <f t="array" ref="AI231">INDEX('Contract Early Termination'!$B$68:$H$87,$AB231,MATCH($A229,_xlfn.ANCHORARRAY('Contract Early Termination'!$B$64),0))</f>
        <v>0</v>
      </c>
      <c r="AK231" s="263">
        <v>16</v>
      </c>
      <c r="AL231" s="293" t="str">
        <f>IF($B231="SPPA","N/A - SPPA",AL230*(1-'System Specification'!$D$10)*IF(AK231&lt;=$C231,1,0))</f>
        <v>N/A - SPPA</v>
      </c>
      <c r="AM231" s="293" t="str">
        <f>IF($B231="SPPA","N/A - SPPA",AM230*(1-INDEX('System Specification'!$Q$14:$Q$20,MATCH($A231,'System Specification'!$D$14:$D$20,0)))*IF(AK231&lt;=$C231,1,0))</f>
        <v>N/A - SPPA</v>
      </c>
      <c r="AN231" s="298" t="str" cm="1">
        <f t="array" ref="AN231">IF($B231="SPPA","N/A - SPPA",INDEX(PeGu!$B$78:$H$97,$AK231,MATCH($A229,PeGu!$B$76:$H$76,0)))</f>
        <v>N/A - SPPA</v>
      </c>
      <c r="AP231" s="262">
        <v>16</v>
      </c>
      <c r="AQ231" s="269" t="str">
        <f>IF($B231="SPPA","N/A - SPPA", INDEX('Microgrid Proposal'!$N$32:$N$38,MATCH($A231,'Microgrid Proposal'!$D$32:$D$38,0))*IF(AP231&lt;=$C231,1,0))</f>
        <v>N/A - SPPA</v>
      </c>
      <c r="AR231" s="264" t="str">
        <f t="shared" si="32"/>
        <v>N/A - SPPA</v>
      </c>
      <c r="AT231" s="262">
        <v>16</v>
      </c>
      <c r="AU231" s="269" t="str">
        <f>IF($B231="SPPA","N/A - SPPA", INDEX('Solar+Storage Proposal'!$N$32:$N$38,MATCH($A231,'Solar+Storage Proposal'!$D$32:$D$38,0))*IF(AT231&lt;=$C231,1,0))</f>
        <v>N/A - SPPA</v>
      </c>
      <c r="AV231" s="264" t="str">
        <f t="shared" si="33"/>
        <v>N/A - SPPA</v>
      </c>
      <c r="AX231" s="262">
        <v>16</v>
      </c>
      <c r="AY231" s="269" t="str">
        <f>IF($B231="SPPA","N/A - SPPA", INDEX('Solar-Only Proposal'!$M$32:$M$38,MATCH($A231,'Solar-Only Proposal'!$D$32:$D$38,0))*IF(AX231&lt;=$C231,1,0))</f>
        <v>N/A - SPPA</v>
      </c>
      <c r="AZ231" s="264" t="str">
        <f t="shared" si="34"/>
        <v>N/A - SPPA</v>
      </c>
    </row>
    <row r="232" spans="1:52" ht="15" thickBot="1" x14ac:dyDescent="0.4">
      <c r="A232" s="251" t="str">
        <f t="shared" si="30"/>
        <v>64-E1</v>
      </c>
      <c r="B232" s="251" t="str">
        <f t="shared" si="31"/>
        <v>SPPA</v>
      </c>
      <c r="C232" s="251">
        <f>INDEX('Site Data'!$S$7:$S$13,MATCH($A232,'Site Data'!$C$7:$C$13,0))</f>
        <v>20</v>
      </c>
      <c r="N232" s="262">
        <v>17</v>
      </c>
      <c r="O232" s="293">
        <f>IF($B232="SEL","N/A - SEL",O231*(1-'System Specification'!$D$10)*IF(N232&lt;=$C232,1,0))</f>
        <v>0</v>
      </c>
      <c r="P232" s="293" t="str" cm="1">
        <f t="array" ref="P232">INDEX(PeGu!$B$24:$H$43,$S232,MATCH($A230,_xlfn.ANCHORARRAY(PeGu!$B$20),0))</f>
        <v/>
      </c>
      <c r="Q232" s="294">
        <f>IF($B232="SEL","N/A - SEL",PeGu!$E$14*POWER(1+PeGu!$E$15,$S232-1))</f>
        <v>8.0235321954939362E-2</v>
      </c>
      <c r="S232" s="262">
        <v>17</v>
      </c>
      <c r="T232" s="293">
        <f>IF($B232="SEL","N/A - SEL",T231*(1-'System Specification'!$D$10)*IF(S232&lt;=$C232,1,0))</f>
        <v>0</v>
      </c>
      <c r="U232" s="293" t="str" cm="1">
        <f t="array" ref="U232">INDEX(PeGu!$B$52:$H$71,$S232,MATCH($A230,_xlfn.ANCHORARRAY(PeGu!$B$48),0))</f>
        <v/>
      </c>
      <c r="V232" s="294">
        <f>IF($B232="SEL","N/A - SEL",PeGu!$E$14*POWER(1+PeGu!$E$15,$S232-1))</f>
        <v>8.0235321954939362E-2</v>
      </c>
      <c r="X232" s="262">
        <v>17</v>
      </c>
      <c r="Y232" s="293" t="str" cm="1">
        <f t="array" ref="Y232">IF($B232="SEL","N/A - SEL",INDEX(PeGu!$B$78:$H$97,$X232,MATCH($A230,PeGu!$B$76:$H$76,0)))</f>
        <v/>
      </c>
      <c r="Z232" s="294">
        <f>IF($B232="SEL","N/A - SEL",PeGu!$K$12*POWER(1+PeGu!$K$13,$X232-1))</f>
        <v>0</v>
      </c>
      <c r="AB232" s="263">
        <v>17</v>
      </c>
      <c r="AC232" s="264" cm="1">
        <f t="array" ref="AC232">INDEX('Contract Early Termination'!$B$14:$H$33,$AB232,MATCH($A230,_xlfn.ANCHORARRAY('Contract Early Termination'!$B$10),0))</f>
        <v>0</v>
      </c>
      <c r="AE232" s="263">
        <v>17</v>
      </c>
      <c r="AF232" s="264" cm="1">
        <f t="array" ref="AF232">INDEX('Contract Early Termination'!$B$41:$H$60,$AE232,MATCH($A230,_xlfn.ANCHORARRAY('Contract Early Termination'!$B$37),0))</f>
        <v>0</v>
      </c>
      <c r="AH232" s="263">
        <v>17</v>
      </c>
      <c r="AI232" s="264" cm="1">
        <f t="array" ref="AI232">INDEX('Contract Early Termination'!$B$68:$H$87,$AB232,MATCH($A230,_xlfn.ANCHORARRAY('Contract Early Termination'!$B$64),0))</f>
        <v>0</v>
      </c>
      <c r="AK232" s="263">
        <v>17</v>
      </c>
      <c r="AL232" s="293" t="str">
        <f>IF($B232="SPPA","N/A - SPPA",AL231*(1-'System Specification'!$D$10)*IF(AK232&lt;=$C232,1,0))</f>
        <v>N/A - SPPA</v>
      </c>
      <c r="AM232" s="293" t="str">
        <f>IF($B232="SPPA","N/A - SPPA",AM231*(1-INDEX('System Specification'!$Q$14:$Q$20,MATCH($A232,'System Specification'!$D$14:$D$20,0)))*IF(AK232&lt;=$C232,1,0))</f>
        <v>N/A - SPPA</v>
      </c>
      <c r="AN232" s="298" t="str" cm="1">
        <f t="array" ref="AN232">IF($B232="SPPA","N/A - SPPA",INDEX(PeGu!$B$78:$H$97,$AK232,MATCH($A230,PeGu!$B$76:$H$76,0)))</f>
        <v>N/A - SPPA</v>
      </c>
      <c r="AP232" s="262">
        <v>17</v>
      </c>
      <c r="AQ232" s="269" t="str">
        <f>IF($B232="SPPA","N/A - SPPA", INDEX('Microgrid Proposal'!$N$32:$N$38,MATCH($A232,'Microgrid Proposal'!$D$32:$D$38,0))*IF(AP232&lt;=$C232,1,0))</f>
        <v>N/A - SPPA</v>
      </c>
      <c r="AR232" s="264" t="str">
        <f t="shared" si="32"/>
        <v>N/A - SPPA</v>
      </c>
      <c r="AT232" s="262">
        <v>17</v>
      </c>
      <c r="AU232" s="269" t="str">
        <f>IF($B232="SPPA","N/A - SPPA", INDEX('Solar+Storage Proposal'!$N$32:$N$38,MATCH($A232,'Solar+Storage Proposal'!$D$32:$D$38,0))*IF(AT232&lt;=$C232,1,0))</f>
        <v>N/A - SPPA</v>
      </c>
      <c r="AV232" s="264" t="str">
        <f t="shared" si="33"/>
        <v>N/A - SPPA</v>
      </c>
      <c r="AX232" s="262">
        <v>17</v>
      </c>
      <c r="AY232" s="269" t="str">
        <f>IF($B232="SPPA","N/A - SPPA", INDEX('Solar-Only Proposal'!$M$32:$M$38,MATCH($A232,'Solar-Only Proposal'!$D$32:$D$38,0))*IF(AX232&lt;=$C232,1,0))</f>
        <v>N/A - SPPA</v>
      </c>
      <c r="AZ232" s="264" t="str">
        <f t="shared" si="34"/>
        <v>N/A - SPPA</v>
      </c>
    </row>
    <row r="233" spans="1:52" ht="15" thickBot="1" x14ac:dyDescent="0.4">
      <c r="A233" s="251" t="str">
        <f t="shared" si="30"/>
        <v>64-E1</v>
      </c>
      <c r="B233" s="251" t="str">
        <f t="shared" si="31"/>
        <v>SPPA</v>
      </c>
      <c r="C233" s="251">
        <f>INDEX('Site Data'!$S$7:$S$13,MATCH($A233,'Site Data'!$C$7:$C$13,0))</f>
        <v>20</v>
      </c>
      <c r="F233" s="502" t="s">
        <v>236</v>
      </c>
      <c r="G233" s="503"/>
      <c r="H233" s="504"/>
      <c r="J233" s="502" t="s">
        <v>237</v>
      </c>
      <c r="K233" s="503"/>
      <c r="L233" s="504"/>
      <c r="N233" s="262">
        <v>18</v>
      </c>
      <c r="O233" s="293">
        <f>IF($B233="SEL","N/A - SEL",O232*(1-'System Specification'!$D$10)*IF(N233&lt;=$C233,1,0))</f>
        <v>0</v>
      </c>
      <c r="P233" s="293" t="str" cm="1">
        <f t="array" ref="P233">INDEX(PeGu!$B$24:$H$43,$S233,MATCH($A231,_xlfn.ANCHORARRAY(PeGu!$B$20),0))</f>
        <v/>
      </c>
      <c r="Q233" s="294">
        <f>IF($B233="SEL","N/A - SEL",PeGu!$E$14*POWER(1+PeGu!$E$15,$S233-1))</f>
        <v>8.2642381613587543E-2</v>
      </c>
      <c r="S233" s="262">
        <v>18</v>
      </c>
      <c r="T233" s="293">
        <f>IF($B233="SEL","N/A - SEL",T232*(1-'System Specification'!$D$10)*IF(S233&lt;=$C233,1,0))</f>
        <v>0</v>
      </c>
      <c r="U233" s="293" t="str" cm="1">
        <f t="array" ref="U233">INDEX(PeGu!$B$52:$H$71,$S233,MATCH($A231,_xlfn.ANCHORARRAY(PeGu!$B$48),0))</f>
        <v/>
      </c>
      <c r="V233" s="294">
        <f>IF($B233="SEL","N/A - SEL",PeGu!$E$14*POWER(1+PeGu!$E$15,$S233-1))</f>
        <v>8.2642381613587543E-2</v>
      </c>
      <c r="X233" s="262">
        <v>18</v>
      </c>
      <c r="Y233" s="293" t="str" cm="1">
        <f t="array" ref="Y233">IF($B233="SEL","N/A - SEL",INDEX(PeGu!$B$78:$H$97,$X233,MATCH($A231,PeGu!$B$76:$H$76,0)))</f>
        <v/>
      </c>
      <c r="Z233" s="294">
        <f>IF($B233="SEL","N/A - SEL",PeGu!$K$12*POWER(1+PeGu!$K$13,$X233-1))</f>
        <v>0</v>
      </c>
      <c r="AB233" s="263">
        <v>18</v>
      </c>
      <c r="AC233" s="264" cm="1">
        <f t="array" ref="AC233">INDEX('Contract Early Termination'!$B$14:$H$33,$AB233,MATCH($A231,_xlfn.ANCHORARRAY('Contract Early Termination'!$B$10),0))</f>
        <v>0</v>
      </c>
      <c r="AE233" s="263">
        <v>18</v>
      </c>
      <c r="AF233" s="264" cm="1">
        <f t="array" ref="AF233">INDEX('Contract Early Termination'!$B$41:$H$60,$AE233,MATCH($A231,_xlfn.ANCHORARRAY('Contract Early Termination'!$B$37),0))</f>
        <v>0</v>
      </c>
      <c r="AH233" s="263">
        <v>18</v>
      </c>
      <c r="AI233" s="264" cm="1">
        <f t="array" ref="AI233">INDEX('Contract Early Termination'!$B$68:$H$87,$AB233,MATCH($A231,_xlfn.ANCHORARRAY('Contract Early Termination'!$B$64),0))</f>
        <v>0</v>
      </c>
      <c r="AK233" s="263">
        <v>18</v>
      </c>
      <c r="AL233" s="293" t="str">
        <f>IF($B233="SPPA","N/A - SPPA",AL232*(1-'System Specification'!$D$10)*IF(AK233&lt;=$C233,1,0))</f>
        <v>N/A - SPPA</v>
      </c>
      <c r="AM233" s="293" t="str">
        <f>IF($B233="SPPA","N/A - SPPA",AM232*(1-INDEX('System Specification'!$Q$14:$Q$20,MATCH($A233,'System Specification'!$D$14:$D$20,0)))*IF(AK233&lt;=$C233,1,0))</f>
        <v>N/A - SPPA</v>
      </c>
      <c r="AN233" s="298" t="str" cm="1">
        <f t="array" ref="AN233">IF($B233="SPPA","N/A - SPPA",INDEX(PeGu!$B$78:$H$97,$AK233,MATCH($A231,PeGu!$B$76:$H$76,0)))</f>
        <v>N/A - SPPA</v>
      </c>
      <c r="AP233" s="262">
        <v>18</v>
      </c>
      <c r="AQ233" s="269" t="str">
        <f>IF($B233="SPPA","N/A - SPPA", INDEX('Microgrid Proposal'!$N$32:$N$38,MATCH($A233,'Microgrid Proposal'!$D$32:$D$38,0))*IF(AP233&lt;=$C233,1,0))</f>
        <v>N/A - SPPA</v>
      </c>
      <c r="AR233" s="264" t="str">
        <f t="shared" si="32"/>
        <v>N/A - SPPA</v>
      </c>
      <c r="AT233" s="262">
        <v>18</v>
      </c>
      <c r="AU233" s="269" t="str">
        <f>IF($B233="SPPA","N/A - SPPA", INDEX('Solar+Storage Proposal'!$N$32:$N$38,MATCH($A233,'Solar+Storage Proposal'!$D$32:$D$38,0))*IF(AT233&lt;=$C233,1,0))</f>
        <v>N/A - SPPA</v>
      </c>
      <c r="AV233" s="264" t="str">
        <f t="shared" si="33"/>
        <v>N/A - SPPA</v>
      </c>
      <c r="AX233" s="262">
        <v>18</v>
      </c>
      <c r="AY233" s="269" t="str">
        <f>IF($B233="SPPA","N/A - SPPA", INDEX('Solar-Only Proposal'!$M$32:$M$38,MATCH($A233,'Solar-Only Proposal'!$D$32:$D$38,0))*IF(AX233&lt;=$C233,1,0))</f>
        <v>N/A - SPPA</v>
      </c>
      <c r="AZ233" s="264" t="str">
        <f t="shared" si="34"/>
        <v>N/A - SPPA</v>
      </c>
    </row>
    <row r="234" spans="1:52" ht="15" thickBot="1" x14ac:dyDescent="0.4">
      <c r="A234" s="251" t="str">
        <f t="shared" si="30"/>
        <v>64-E1</v>
      </c>
      <c r="B234" s="251" t="str">
        <f t="shared" si="31"/>
        <v>SPPA</v>
      </c>
      <c r="C234" s="251">
        <f>INDEX('Site Data'!$S$7:$S$13,MATCH($A234,'Site Data'!$C$7:$C$13,0))</f>
        <v>20</v>
      </c>
      <c r="F234" s="502" t="s">
        <v>290</v>
      </c>
      <c r="G234" s="503"/>
      <c r="H234" s="504"/>
      <c r="J234" s="502" t="s">
        <v>291</v>
      </c>
      <c r="K234" s="503"/>
      <c r="L234" s="504"/>
      <c r="N234" s="262">
        <v>19</v>
      </c>
      <c r="O234" s="293">
        <f>IF($B234="SEL","N/A - SEL",O233*(1-'System Specification'!$D$10)*IF(N234&lt;=$C234,1,0))</f>
        <v>0</v>
      </c>
      <c r="P234" s="293" t="str" cm="1">
        <f t="array" ref="P234">INDEX(PeGu!$B$24:$H$43,$S234,MATCH($A232,_xlfn.ANCHORARRAY(PeGu!$B$20),0))</f>
        <v/>
      </c>
      <c r="Q234" s="294">
        <f>IF($B234="SEL","N/A - SEL",PeGu!$E$14*POWER(1+PeGu!$E$15,$S234-1))</f>
        <v>8.5121653061995164E-2</v>
      </c>
      <c r="S234" s="262">
        <v>19</v>
      </c>
      <c r="T234" s="293">
        <f>IF($B234="SEL","N/A - SEL",T233*(1-'System Specification'!$D$10)*IF(S234&lt;=$C234,1,0))</f>
        <v>0</v>
      </c>
      <c r="U234" s="293" t="str" cm="1">
        <f t="array" ref="U234">INDEX(PeGu!$B$52:$H$71,$S234,MATCH($A232,_xlfn.ANCHORARRAY(PeGu!$B$48),0))</f>
        <v/>
      </c>
      <c r="V234" s="294">
        <f>IF($B234="SEL","N/A - SEL",PeGu!$E$14*POWER(1+PeGu!$E$15,$S234-1))</f>
        <v>8.5121653061995164E-2</v>
      </c>
      <c r="X234" s="262">
        <v>19</v>
      </c>
      <c r="Y234" s="293" t="str" cm="1">
        <f t="array" ref="Y234">IF($B234="SEL","N/A - SEL",INDEX(PeGu!$B$78:$H$97,$X234,MATCH($A232,PeGu!$B$76:$H$76,0)))</f>
        <v/>
      </c>
      <c r="Z234" s="294">
        <f>IF($B234="SEL","N/A - SEL",PeGu!$K$12*POWER(1+PeGu!$K$13,$X234-1))</f>
        <v>0</v>
      </c>
      <c r="AB234" s="263">
        <v>19</v>
      </c>
      <c r="AC234" s="264" cm="1">
        <f t="array" ref="AC234">INDEX('Contract Early Termination'!$B$14:$H$33,$AB234,MATCH($A232,_xlfn.ANCHORARRAY('Contract Early Termination'!$B$10),0))</f>
        <v>0</v>
      </c>
      <c r="AE234" s="263">
        <v>19</v>
      </c>
      <c r="AF234" s="264" cm="1">
        <f t="array" ref="AF234">INDEX('Contract Early Termination'!$B$41:$H$60,$AE234,MATCH($A232,_xlfn.ANCHORARRAY('Contract Early Termination'!$B$37),0))</f>
        <v>0</v>
      </c>
      <c r="AH234" s="263">
        <v>19</v>
      </c>
      <c r="AI234" s="264" cm="1">
        <f t="array" ref="AI234">INDEX('Contract Early Termination'!$B$68:$H$87,$AB234,MATCH($A232,_xlfn.ANCHORARRAY('Contract Early Termination'!$B$64),0))</f>
        <v>0</v>
      </c>
      <c r="AJ234" s="278"/>
      <c r="AK234" s="263">
        <v>19</v>
      </c>
      <c r="AL234" s="293" t="str">
        <f>IF($B234="SPPA","N/A - SPPA",AL233*(1-'System Specification'!$D$10)*IF(AK234&lt;=$C234,1,0))</f>
        <v>N/A - SPPA</v>
      </c>
      <c r="AM234" s="293" t="str">
        <f>IF($B234="SPPA","N/A - SPPA",AM233*(1-INDEX('System Specification'!$Q$14:$Q$20,MATCH($A234,'System Specification'!$D$14:$D$20,0)))*IF(AK234&lt;=$C234,1,0))</f>
        <v>N/A - SPPA</v>
      </c>
      <c r="AN234" s="298" t="str" cm="1">
        <f t="array" ref="AN234">IF($B234="SPPA","N/A - SPPA",INDEX(PeGu!$B$78:$H$97,$AK234,MATCH($A232,PeGu!$B$76:$H$76,0)))</f>
        <v>N/A - SPPA</v>
      </c>
      <c r="AP234" s="265">
        <v>19</v>
      </c>
      <c r="AQ234" s="269" t="str">
        <f>IF($B234="SPPA","N/A - SPPA", INDEX('Microgrid Proposal'!$N$32:$N$38,MATCH($A234,'Microgrid Proposal'!$D$32:$D$38,0))*IF(AP234&lt;=$C234,1,0))</f>
        <v>N/A - SPPA</v>
      </c>
      <c r="AR234" s="264" t="str">
        <f t="shared" si="32"/>
        <v>N/A - SPPA</v>
      </c>
      <c r="AT234" s="265">
        <v>19</v>
      </c>
      <c r="AU234" s="269" t="str">
        <f>IF($B234="SPPA","N/A - SPPA", INDEX('Solar+Storage Proposal'!$N$32:$N$38,MATCH($A234,'Solar+Storage Proposal'!$D$32:$D$38,0))*IF(AT234&lt;=$C234,1,0))</f>
        <v>N/A - SPPA</v>
      </c>
      <c r="AV234" s="264" t="str">
        <f t="shared" si="33"/>
        <v>N/A - SPPA</v>
      </c>
      <c r="AX234" s="265">
        <v>19</v>
      </c>
      <c r="AY234" s="269" t="str">
        <f>IF($B234="SPPA","N/A - SPPA", INDEX('Solar-Only Proposal'!$M$32:$M$38,MATCH($A234,'Solar-Only Proposal'!$D$32:$D$38,0))*IF(AX234&lt;=$C234,1,0))</f>
        <v>N/A - SPPA</v>
      </c>
      <c r="AZ234" s="264" t="str">
        <f t="shared" si="34"/>
        <v>N/A - SPPA</v>
      </c>
    </row>
    <row r="235" spans="1:52" ht="15" thickBot="1" x14ac:dyDescent="0.4">
      <c r="A235" s="251" t="str">
        <f t="shared" si="30"/>
        <v>64-E1</v>
      </c>
      <c r="B235" s="251" t="str">
        <f t="shared" si="31"/>
        <v>SPPA</v>
      </c>
      <c r="C235" s="251">
        <f>INDEX('Site Data'!$S$7:$S$13,MATCH($A235,'Site Data'!$C$7:$C$13,0))</f>
        <v>20</v>
      </c>
      <c r="F235" s="280" t="s">
        <v>292</v>
      </c>
      <c r="G235" s="281">
        <f>G214</f>
        <v>20</v>
      </c>
      <c r="H235" s="282" t="s">
        <v>250</v>
      </c>
      <c r="J235" s="266" t="s">
        <v>292</v>
      </c>
      <c r="K235" s="285" t="str">
        <f>K214</f>
        <v>N/A - SPPA</v>
      </c>
      <c r="L235" s="268" t="s">
        <v>250</v>
      </c>
      <c r="N235" s="258">
        <v>20</v>
      </c>
      <c r="O235" s="259">
        <f>IF($B235="SEL","N/A - SEL",O234*(1-'System Specification'!$D$10)*IF(N235&lt;=$C235,1,0))</f>
        <v>0</v>
      </c>
      <c r="P235" s="259" t="str" cm="1">
        <f t="array" ref="P235">INDEX(PeGu!$B$24:$H$43,$S235,MATCH($A233,_xlfn.ANCHORARRAY(PeGu!$B$20),0))</f>
        <v/>
      </c>
      <c r="Q235" s="295">
        <f>IF($B235="SEL","N/A - SEL",PeGu!$E$14*POWER(1+PeGu!$E$15,$S235-1))</f>
        <v>8.7675302653855022E-2</v>
      </c>
      <c r="S235" s="258">
        <v>20</v>
      </c>
      <c r="T235" s="259">
        <f>IF($B235="SEL","N/A - SEL",T234*(1-'System Specification'!$D$10)*IF(S235&lt;=$C235,1,0))</f>
        <v>0</v>
      </c>
      <c r="U235" s="259" t="str" cm="1">
        <f t="array" ref="U235">INDEX(PeGu!$B$52:$H$71,$S235,MATCH($A233,_xlfn.ANCHORARRAY(PeGu!$B$48),0))</f>
        <v/>
      </c>
      <c r="V235" s="295">
        <f>IF($B235="SEL","N/A - SEL",PeGu!$E$14*POWER(1+PeGu!$E$15,$S235-1))</f>
        <v>8.7675302653855022E-2</v>
      </c>
      <c r="X235" s="258">
        <v>20</v>
      </c>
      <c r="Y235" s="259" t="str" cm="1">
        <f t="array" ref="Y235">IF($B235="SEL","N/A - SEL",INDEX(PeGu!$B$78:$H$97,$X235,MATCH($A233,PeGu!$B$76:$H$76,0)))</f>
        <v/>
      </c>
      <c r="Z235" s="295">
        <f>IF($B235="SEL","N/A - SEL",PeGu!$K$12*POWER(1+PeGu!$K$13,$X235-1))</f>
        <v>0</v>
      </c>
      <c r="AB235" s="273">
        <v>20</v>
      </c>
      <c r="AC235" s="274" cm="1">
        <f t="array" ref="AC235">INDEX('Contract Early Termination'!$B$14:$H$33,$AB235,MATCH($A233,_xlfn.ANCHORARRAY('Contract Early Termination'!$B$10),0))</f>
        <v>0</v>
      </c>
      <c r="AD235" s="275"/>
      <c r="AE235" s="273">
        <v>20</v>
      </c>
      <c r="AF235" s="274" cm="1">
        <f t="array" ref="AF235">INDEX('Contract Early Termination'!$B$41:$H$60,$AE235,MATCH($A233,_xlfn.ANCHORARRAY('Contract Early Termination'!$B$37),0))</f>
        <v>0</v>
      </c>
      <c r="AG235" s="277"/>
      <c r="AH235" s="273">
        <v>20</v>
      </c>
      <c r="AI235" s="274" cm="1">
        <f t="array" ref="AI235">INDEX('Contract Early Termination'!$B$68:$H$87,$AB235,MATCH($A233,_xlfn.ANCHORARRAY('Contract Early Termination'!$B$64),0))</f>
        <v>0</v>
      </c>
      <c r="AJ235" s="278"/>
      <c r="AK235" s="273">
        <v>20</v>
      </c>
      <c r="AL235" s="259" t="str">
        <f>IF($B235="SPPA","N/A - SPPA",AL234*(1-'System Specification'!$D$10)*IF(AK235&lt;=$C235,1,0))</f>
        <v>N/A - SPPA</v>
      </c>
      <c r="AM235" s="259" t="str">
        <f>IF($B235="SPPA","N/A - SPPA",AM234*(1-INDEX('System Specification'!$Q$14:$Q$20,MATCH($A235,'System Specification'!$D$14:$D$20,0)))*IF(AK235&lt;=$C235,1,0))</f>
        <v>N/A - SPPA</v>
      </c>
      <c r="AN235" s="299" t="str" cm="1">
        <f t="array" ref="AN235">IF($B235="SPPA","N/A - SPPA",INDEX(PeGu!$B$78:$H$97,$AK235,MATCH($A233,PeGu!$B$76:$H$76,0)))</f>
        <v>N/A - SPPA</v>
      </c>
      <c r="AP235" s="276">
        <v>20</v>
      </c>
      <c r="AQ235" s="300" t="str">
        <f>IF($B235="SPPA","N/A - SPPA", INDEX('Microgrid Proposal'!$N$32:$N$38,MATCH($A235,'Microgrid Proposal'!$D$32:$D$38,0))*IF(AP235&lt;=$C235,1,0))</f>
        <v>N/A - SPPA</v>
      </c>
      <c r="AR235" s="274" t="str">
        <f t="shared" si="32"/>
        <v>N/A - SPPA</v>
      </c>
      <c r="AT235" s="276">
        <v>20</v>
      </c>
      <c r="AU235" s="300" t="str">
        <f>IF($B235="SPPA","N/A - SPPA", INDEX('Solar+Storage Proposal'!$N$32:$N$38,MATCH($A235,'Solar+Storage Proposal'!$D$32:$D$38,0))*IF(AT235&lt;=$C235,1,0))</f>
        <v>N/A - SPPA</v>
      </c>
      <c r="AV235" s="274" t="str">
        <f t="shared" si="33"/>
        <v>N/A - SPPA</v>
      </c>
      <c r="AX235" s="276">
        <v>20</v>
      </c>
      <c r="AY235" s="300" t="str">
        <f>IF($B235="SPPA","N/A - SPPA", INDEX('Solar-Only Proposal'!$M$32:$M$38,MATCH($A235,'Solar-Only Proposal'!$D$32:$D$38,0))*IF(AX235&lt;=$C235,1,0))</f>
        <v>N/A - SPPA</v>
      </c>
      <c r="AZ235" s="274" t="str">
        <f t="shared" si="34"/>
        <v>N/A - SPPA</v>
      </c>
    </row>
    <row r="236" spans="1:52" ht="15" thickBot="1" x14ac:dyDescent="0.4">
      <c r="A236" s="251" t="str">
        <f t="shared" si="30"/>
        <v>64-E1</v>
      </c>
      <c r="B236" s="251" t="str">
        <f t="shared" si="31"/>
        <v>SPPA</v>
      </c>
      <c r="C236" s="251">
        <f>INDEX('Site Data'!$S$7:$S$13,MATCH($A236,'Site Data'!$C$7:$C$13,0))</f>
        <v>20</v>
      </c>
      <c r="F236" s="502" t="s">
        <v>293</v>
      </c>
      <c r="G236" s="503"/>
      <c r="H236" s="504"/>
      <c r="J236" s="258" t="s">
        <v>294</v>
      </c>
      <c r="K236" s="302" t="str">
        <f>IF($B236="SPPA","N/A - SPPA",PeGu!$E$16)</f>
        <v>N/A - SPPA</v>
      </c>
      <c r="L236" s="260" t="s">
        <v>295</v>
      </c>
      <c r="T236" s="275"/>
      <c r="U236" s="275"/>
      <c r="V236" s="283"/>
      <c r="Y236" s="275"/>
      <c r="Z236" s="275"/>
      <c r="AA236" s="283"/>
      <c r="AD236" s="275"/>
      <c r="AE236" s="283"/>
      <c r="AG236" s="277"/>
      <c r="AH236" s="279"/>
      <c r="AJ236" s="278"/>
      <c r="AK236" s="279"/>
      <c r="AM236" s="278"/>
      <c r="AN236" s="279"/>
      <c r="AP236" s="278"/>
      <c r="AQ236" s="278"/>
      <c r="AR236" s="278"/>
      <c r="AT236" s="278"/>
      <c r="AU236" s="278"/>
      <c r="AV236" s="278"/>
      <c r="AX236" s="278"/>
      <c r="AY236" s="278"/>
      <c r="AZ236" s="278"/>
    </row>
    <row r="237" spans="1:52" ht="15" thickBot="1" x14ac:dyDescent="0.4">
      <c r="A237" s="251" t="str">
        <f t="shared" si="30"/>
        <v>64-E1</v>
      </c>
      <c r="B237" s="251" t="str">
        <f t="shared" si="31"/>
        <v>SPPA</v>
      </c>
      <c r="C237" s="251">
        <f>INDEX('Site Data'!$S$7:$S$13,MATCH($A237,'Site Data'!$C$7:$C$13,0))</f>
        <v>20</v>
      </c>
      <c r="F237" s="280" t="s">
        <v>296</v>
      </c>
      <c r="G237" s="284">
        <f>IF($B237="SEL","N/A - SEL",PeGu!$E$12)</f>
        <v>0</v>
      </c>
      <c r="H237" s="282" t="s">
        <v>295</v>
      </c>
      <c r="T237" s="275"/>
      <c r="U237" s="275"/>
      <c r="V237" s="283"/>
      <c r="Y237" s="275"/>
      <c r="Z237" s="275"/>
      <c r="AA237" s="283"/>
      <c r="AD237" s="275"/>
      <c r="AE237" s="283"/>
      <c r="AG237" s="277"/>
      <c r="AH237" s="279"/>
      <c r="AJ237" s="278"/>
      <c r="AK237" s="279"/>
      <c r="AM237" s="278"/>
      <c r="AN237" s="279"/>
      <c r="AP237" s="278"/>
      <c r="AQ237" s="278"/>
      <c r="AR237" s="278"/>
      <c r="AT237" s="278"/>
      <c r="AU237" s="278"/>
      <c r="AV237" s="278"/>
      <c r="AX237" s="278"/>
      <c r="AY237" s="278"/>
      <c r="AZ237" s="278"/>
    </row>
  </sheetData>
  <sheetProtection algorithmName="SHA-512" hashValue="m8XxnjyEv5ApfFc1NcCuK2ikNQLYzzp7DNbwH64+UoQ+SO3zPlnG17/w+H0KO9KESx12HcorZVZyg9+t9lWVTw==" saltValue="lPf21NKfmyv3HEUgnpcgFg==" spinCount="100000" sheet="1" objects="1" scenarios="1"/>
  <mergeCells count="350">
    <mergeCell ref="J234:L234"/>
    <mergeCell ref="F236:H236"/>
    <mergeCell ref="AX212:AZ212"/>
    <mergeCell ref="F213:H213"/>
    <mergeCell ref="J213:L213"/>
    <mergeCell ref="N213:Q213"/>
    <mergeCell ref="S213:V213"/>
    <mergeCell ref="X213:Z213"/>
    <mergeCell ref="AB213:AC213"/>
    <mergeCell ref="AE213:AF213"/>
    <mergeCell ref="AH213:AI213"/>
    <mergeCell ref="AK213:AN213"/>
    <mergeCell ref="AP213:AR213"/>
    <mergeCell ref="AT213:AV213"/>
    <mergeCell ref="AX213:AZ213"/>
    <mergeCell ref="N212:Q212"/>
    <mergeCell ref="S212:V212"/>
    <mergeCell ref="X212:Z212"/>
    <mergeCell ref="AB212:AC212"/>
    <mergeCell ref="AE212:AF212"/>
    <mergeCell ref="AH212:AI212"/>
    <mergeCell ref="AK212:AN212"/>
    <mergeCell ref="AP212:AR212"/>
    <mergeCell ref="AT212:AV212"/>
    <mergeCell ref="AP214:AR214"/>
    <mergeCell ref="AT214:AV214"/>
    <mergeCell ref="AX214:AZ214"/>
    <mergeCell ref="F215:H215"/>
    <mergeCell ref="J215:L215"/>
    <mergeCell ref="F217:H217"/>
    <mergeCell ref="J219:L219"/>
    <mergeCell ref="F222:H222"/>
    <mergeCell ref="J223:L223"/>
    <mergeCell ref="N214:Q214"/>
    <mergeCell ref="S214:V214"/>
    <mergeCell ref="X214:Z214"/>
    <mergeCell ref="AB214:AC214"/>
    <mergeCell ref="AE214:AF214"/>
    <mergeCell ref="AH214:AI214"/>
    <mergeCell ref="AK214:AN214"/>
    <mergeCell ref="AX181:AZ181"/>
    <mergeCell ref="F182:H182"/>
    <mergeCell ref="J182:L182"/>
    <mergeCell ref="F184:H184"/>
    <mergeCell ref="J186:L186"/>
    <mergeCell ref="F189:H189"/>
    <mergeCell ref="J190:L190"/>
    <mergeCell ref="F194:H194"/>
    <mergeCell ref="F200:H200"/>
    <mergeCell ref="J200:L200"/>
    <mergeCell ref="N181:Q181"/>
    <mergeCell ref="S181:V181"/>
    <mergeCell ref="X181:Z181"/>
    <mergeCell ref="AB181:AC181"/>
    <mergeCell ref="AE181:AF181"/>
    <mergeCell ref="AH181:AI181"/>
    <mergeCell ref="AK181:AN181"/>
    <mergeCell ref="AP181:AR181"/>
    <mergeCell ref="AT181:AV181"/>
    <mergeCell ref="AX179:AZ179"/>
    <mergeCell ref="F180:H180"/>
    <mergeCell ref="J180:L180"/>
    <mergeCell ref="N180:Q180"/>
    <mergeCell ref="S180:V180"/>
    <mergeCell ref="X180:Z180"/>
    <mergeCell ref="AB180:AC180"/>
    <mergeCell ref="AE180:AF180"/>
    <mergeCell ref="AH180:AI180"/>
    <mergeCell ref="AK180:AN180"/>
    <mergeCell ref="AP180:AR180"/>
    <mergeCell ref="AT180:AV180"/>
    <mergeCell ref="AX180:AZ180"/>
    <mergeCell ref="N179:Q179"/>
    <mergeCell ref="S179:V179"/>
    <mergeCell ref="X179:Z179"/>
    <mergeCell ref="AB179:AC179"/>
    <mergeCell ref="AE179:AF179"/>
    <mergeCell ref="AH179:AI179"/>
    <mergeCell ref="AK179:AN179"/>
    <mergeCell ref="AP179:AR179"/>
    <mergeCell ref="AT179:AV179"/>
    <mergeCell ref="AX148:AZ148"/>
    <mergeCell ref="F149:H149"/>
    <mergeCell ref="J149:L149"/>
    <mergeCell ref="F151:H151"/>
    <mergeCell ref="J153:L153"/>
    <mergeCell ref="F156:H156"/>
    <mergeCell ref="J157:L157"/>
    <mergeCell ref="F161:H161"/>
    <mergeCell ref="F167:H167"/>
    <mergeCell ref="J167:L167"/>
    <mergeCell ref="N148:Q148"/>
    <mergeCell ref="S148:V148"/>
    <mergeCell ref="X148:Z148"/>
    <mergeCell ref="AB148:AC148"/>
    <mergeCell ref="AE148:AF148"/>
    <mergeCell ref="AH148:AI148"/>
    <mergeCell ref="AK148:AN148"/>
    <mergeCell ref="AP148:AR148"/>
    <mergeCell ref="AT148:AV148"/>
    <mergeCell ref="AK146:AN146"/>
    <mergeCell ref="AP146:AR146"/>
    <mergeCell ref="AT146:AV146"/>
    <mergeCell ref="AX146:AZ146"/>
    <mergeCell ref="J147:L147"/>
    <mergeCell ref="N147:Q147"/>
    <mergeCell ref="S147:V147"/>
    <mergeCell ref="X147:Z147"/>
    <mergeCell ref="AB147:AC147"/>
    <mergeCell ref="AE147:AF147"/>
    <mergeCell ref="AH147:AI147"/>
    <mergeCell ref="AK147:AN147"/>
    <mergeCell ref="AP147:AR147"/>
    <mergeCell ref="AT147:AV147"/>
    <mergeCell ref="AX147:AZ147"/>
    <mergeCell ref="S146:V146"/>
    <mergeCell ref="X146:Z146"/>
    <mergeCell ref="AB146:AC146"/>
    <mergeCell ref="AE146:AF146"/>
    <mergeCell ref="AH146:AI146"/>
    <mergeCell ref="AX115:AZ115"/>
    <mergeCell ref="F116:H116"/>
    <mergeCell ref="J116:L116"/>
    <mergeCell ref="F118:H118"/>
    <mergeCell ref="J120:L120"/>
    <mergeCell ref="F123:H123"/>
    <mergeCell ref="J124:L124"/>
    <mergeCell ref="F128:H128"/>
    <mergeCell ref="F134:H134"/>
    <mergeCell ref="J134:L134"/>
    <mergeCell ref="N115:Q115"/>
    <mergeCell ref="S115:V115"/>
    <mergeCell ref="X115:Z115"/>
    <mergeCell ref="AB115:AC115"/>
    <mergeCell ref="AE115:AF115"/>
    <mergeCell ref="AH115:AI115"/>
    <mergeCell ref="AK115:AN115"/>
    <mergeCell ref="AP115:AR115"/>
    <mergeCell ref="AT115:AV115"/>
    <mergeCell ref="AX113:AZ113"/>
    <mergeCell ref="F114:H114"/>
    <mergeCell ref="J114:L114"/>
    <mergeCell ref="N114:Q114"/>
    <mergeCell ref="S114:V114"/>
    <mergeCell ref="X114:Z114"/>
    <mergeCell ref="AB114:AC114"/>
    <mergeCell ref="AE114:AF114"/>
    <mergeCell ref="AH114:AI114"/>
    <mergeCell ref="AK114:AN114"/>
    <mergeCell ref="AP114:AR114"/>
    <mergeCell ref="AT114:AV114"/>
    <mergeCell ref="AX114:AZ114"/>
    <mergeCell ref="N113:Q113"/>
    <mergeCell ref="S113:V113"/>
    <mergeCell ref="X113:Z113"/>
    <mergeCell ref="AB113:AC113"/>
    <mergeCell ref="AE113:AF113"/>
    <mergeCell ref="AH113:AI113"/>
    <mergeCell ref="AK113:AN113"/>
    <mergeCell ref="AP113:AR113"/>
    <mergeCell ref="AT113:AV113"/>
    <mergeCell ref="AX82:AZ82"/>
    <mergeCell ref="F83:H83"/>
    <mergeCell ref="J83:L83"/>
    <mergeCell ref="F85:H85"/>
    <mergeCell ref="J87:L87"/>
    <mergeCell ref="F90:H90"/>
    <mergeCell ref="J91:L91"/>
    <mergeCell ref="F95:H95"/>
    <mergeCell ref="F101:H101"/>
    <mergeCell ref="J101:L101"/>
    <mergeCell ref="N82:Q82"/>
    <mergeCell ref="S82:V82"/>
    <mergeCell ref="X82:Z82"/>
    <mergeCell ref="AB82:AC82"/>
    <mergeCell ref="AE82:AF82"/>
    <mergeCell ref="AH82:AI82"/>
    <mergeCell ref="AK82:AN82"/>
    <mergeCell ref="AP82:AR82"/>
    <mergeCell ref="AT82:AV82"/>
    <mergeCell ref="AX80:AZ80"/>
    <mergeCell ref="F81:H81"/>
    <mergeCell ref="J81:L81"/>
    <mergeCell ref="N81:Q81"/>
    <mergeCell ref="S81:V81"/>
    <mergeCell ref="X81:Z81"/>
    <mergeCell ref="AB81:AC81"/>
    <mergeCell ref="AE81:AF81"/>
    <mergeCell ref="AH81:AI81"/>
    <mergeCell ref="AK81:AN81"/>
    <mergeCell ref="AP81:AR81"/>
    <mergeCell ref="AT81:AV81"/>
    <mergeCell ref="AX81:AZ81"/>
    <mergeCell ref="N80:Q80"/>
    <mergeCell ref="S80:V80"/>
    <mergeCell ref="X80:Z80"/>
    <mergeCell ref="AB80:AC80"/>
    <mergeCell ref="AE80:AF80"/>
    <mergeCell ref="AH80:AI80"/>
    <mergeCell ref="AK80:AN80"/>
    <mergeCell ref="AP80:AR80"/>
    <mergeCell ref="AT80:AV80"/>
    <mergeCell ref="AX49:AZ49"/>
    <mergeCell ref="F50:H50"/>
    <mergeCell ref="J50:L50"/>
    <mergeCell ref="F52:H52"/>
    <mergeCell ref="J54:L54"/>
    <mergeCell ref="F57:H57"/>
    <mergeCell ref="J58:L58"/>
    <mergeCell ref="F62:H62"/>
    <mergeCell ref="F68:H68"/>
    <mergeCell ref="J68:L68"/>
    <mergeCell ref="N49:Q49"/>
    <mergeCell ref="S49:V49"/>
    <mergeCell ref="X49:Z49"/>
    <mergeCell ref="AB49:AC49"/>
    <mergeCell ref="AE49:AF49"/>
    <mergeCell ref="AH49:AI49"/>
    <mergeCell ref="AK49:AN49"/>
    <mergeCell ref="AP49:AR49"/>
    <mergeCell ref="AT49:AV49"/>
    <mergeCell ref="AK47:AN47"/>
    <mergeCell ref="AP47:AR47"/>
    <mergeCell ref="AT47:AV47"/>
    <mergeCell ref="AX47:AZ47"/>
    <mergeCell ref="F48:H48"/>
    <mergeCell ref="J48:L48"/>
    <mergeCell ref="N48:Q48"/>
    <mergeCell ref="S48:V48"/>
    <mergeCell ref="X48:Z48"/>
    <mergeCell ref="AB48:AC48"/>
    <mergeCell ref="AE48:AF48"/>
    <mergeCell ref="AH48:AI48"/>
    <mergeCell ref="AK48:AN48"/>
    <mergeCell ref="AP48:AR48"/>
    <mergeCell ref="AT48:AV48"/>
    <mergeCell ref="AX48:AZ48"/>
    <mergeCell ref="F47:H47"/>
    <mergeCell ref="J47:L47"/>
    <mergeCell ref="N47:Q47"/>
    <mergeCell ref="S47:V47"/>
    <mergeCell ref="X47:Z47"/>
    <mergeCell ref="AB47:AC47"/>
    <mergeCell ref="AE47:AF47"/>
    <mergeCell ref="AH47:AI47"/>
    <mergeCell ref="AT14:AV14"/>
    <mergeCell ref="AT15:AV15"/>
    <mergeCell ref="AT16:AV16"/>
    <mergeCell ref="AX14:AZ14"/>
    <mergeCell ref="AX15:AZ15"/>
    <mergeCell ref="AX16:AZ16"/>
    <mergeCell ref="G41:H41"/>
    <mergeCell ref="G42:H42"/>
    <mergeCell ref="G43:H43"/>
    <mergeCell ref="AK16:AN16"/>
    <mergeCell ref="AK15:AN15"/>
    <mergeCell ref="AK14:AN14"/>
    <mergeCell ref="J21:L21"/>
    <mergeCell ref="J25:L25"/>
    <mergeCell ref="J15:L15"/>
    <mergeCell ref="AP16:AR16"/>
    <mergeCell ref="AP15:AR15"/>
    <mergeCell ref="AP14:AR14"/>
    <mergeCell ref="F35:H35"/>
    <mergeCell ref="F36:H36"/>
    <mergeCell ref="F38:H38"/>
    <mergeCell ref="J35:L35"/>
    <mergeCell ref="J36:L36"/>
    <mergeCell ref="N16:Q16"/>
    <mergeCell ref="F233:H233"/>
    <mergeCell ref="J233:L233"/>
    <mergeCell ref="F234:H234"/>
    <mergeCell ref="F102:H102"/>
    <mergeCell ref="J102:L102"/>
    <mergeCell ref="F104:H104"/>
    <mergeCell ref="G107:H107"/>
    <mergeCell ref="G108:H108"/>
    <mergeCell ref="G109:H109"/>
    <mergeCell ref="G110:H110"/>
    <mergeCell ref="F113:H113"/>
    <mergeCell ref="J113:L113"/>
    <mergeCell ref="F135:H135"/>
    <mergeCell ref="J135:L135"/>
    <mergeCell ref="F137:H137"/>
    <mergeCell ref="G140:H140"/>
    <mergeCell ref="G141:H141"/>
    <mergeCell ref="G142:H142"/>
    <mergeCell ref="G143:H143"/>
    <mergeCell ref="F146:H146"/>
    <mergeCell ref="J146:L146"/>
    <mergeCell ref="F147:H147"/>
    <mergeCell ref="F168:H168"/>
    <mergeCell ref="J168:L168"/>
    <mergeCell ref="F29:H29"/>
    <mergeCell ref="F203:H203"/>
    <mergeCell ref="G206:H206"/>
    <mergeCell ref="G207:H207"/>
    <mergeCell ref="G208:H208"/>
    <mergeCell ref="G209:H209"/>
    <mergeCell ref="F212:H212"/>
    <mergeCell ref="J212:L212"/>
    <mergeCell ref="F227:H227"/>
    <mergeCell ref="F170:H170"/>
    <mergeCell ref="G173:H173"/>
    <mergeCell ref="AE16:AF16"/>
    <mergeCell ref="AH16:AI16"/>
    <mergeCell ref="F201:H201"/>
    <mergeCell ref="J201:L201"/>
    <mergeCell ref="S16:V16"/>
    <mergeCell ref="X16:Z16"/>
    <mergeCell ref="AB16:AC16"/>
    <mergeCell ref="G44:H44"/>
    <mergeCell ref="F69:H69"/>
    <mergeCell ref="J69:L69"/>
    <mergeCell ref="F71:H71"/>
    <mergeCell ref="G74:H74"/>
    <mergeCell ref="G75:H75"/>
    <mergeCell ref="G76:H76"/>
    <mergeCell ref="G77:H77"/>
    <mergeCell ref="F80:H80"/>
    <mergeCell ref="J80:L80"/>
    <mergeCell ref="N146:Q146"/>
    <mergeCell ref="G174:H174"/>
    <mergeCell ref="G175:H175"/>
    <mergeCell ref="G176:H176"/>
    <mergeCell ref="F179:H179"/>
    <mergeCell ref="J179:L179"/>
    <mergeCell ref="F24:H24"/>
    <mergeCell ref="AE14:AF14"/>
    <mergeCell ref="AE15:AF15"/>
    <mergeCell ref="AH14:AI14"/>
    <mergeCell ref="AH15:AI15"/>
    <mergeCell ref="G8:H8"/>
    <mergeCell ref="G9:H9"/>
    <mergeCell ref="G10:H10"/>
    <mergeCell ref="S15:V15"/>
    <mergeCell ref="S14:V14"/>
    <mergeCell ref="G11:H11"/>
    <mergeCell ref="F19:H19"/>
    <mergeCell ref="F17:H17"/>
    <mergeCell ref="F15:H15"/>
    <mergeCell ref="F14:H14"/>
    <mergeCell ref="X15:Z15"/>
    <mergeCell ref="AB15:AC15"/>
    <mergeCell ref="N14:Q14"/>
    <mergeCell ref="N15:Q15"/>
    <mergeCell ref="AB14:AC14"/>
    <mergeCell ref="X14:Z14"/>
    <mergeCell ref="J14:L14"/>
    <mergeCell ref="J17:L17"/>
  </mergeCells>
  <conditionalFormatting sqref="F14:H39 N14:Z39">
    <cfRule type="expression" dxfId="13" priority="65">
      <formula>$B14="SEL"</formula>
    </cfRule>
  </conditionalFormatting>
  <conditionalFormatting sqref="F47:H72 N47:Z72">
    <cfRule type="expression" dxfId="12" priority="63">
      <formula>$B47="SEL"</formula>
    </cfRule>
  </conditionalFormatting>
  <conditionalFormatting sqref="F80:H105 N80:Z105">
    <cfRule type="expression" dxfId="11" priority="61">
      <formula>$B80="SEL"</formula>
    </cfRule>
  </conditionalFormatting>
  <conditionalFormatting sqref="F113:H138 N113:Z138">
    <cfRule type="expression" dxfId="10" priority="59">
      <formula>$B113="SEL"</formula>
    </cfRule>
  </conditionalFormatting>
  <conditionalFormatting sqref="F146:H171 N146:Z171">
    <cfRule type="expression" dxfId="9" priority="57">
      <formula>$B146="SEL"</formula>
    </cfRule>
  </conditionalFormatting>
  <conditionalFormatting sqref="F179:H204 N179:Z204">
    <cfRule type="expression" dxfId="8" priority="55">
      <formula>$B179="SEL"</formula>
    </cfRule>
  </conditionalFormatting>
  <conditionalFormatting sqref="F212:H237 N212:Z237">
    <cfRule type="expression" dxfId="7" priority="53">
      <formula>$B212="SEL"</formula>
    </cfRule>
  </conditionalFormatting>
  <conditionalFormatting sqref="J14:L39 AK14:AZ39">
    <cfRule type="expression" dxfId="6" priority="66">
      <formula>$B14="SPPA"</formula>
    </cfRule>
  </conditionalFormatting>
  <conditionalFormatting sqref="J47:L72 AK47:AZ72">
    <cfRule type="expression" dxfId="5" priority="64">
      <formula>$B47="SPPA"</formula>
    </cfRule>
  </conditionalFormatting>
  <conditionalFormatting sqref="J80:L105 AK80:AZ105">
    <cfRule type="expression" dxfId="4" priority="62">
      <formula>$B80="SPPA"</formula>
    </cfRule>
  </conditionalFormatting>
  <conditionalFormatting sqref="J113:L138 AK113:AZ138">
    <cfRule type="expression" dxfId="3" priority="60">
      <formula>$B113="SPPA"</formula>
    </cfRule>
  </conditionalFormatting>
  <conditionalFormatting sqref="J146:L171 AK146:AZ171">
    <cfRule type="expression" dxfId="2" priority="58">
      <formula>$B146="SPPA"</formula>
    </cfRule>
  </conditionalFormatting>
  <conditionalFormatting sqref="J179:L204 AK179:AZ204">
    <cfRule type="expression" dxfId="1" priority="56">
      <formula>$B179="SPPA"</formula>
    </cfRule>
  </conditionalFormatting>
  <conditionalFormatting sqref="J212:L237 AK212:AZ237">
    <cfRule type="expression" dxfId="0" priority="54">
      <formula>$B212="SPPA"</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G49"/>
  <sheetViews>
    <sheetView workbookViewId="0">
      <selection activeCell="B10" sqref="B10:B11"/>
    </sheetView>
  </sheetViews>
  <sheetFormatPr defaultColWidth="8.69140625" defaultRowHeight="14.5" x14ac:dyDescent="0.35"/>
  <cols>
    <col min="1" max="3" width="16.53515625" style="15" customWidth="1"/>
    <col min="4" max="4" width="2.23046875" style="15" customWidth="1"/>
    <col min="5" max="5" width="16.53515625" style="15" customWidth="1"/>
    <col min="6" max="6" width="2.23046875" style="15" customWidth="1"/>
    <col min="7" max="7" width="16.53515625" style="15" customWidth="1"/>
    <col min="8" max="16384" width="8.69140625" style="15"/>
  </cols>
  <sheetData>
    <row r="1" spans="1:7" x14ac:dyDescent="0.35">
      <c r="A1" s="1" t="str">
        <f>'System Specification'!A4</f>
        <v>Proposed Price Form</v>
      </c>
      <c r="B1" s="1"/>
      <c r="C1" s="25"/>
      <c r="D1" s="25"/>
      <c r="E1" s="25"/>
      <c r="F1" s="25"/>
      <c r="G1" s="25"/>
    </row>
    <row r="2" spans="1:7" ht="28.5" x14ac:dyDescent="0.65">
      <c r="A2" s="9" t="str">
        <f ca="1">"FORM C2, "&amp;MID(CELL("filename",A1),FIND("]",CELL("filename",A1))+1,256)</f>
        <v>FORM C2, Lists</v>
      </c>
      <c r="B2" s="1"/>
      <c r="C2" s="25"/>
      <c r="D2" s="25"/>
      <c r="E2" s="25"/>
      <c r="F2" s="25"/>
      <c r="G2" s="25"/>
    </row>
    <row r="3" spans="1:7" x14ac:dyDescent="0.35">
      <c r="A3" s="1"/>
      <c r="B3" s="1"/>
      <c r="C3" s="25"/>
      <c r="D3" s="25"/>
      <c r="E3" s="25"/>
      <c r="F3" s="25"/>
      <c r="G3" s="25"/>
    </row>
    <row r="4" spans="1:7" x14ac:dyDescent="0.35">
      <c r="A4" s="12" t="e">
        <f>#REF!</f>
        <v>#REF!</v>
      </c>
      <c r="B4" s="1"/>
      <c r="C4" s="25"/>
      <c r="D4" s="25"/>
      <c r="E4" s="25"/>
      <c r="F4" s="25"/>
      <c r="G4" s="25"/>
    </row>
    <row r="6" spans="1:7" x14ac:dyDescent="0.35">
      <c r="A6" s="16" t="s">
        <v>297</v>
      </c>
      <c r="B6" s="25"/>
      <c r="C6" s="25"/>
      <c r="D6" s="25"/>
      <c r="E6" s="25"/>
      <c r="F6" s="25"/>
      <c r="G6" s="25"/>
    </row>
    <row r="7" spans="1:7" x14ac:dyDescent="0.35">
      <c r="A7" s="14" t="s">
        <v>298</v>
      </c>
      <c r="B7" s="25"/>
      <c r="C7" s="25"/>
      <c r="D7" s="25"/>
      <c r="E7" s="25"/>
      <c r="F7" s="25"/>
      <c r="G7" s="25"/>
    </row>
    <row r="9" spans="1:7" x14ac:dyDescent="0.35">
      <c r="A9" s="17" t="s">
        <v>299</v>
      </c>
      <c r="B9" s="25"/>
      <c r="C9" s="17" t="s">
        <v>300</v>
      </c>
      <c r="D9" s="25"/>
      <c r="E9" s="17" t="s">
        <v>301</v>
      </c>
      <c r="F9" s="25"/>
      <c r="G9" s="21" t="s">
        <v>302</v>
      </c>
    </row>
    <row r="10" spans="1:7" x14ac:dyDescent="0.35">
      <c r="A10" s="24" t="s">
        <v>49</v>
      </c>
      <c r="B10" s="221" t="s">
        <v>49</v>
      </c>
      <c r="C10" s="22">
        <v>20</v>
      </c>
      <c r="D10" s="25"/>
      <c r="E10" s="22" t="s">
        <v>303</v>
      </c>
      <c r="F10" s="25"/>
      <c r="G10" s="24" t="s">
        <v>304</v>
      </c>
    </row>
    <row r="11" spans="1:7" x14ac:dyDescent="0.35">
      <c r="A11" s="23" t="s">
        <v>44</v>
      </c>
      <c r="B11" s="221" t="s">
        <v>44</v>
      </c>
      <c r="C11" s="23">
        <v>25</v>
      </c>
      <c r="D11" s="25"/>
      <c r="E11" s="23" t="s">
        <v>305</v>
      </c>
      <c r="F11" s="25"/>
      <c r="G11" s="22" t="s">
        <v>306</v>
      </c>
    </row>
    <row r="12" spans="1:7" x14ac:dyDescent="0.35">
      <c r="A12" s="25"/>
      <c r="B12" s="25"/>
      <c r="C12" s="25"/>
      <c r="D12" s="25"/>
      <c r="E12" s="25"/>
      <c r="F12" s="25"/>
      <c r="G12" s="23" t="s">
        <v>307</v>
      </c>
    </row>
    <row r="13" spans="1:7" x14ac:dyDescent="0.35">
      <c r="A13" s="18" t="s">
        <v>308</v>
      </c>
      <c r="B13" s="19"/>
      <c r="C13" s="20"/>
      <c r="D13" s="1"/>
      <c r="E13" s="17" t="s">
        <v>309</v>
      </c>
      <c r="F13" s="25"/>
      <c r="G13" s="25"/>
    </row>
    <row r="14" spans="1:7" x14ac:dyDescent="0.35">
      <c r="A14" s="90" t="s">
        <v>298</v>
      </c>
      <c r="B14" s="91" t="s">
        <v>53</v>
      </c>
      <c r="C14" s="92" t="s">
        <v>85</v>
      </c>
      <c r="D14" s="25"/>
      <c r="E14" s="93" t="str">
        <f>IF($A$7="PG&amp;E",
IF(Lists!A14="","",Lists!A14),
IF($A$7="SCE",
IF(Lists!B14="","",Lists!B14),
IF(Lists!C14="","",Lists!C14)))</f>
        <v>PG&amp;E</v>
      </c>
      <c r="F14" s="25"/>
      <c r="G14" s="25"/>
    </row>
    <row r="15" spans="1:7" x14ac:dyDescent="0.35">
      <c r="A15" s="24" t="s">
        <v>310</v>
      </c>
      <c r="B15" s="24" t="s">
        <v>311</v>
      </c>
      <c r="C15" s="24"/>
      <c r="D15" s="25"/>
      <c r="E15" s="22" t="str">
        <f>IF($A$7="PG&amp;E",
IF(Lists!A15="","",Lists!A15),
IF($A$7="SCE",
IF(Lists!B15="","",Lists!B15),
IF(Lists!C15="","",Lists!C15)))</f>
        <v>A-1</v>
      </c>
      <c r="F15" s="25"/>
      <c r="G15" s="25"/>
    </row>
    <row r="16" spans="1:7" x14ac:dyDescent="0.35">
      <c r="A16" s="22" t="s">
        <v>312</v>
      </c>
      <c r="B16" s="22" t="s">
        <v>313</v>
      </c>
      <c r="C16" s="22"/>
      <c r="D16" s="25"/>
      <c r="E16" s="22" t="str">
        <f>IF($A$7="PG&amp;E",
IF(Lists!A16="","",Lists!A16),
IF($A$7="SCE",
IF(Lists!B16="","",Lists!B16),
IF(Lists!C16="","",Lists!C16)))</f>
        <v>A-6</v>
      </c>
      <c r="F16" s="25"/>
      <c r="G16" s="25"/>
    </row>
    <row r="17" spans="1:5" x14ac:dyDescent="0.35">
      <c r="A17" s="22" t="s">
        <v>314</v>
      </c>
      <c r="B17" s="22" t="s">
        <v>315</v>
      </c>
      <c r="C17" s="22"/>
      <c r="D17" s="25"/>
      <c r="E17" s="22" t="str">
        <f>IF($A$7="PG&amp;E",
IF(Lists!A17="","",Lists!A17),
IF($A$7="SCE",
IF(Lists!B17="","",Lists!B17),
IF(Lists!C17="","",Lists!C17)))</f>
        <v>A-10-S</v>
      </c>
    </row>
    <row r="18" spans="1:5" x14ac:dyDescent="0.35">
      <c r="A18" s="22" t="s">
        <v>316</v>
      </c>
      <c r="B18" s="22" t="s">
        <v>317</v>
      </c>
      <c r="C18" s="22"/>
      <c r="D18" s="25"/>
      <c r="E18" s="22" t="str">
        <f>IF($A$7="PG&amp;E",
IF(Lists!A18="","",Lists!A18),
IF($A$7="SCE",
IF(Lists!B18="","",Lists!B18),
IF(Lists!C18="","",Lists!C18)))</f>
        <v>A-10-P</v>
      </c>
    </row>
    <row r="19" spans="1:5" x14ac:dyDescent="0.35">
      <c r="A19" s="22" t="s">
        <v>318</v>
      </c>
      <c r="B19" s="22" t="s">
        <v>319</v>
      </c>
      <c r="C19" s="22"/>
      <c r="D19" s="25"/>
      <c r="E19" s="22" t="str">
        <f>IF($A$7="PG&amp;E",
IF(Lists!A19="","",Lists!A19),
IF($A$7="SCE",
IF(Lists!B19="","",Lists!B19),
IF(Lists!C19="","",Lists!C19)))</f>
        <v>A-10-T</v>
      </c>
    </row>
    <row r="20" spans="1:5" x14ac:dyDescent="0.35">
      <c r="A20" s="22" t="s">
        <v>320</v>
      </c>
      <c r="B20" s="22" t="s">
        <v>321</v>
      </c>
      <c r="C20" s="22"/>
      <c r="D20" s="25"/>
      <c r="E20" s="22" t="str">
        <f>IF($A$7="PG&amp;E",
IF(Lists!A20="","",Lists!A20),
IF($A$7="SCE",
IF(Lists!B20="","",Lists!B20),
IF(Lists!C20="","",Lists!C20)))</f>
        <v>A-10 TOU-S</v>
      </c>
    </row>
    <row r="21" spans="1:5" x14ac:dyDescent="0.35">
      <c r="A21" s="22" t="s">
        <v>322</v>
      </c>
      <c r="B21" s="22" t="s">
        <v>323</v>
      </c>
      <c r="C21" s="22"/>
      <c r="D21" s="25"/>
      <c r="E21" s="22" t="str">
        <f>IF($A$7="PG&amp;E",
IF(Lists!A21="","",Lists!A21),
IF($A$7="SCE",
IF(Lists!B21="","",Lists!B21),
IF(Lists!C21="","",Lists!C21)))</f>
        <v>A-10 TOU-P</v>
      </c>
    </row>
    <row r="22" spans="1:5" x14ac:dyDescent="0.35">
      <c r="A22" s="22" t="s">
        <v>324</v>
      </c>
      <c r="B22" s="22" t="s">
        <v>325</v>
      </c>
      <c r="C22" s="22"/>
      <c r="D22" s="25"/>
      <c r="E22" s="22" t="str">
        <f>IF($A$7="PG&amp;E",
IF(Lists!A22="","",Lists!A22),
IF($A$7="SCE",
IF(Lists!B22="","",Lists!B22),
IF(Lists!C22="","",Lists!C22)))</f>
        <v>A-10 TOU-T</v>
      </c>
    </row>
    <row r="23" spans="1:5" x14ac:dyDescent="0.35">
      <c r="A23" s="22" t="s">
        <v>326</v>
      </c>
      <c r="B23" s="22" t="s">
        <v>327</v>
      </c>
      <c r="C23" s="22"/>
      <c r="D23" s="25"/>
      <c r="E23" s="22" t="str">
        <f>IF($A$7="PG&amp;E",
IF(Lists!A23="","",Lists!A23),
IF($A$7="SCE",
IF(Lists!B23="","",Lists!B23),
IF(Lists!C23="","",Lists!C23)))</f>
        <v>E-19-S</v>
      </c>
    </row>
    <row r="24" spans="1:5" x14ac:dyDescent="0.35">
      <c r="A24" s="22" t="s">
        <v>328</v>
      </c>
      <c r="B24" s="22" t="s">
        <v>329</v>
      </c>
      <c r="C24" s="22"/>
      <c r="D24" s="25"/>
      <c r="E24" s="22" t="str">
        <f>IF($A$7="PG&amp;E",
IF(Lists!A24="","",Lists!A24),
IF($A$7="SCE",
IF(Lists!B24="","",Lists!B24),
IF(Lists!C24="","",Lists!C24)))</f>
        <v>E-19-P</v>
      </c>
    </row>
    <row r="25" spans="1:5" x14ac:dyDescent="0.35">
      <c r="A25" s="22" t="s">
        <v>330</v>
      </c>
      <c r="B25" s="22" t="s">
        <v>331</v>
      </c>
      <c r="C25" s="22"/>
      <c r="D25" s="25"/>
      <c r="E25" s="22" t="str">
        <f>IF($A$7="PG&amp;E",
IF(Lists!A25="","",Lists!A25),
IF($A$7="SCE",
IF(Lists!B25="","",Lists!B25),
IF(Lists!C25="","",Lists!C25)))</f>
        <v>E-19-T</v>
      </c>
    </row>
    <row r="26" spans="1:5" x14ac:dyDescent="0.35">
      <c r="A26" s="22"/>
      <c r="B26" s="22" t="s">
        <v>332</v>
      </c>
      <c r="C26" s="22"/>
      <c r="D26" s="25"/>
      <c r="E26" s="22" t="str">
        <f>IF($A$7="PG&amp;E",
IF(Lists!A26="","",Lists!A26),
IF($A$7="SCE",
IF(Lists!B26="","",Lists!B26),
IF(Lists!C26="","",Lists!C26)))</f>
        <v/>
      </c>
    </row>
    <row r="27" spans="1:5" x14ac:dyDescent="0.35">
      <c r="A27" s="22"/>
      <c r="B27" s="22"/>
      <c r="C27" s="22"/>
      <c r="D27" s="25"/>
      <c r="E27" s="22" t="str">
        <f>IF($A$7="PG&amp;E",
IF(Lists!A27="","",Lists!A27),
IF($A$7="SCE",
IF(Lists!B27="","",Lists!B27),
IF(Lists!C27="","",Lists!C27)))</f>
        <v/>
      </c>
    </row>
    <row r="28" spans="1:5" x14ac:dyDescent="0.35">
      <c r="A28" s="22"/>
      <c r="B28" s="22"/>
      <c r="C28" s="22"/>
      <c r="D28" s="25"/>
      <c r="E28" s="22" t="str">
        <f>IF($A$7="PG&amp;E",
IF(Lists!A28="","",Lists!A28),
IF($A$7="SCE",
IF(Lists!B28="","",Lists!B28),
IF(Lists!C28="","",Lists!C28)))</f>
        <v/>
      </c>
    </row>
    <row r="29" spans="1:5" x14ac:dyDescent="0.35">
      <c r="A29" s="22"/>
      <c r="B29" s="22"/>
      <c r="C29" s="22"/>
      <c r="D29" s="25"/>
      <c r="E29" s="22" t="str">
        <f>IF($A$7="PG&amp;E",
IF(Lists!A29="","",Lists!A29),
IF($A$7="SCE",
IF(Lists!B29="","",Lists!B29),
IF(Lists!C29="","",Lists!C29)))</f>
        <v/>
      </c>
    </row>
    <row r="30" spans="1:5" x14ac:dyDescent="0.35">
      <c r="A30" s="22"/>
      <c r="B30" s="22"/>
      <c r="C30" s="22"/>
      <c r="D30" s="25"/>
      <c r="E30" s="22" t="str">
        <f>IF($A$7="PG&amp;E",
IF(Lists!A30="","",Lists!A30),
IF($A$7="SCE",
IF(Lists!B30="","",Lists!B30),
IF(Lists!C30="","",Lists!C30)))</f>
        <v/>
      </c>
    </row>
    <row r="31" spans="1:5" x14ac:dyDescent="0.35">
      <c r="A31" s="22"/>
      <c r="B31" s="22"/>
      <c r="C31" s="22"/>
      <c r="D31" s="25"/>
      <c r="E31" s="22" t="str">
        <f>IF($A$7="PG&amp;E",
IF(Lists!A31="","",Lists!A31),
IF($A$7="SCE",
IF(Lists!B31="","",Lists!B31),
IF(Lists!C31="","",Lists!C31)))</f>
        <v/>
      </c>
    </row>
    <row r="32" spans="1:5" x14ac:dyDescent="0.35">
      <c r="A32" s="22"/>
      <c r="B32" s="22"/>
      <c r="C32" s="22"/>
      <c r="D32" s="25"/>
      <c r="E32" s="22" t="str">
        <f>IF($A$7="PG&amp;E",
IF(Lists!A32="","",Lists!A32),
IF($A$7="SCE",
IF(Lists!B32="","",Lists!B32),
IF(Lists!C32="","",Lists!C32)))</f>
        <v/>
      </c>
    </row>
    <row r="33" spans="1:5" x14ac:dyDescent="0.35">
      <c r="A33" s="22"/>
      <c r="B33" s="22"/>
      <c r="C33" s="22"/>
      <c r="D33" s="25"/>
      <c r="E33" s="22" t="str">
        <f>IF($A$7="PG&amp;E",
IF(Lists!A33="","",Lists!A33),
IF($A$7="SCE",
IF(Lists!B33="","",Lists!B33),
IF(Lists!C33="","",Lists!C33)))</f>
        <v/>
      </c>
    </row>
    <row r="34" spans="1:5" x14ac:dyDescent="0.35">
      <c r="A34" s="23"/>
      <c r="B34" s="23"/>
      <c r="C34" s="23"/>
      <c r="D34" s="25"/>
      <c r="E34" s="23" t="str">
        <f>IF($A$7="PG&amp;E",
IF(Lists!A34="","",Lists!A34),
IF($A$7="SCE",
IF(Lists!B34="","",Lists!B34),
IF(Lists!C34="","",Lists!C34)))</f>
        <v/>
      </c>
    </row>
    <row r="36" spans="1:5" x14ac:dyDescent="0.35">
      <c r="A36" s="553" t="s">
        <v>333</v>
      </c>
      <c r="B36" s="554"/>
      <c r="C36" s="25"/>
      <c r="D36" s="25"/>
      <c r="E36" s="25"/>
    </row>
    <row r="37" spans="1:5" x14ac:dyDescent="0.35">
      <c r="A37" s="94" t="s">
        <v>334</v>
      </c>
      <c r="B37" s="27"/>
      <c r="C37" s="25"/>
      <c r="D37" s="25"/>
      <c r="E37" s="21" t="s">
        <v>335</v>
      </c>
    </row>
    <row r="38" spans="1:5" x14ac:dyDescent="0.35">
      <c r="A38" s="95" t="s">
        <v>336</v>
      </c>
      <c r="B38" s="96"/>
      <c r="C38" s="25"/>
      <c r="D38" s="25"/>
      <c r="E38" s="10" t="s">
        <v>337</v>
      </c>
    </row>
    <row r="39" spans="1:5" x14ac:dyDescent="0.35">
      <c r="A39" s="95" t="s">
        <v>298</v>
      </c>
      <c r="B39" s="96">
        <v>0.55900000000000005</v>
      </c>
      <c r="C39" s="25"/>
      <c r="D39" s="25"/>
      <c r="E39" s="10" t="s">
        <v>338</v>
      </c>
    </row>
    <row r="40" spans="1:5" x14ac:dyDescent="0.35">
      <c r="A40" s="95" t="s">
        <v>53</v>
      </c>
      <c r="B40" s="96">
        <v>0.66500000000000004</v>
      </c>
      <c r="C40" s="25"/>
      <c r="D40" s="25"/>
      <c r="E40" s="10" t="s">
        <v>339</v>
      </c>
    </row>
    <row r="41" spans="1:5" x14ac:dyDescent="0.35">
      <c r="A41" s="95" t="s">
        <v>85</v>
      </c>
      <c r="B41" s="96">
        <v>0.91500000000000004</v>
      </c>
      <c r="C41" s="25"/>
      <c r="D41" s="25"/>
      <c r="E41" s="10" t="s">
        <v>340</v>
      </c>
    </row>
    <row r="42" spans="1:5" x14ac:dyDescent="0.35">
      <c r="A42" s="94" t="s">
        <v>341</v>
      </c>
      <c r="B42" s="27"/>
      <c r="C42" s="25"/>
      <c r="D42" s="25"/>
      <c r="E42" s="11" t="s">
        <v>342</v>
      </c>
    </row>
    <row r="43" spans="1:5" x14ac:dyDescent="0.35">
      <c r="A43" s="95" t="s">
        <v>343</v>
      </c>
      <c r="B43" s="96">
        <v>19.643000000000001</v>
      </c>
      <c r="C43" s="25"/>
      <c r="D43" s="25"/>
      <c r="E43" s="25"/>
    </row>
    <row r="44" spans="1:5" x14ac:dyDescent="0.35">
      <c r="A44" s="95" t="s">
        <v>344</v>
      </c>
      <c r="B44" s="96">
        <v>12500</v>
      </c>
      <c r="C44" s="25"/>
      <c r="D44" s="25"/>
      <c r="E44" s="21" t="s">
        <v>345</v>
      </c>
    </row>
    <row r="45" spans="1:5" x14ac:dyDescent="0.35">
      <c r="A45" s="95" t="s">
        <v>346</v>
      </c>
      <c r="B45" s="96">
        <v>25</v>
      </c>
      <c r="C45" s="25"/>
      <c r="D45" s="25"/>
      <c r="E45" s="22" t="s">
        <v>347</v>
      </c>
    </row>
    <row r="46" spans="1:5" x14ac:dyDescent="0.35">
      <c r="A46" s="95" t="s">
        <v>348</v>
      </c>
      <c r="B46" s="96">
        <v>9821.5</v>
      </c>
      <c r="C46" s="25"/>
      <c r="D46" s="25"/>
      <c r="E46" s="22" t="s">
        <v>349</v>
      </c>
    </row>
    <row r="47" spans="1:5" x14ac:dyDescent="0.35">
      <c r="A47" s="94" t="s">
        <v>350</v>
      </c>
      <c r="B47" s="27"/>
      <c r="C47" s="25"/>
      <c r="D47" s="25"/>
      <c r="E47" s="23" t="s">
        <v>351</v>
      </c>
    </row>
    <row r="48" spans="1:5" x14ac:dyDescent="0.35">
      <c r="A48" s="95" t="s">
        <v>352</v>
      </c>
      <c r="B48" s="96">
        <v>13</v>
      </c>
      <c r="C48" s="25"/>
      <c r="D48" s="25"/>
      <c r="E48" s="25"/>
    </row>
    <row r="49" spans="1:2" x14ac:dyDescent="0.35">
      <c r="A49" s="97" t="s">
        <v>353</v>
      </c>
      <c r="B49" s="98">
        <v>5200</v>
      </c>
    </row>
  </sheetData>
  <mergeCells count="1">
    <mergeCell ref="A36:B36"/>
  </mergeCells>
  <phoneticPr fontId="15" type="noConversion"/>
  <dataValidations count="1">
    <dataValidation type="list" allowBlank="1" showInputMessage="1" showErrorMessage="1" sqref="A7" xr:uid="{00000000-0002-0000-0800-000000000000}">
      <formula1>IOUs</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1"/>
  <sheetViews>
    <sheetView showGridLines="0" zoomScaleNormal="100" workbookViewId="0">
      <pane xSplit="3" ySplit="6" topLeftCell="D7" activePane="bottomRight" state="frozen"/>
      <selection pane="topRight" activeCell="D1" sqref="D1"/>
      <selection pane="bottomLeft" activeCell="A6" sqref="A6"/>
      <selection pane="bottomRight"/>
    </sheetView>
  </sheetViews>
  <sheetFormatPr defaultColWidth="8.69140625" defaultRowHeight="15.5" x14ac:dyDescent="0.35"/>
  <cols>
    <col min="1" max="1" width="8.69140625" style="31" customWidth="1"/>
    <col min="2" max="2" width="29.765625" style="36" bestFit="1" customWidth="1"/>
    <col min="3" max="3" width="5.84375" style="36" bestFit="1" customWidth="1"/>
    <col min="4" max="4" width="42.69140625" style="36" customWidth="1"/>
    <col min="5" max="5" width="21.765625" style="36" customWidth="1"/>
    <col min="6" max="6" width="15.23046875" style="36" customWidth="1"/>
    <col min="7" max="7" width="20.07421875" style="31" customWidth="1"/>
    <col min="8" max="8" width="23.765625" style="31" customWidth="1"/>
    <col min="9" max="9" width="19.23046875" style="31" customWidth="1"/>
    <col min="10" max="10" width="14.69140625" style="31" customWidth="1"/>
    <col min="11" max="13" width="14.53515625" style="31" customWidth="1"/>
    <col min="14" max="14" width="10.53515625" style="31" customWidth="1"/>
    <col min="15" max="15" width="18.3046875" style="31" customWidth="1"/>
    <col min="16" max="16" width="25.765625" style="31" bestFit="1" customWidth="1"/>
    <col min="17" max="17" width="45" style="31" customWidth="1"/>
    <col min="18" max="19" width="8.07421875" style="31" customWidth="1"/>
    <col min="20" max="20" width="15.23046875" style="31" customWidth="1"/>
    <col min="21" max="21" width="23" style="31" customWidth="1"/>
    <col min="22" max="25" width="8.69140625" style="31" customWidth="1"/>
    <col min="26" max="26" width="8.69140625" style="31"/>
    <col min="27" max="27" width="8.69140625" style="31" hidden="1" customWidth="1"/>
    <col min="28" max="16384" width="8.69140625" style="31"/>
  </cols>
  <sheetData>
    <row r="1" spans="1:33" ht="28.5" x14ac:dyDescent="0.35">
      <c r="A1" s="233" t="s">
        <v>5</v>
      </c>
    </row>
    <row r="2" spans="1:33" ht="21" x14ac:dyDescent="0.35">
      <c r="A2" s="32" t="s">
        <v>1</v>
      </c>
      <c r="B2" s="33"/>
      <c r="C2" s="33"/>
      <c r="D2" s="33"/>
      <c r="E2" s="33"/>
      <c r="F2" s="33"/>
      <c r="G2" s="89"/>
      <c r="H2" s="34"/>
      <c r="I2" s="35"/>
      <c r="J2" s="35"/>
      <c r="K2" s="35"/>
      <c r="L2" s="35"/>
      <c r="M2" s="35"/>
      <c r="N2" s="35"/>
      <c r="O2" s="35"/>
      <c r="P2" s="35"/>
      <c r="Q2" s="35"/>
      <c r="R2" s="35"/>
      <c r="S2" s="35"/>
      <c r="T2" s="89"/>
      <c r="U2" s="89"/>
      <c r="V2" s="89"/>
      <c r="W2" s="89"/>
      <c r="X2" s="89"/>
      <c r="Y2" s="89"/>
      <c r="Z2" s="89"/>
      <c r="AA2" s="89"/>
      <c r="AB2" s="37"/>
      <c r="AC2" s="89"/>
      <c r="AD2" s="89"/>
      <c r="AE2" s="89"/>
      <c r="AF2" s="89"/>
      <c r="AG2" s="89"/>
    </row>
    <row r="3" spans="1:33" x14ac:dyDescent="0.35">
      <c r="A3" s="176" t="s">
        <v>2</v>
      </c>
      <c r="B3" s="177" t="str">
        <f>Instructions!$C$9</f>
        <v>SRO2</v>
      </c>
      <c r="C3" s="29"/>
      <c r="D3" s="29"/>
      <c r="E3" s="29"/>
      <c r="F3" s="29"/>
      <c r="G3" s="30"/>
      <c r="H3" s="30"/>
      <c r="I3" s="30"/>
      <c r="J3" s="30"/>
      <c r="K3" s="30"/>
      <c r="L3" s="30"/>
      <c r="M3" s="30"/>
      <c r="N3" s="30"/>
      <c r="O3" s="30"/>
      <c r="P3" s="30"/>
      <c r="Q3" s="30"/>
      <c r="R3" s="30"/>
      <c r="S3" s="30"/>
      <c r="T3" s="30"/>
      <c r="U3" s="30"/>
      <c r="V3" s="30"/>
      <c r="W3" s="30"/>
      <c r="X3" s="30"/>
      <c r="Y3" s="30"/>
      <c r="Z3" s="30"/>
      <c r="AA3" s="30"/>
      <c r="AB3" s="37"/>
      <c r="AC3" s="30"/>
      <c r="AD3" s="30"/>
      <c r="AE3" s="30"/>
      <c r="AF3" s="30"/>
      <c r="AG3" s="30"/>
    </row>
    <row r="4" spans="1:33" ht="16" thickBot="1" x14ac:dyDescent="0.4">
      <c r="A4" s="176" t="s">
        <v>4</v>
      </c>
      <c r="B4" s="216">
        <f>Instructions!$C$10</f>
        <v>0</v>
      </c>
      <c r="D4" s="29"/>
      <c r="E4" s="29"/>
      <c r="F4" s="29"/>
      <c r="G4" s="30"/>
      <c r="H4" s="30"/>
      <c r="I4" s="30"/>
      <c r="J4" s="30"/>
      <c r="K4" s="30"/>
      <c r="L4" s="30"/>
      <c r="M4" s="30"/>
      <c r="N4" s="30"/>
      <c r="O4" s="30"/>
      <c r="P4" s="30"/>
      <c r="Q4" s="30"/>
      <c r="R4" s="30"/>
      <c r="S4" s="30"/>
      <c r="T4" s="30"/>
      <c r="U4" s="30"/>
      <c r="V4" s="30"/>
      <c r="W4" s="30"/>
      <c r="X4" s="30"/>
      <c r="Y4" s="30"/>
      <c r="Z4" s="30"/>
      <c r="AA4" s="30"/>
      <c r="AB4" s="37"/>
      <c r="AC4" s="30"/>
      <c r="AD4" s="30"/>
      <c r="AE4" s="30"/>
      <c r="AF4" s="30"/>
      <c r="AG4" s="30"/>
    </row>
    <row r="5" spans="1:33" ht="16" thickBot="1" x14ac:dyDescent="0.4">
      <c r="M5" s="50" t="s">
        <v>6</v>
      </c>
      <c r="U5" s="324" t="s">
        <v>7</v>
      </c>
      <c r="V5" s="416" t="s">
        <v>8</v>
      </c>
      <c r="W5" s="417"/>
      <c r="X5" s="417"/>
      <c r="Y5" s="417"/>
      <c r="Z5" s="418"/>
      <c r="AB5" s="37"/>
    </row>
    <row r="6" spans="1:33" s="37" customFormat="1" ht="58.5" thickBot="1" x14ac:dyDescent="0.4">
      <c r="A6" s="324" t="s">
        <v>9</v>
      </c>
      <c r="B6" s="321" t="s">
        <v>10</v>
      </c>
      <c r="C6" s="321" t="s">
        <v>11</v>
      </c>
      <c r="D6" s="321" t="s">
        <v>12</v>
      </c>
      <c r="E6" s="321" t="s">
        <v>13</v>
      </c>
      <c r="F6" s="321" t="s">
        <v>14</v>
      </c>
      <c r="G6" s="321" t="s">
        <v>15</v>
      </c>
      <c r="H6" s="321" t="s">
        <v>16</v>
      </c>
      <c r="I6" s="321" t="s">
        <v>17</v>
      </c>
      <c r="J6" s="325" t="s">
        <v>18</v>
      </c>
      <c r="K6" s="316" t="s">
        <v>19</v>
      </c>
      <c r="L6" s="321" t="s">
        <v>20</v>
      </c>
      <c r="M6" s="315" t="s">
        <v>21</v>
      </c>
      <c r="N6" s="324" t="s">
        <v>22</v>
      </c>
      <c r="O6" s="321" t="s">
        <v>23</v>
      </c>
      <c r="P6" s="321" t="s">
        <v>24</v>
      </c>
      <c r="Q6" s="314" t="s">
        <v>25</v>
      </c>
      <c r="R6" s="50" t="s">
        <v>26</v>
      </c>
      <c r="S6" s="50" t="s">
        <v>27</v>
      </c>
      <c r="T6" s="324" t="s">
        <v>28</v>
      </c>
      <c r="U6" s="316" t="s">
        <v>29</v>
      </c>
      <c r="V6" s="321" t="s">
        <v>30</v>
      </c>
      <c r="W6" s="313" t="s">
        <v>31</v>
      </c>
      <c r="X6" s="313" t="s">
        <v>32</v>
      </c>
      <c r="Y6" s="313" t="s">
        <v>33</v>
      </c>
      <c r="Z6" s="325" t="s">
        <v>34</v>
      </c>
      <c r="AA6" s="50" t="s">
        <v>35</v>
      </c>
    </row>
    <row r="7" spans="1:33" s="37" customFormat="1" ht="15" customHeight="1" x14ac:dyDescent="0.35">
      <c r="A7" s="335">
        <v>1</v>
      </c>
      <c r="B7" s="336" t="s">
        <v>36</v>
      </c>
      <c r="C7" s="337" t="s">
        <v>37</v>
      </c>
      <c r="D7" s="338" t="s">
        <v>38</v>
      </c>
      <c r="E7" s="339" t="s">
        <v>39</v>
      </c>
      <c r="F7" s="337">
        <v>50612077</v>
      </c>
      <c r="G7" s="161" t="s">
        <v>40</v>
      </c>
      <c r="H7" s="161" t="s">
        <v>41</v>
      </c>
      <c r="I7" s="161" t="s">
        <v>42</v>
      </c>
      <c r="J7" s="162" t="s">
        <v>43</v>
      </c>
      <c r="K7" s="163">
        <v>406200.00009499968</v>
      </c>
      <c r="L7" s="138">
        <f t="shared" ref="L7:L13" si="0">ROUND(0.9*K7,-3)</f>
        <v>366000</v>
      </c>
      <c r="M7" s="234">
        <v>231.89825500000001</v>
      </c>
      <c r="N7" s="210" t="s">
        <v>44</v>
      </c>
      <c r="O7" s="309" t="s">
        <v>45</v>
      </c>
      <c r="P7" s="340"/>
      <c r="Q7" s="341"/>
      <c r="R7" s="342" t="s">
        <v>46</v>
      </c>
      <c r="S7" s="342">
        <v>20</v>
      </c>
      <c r="T7" s="210" t="s">
        <v>47</v>
      </c>
      <c r="U7" s="250" t="s">
        <v>48</v>
      </c>
      <c r="V7" s="309"/>
      <c r="W7" s="343"/>
      <c r="X7" s="343"/>
      <c r="Y7" s="343"/>
      <c r="Z7" s="344"/>
      <c r="AA7" s="342" t="s">
        <v>49</v>
      </c>
    </row>
    <row r="8" spans="1:33" s="37" customFormat="1" ht="15" customHeight="1" x14ac:dyDescent="0.35">
      <c r="A8" s="335">
        <f t="shared" ref="A8:A13" si="1">A7+1</f>
        <v>2</v>
      </c>
      <c r="B8" s="336" t="s">
        <v>50</v>
      </c>
      <c r="C8" s="337" t="s">
        <v>51</v>
      </c>
      <c r="D8" s="338" t="s">
        <v>52</v>
      </c>
      <c r="E8" s="339" t="s">
        <v>53</v>
      </c>
      <c r="F8" s="337">
        <v>8004194714</v>
      </c>
      <c r="G8" s="161" t="s">
        <v>54</v>
      </c>
      <c r="H8" s="161" t="s">
        <v>55</v>
      </c>
      <c r="I8" s="161" t="s">
        <v>56</v>
      </c>
      <c r="J8" s="162" t="s">
        <v>43</v>
      </c>
      <c r="K8" s="163">
        <v>2961747.0012000874</v>
      </c>
      <c r="L8" s="138">
        <f t="shared" si="0"/>
        <v>2666000</v>
      </c>
      <c r="M8" s="234">
        <v>420</v>
      </c>
      <c r="N8" s="210" t="s">
        <v>44</v>
      </c>
      <c r="O8" s="309" t="s">
        <v>45</v>
      </c>
      <c r="P8" s="340"/>
      <c r="Q8" s="341"/>
      <c r="R8" s="342" t="s">
        <v>46</v>
      </c>
      <c r="S8" s="342">
        <v>20</v>
      </c>
      <c r="T8" s="210" t="s">
        <v>57</v>
      </c>
      <c r="U8" s="250" t="s">
        <v>58</v>
      </c>
      <c r="V8" s="309">
        <v>700</v>
      </c>
      <c r="W8" s="343">
        <v>792</v>
      </c>
      <c r="X8" s="343">
        <v>717.66337499999997</v>
      </c>
      <c r="Y8" s="343">
        <v>928</v>
      </c>
      <c r="Z8" s="344">
        <v>280</v>
      </c>
      <c r="AA8" s="342" t="s">
        <v>49</v>
      </c>
    </row>
    <row r="9" spans="1:33" s="37" customFormat="1" ht="15" customHeight="1" x14ac:dyDescent="0.35">
      <c r="A9" s="335">
        <f t="shared" si="1"/>
        <v>3</v>
      </c>
      <c r="B9" s="336" t="s">
        <v>59</v>
      </c>
      <c r="C9" s="337" t="s">
        <v>60</v>
      </c>
      <c r="D9" s="338" t="s">
        <v>61</v>
      </c>
      <c r="E9" s="339" t="s">
        <v>62</v>
      </c>
      <c r="F9" s="337" t="s">
        <v>63</v>
      </c>
      <c r="G9" s="161" t="s">
        <v>64</v>
      </c>
      <c r="H9" s="161" t="s">
        <v>65</v>
      </c>
      <c r="I9" s="161" t="s">
        <v>65</v>
      </c>
      <c r="J9" s="162" t="s">
        <v>43</v>
      </c>
      <c r="K9" s="163">
        <v>1137000</v>
      </c>
      <c r="L9" s="138">
        <f t="shared" si="0"/>
        <v>1023000</v>
      </c>
      <c r="M9" s="234">
        <v>287.89617999999996</v>
      </c>
      <c r="N9" s="210" t="s">
        <v>44</v>
      </c>
      <c r="O9" s="309" t="s">
        <v>45</v>
      </c>
      <c r="P9" s="340"/>
      <c r="Q9" s="341"/>
      <c r="R9" s="342" t="s">
        <v>66</v>
      </c>
      <c r="S9" s="342">
        <v>20</v>
      </c>
      <c r="T9" s="210" t="s">
        <v>47</v>
      </c>
      <c r="U9" s="250" t="s">
        <v>48</v>
      </c>
      <c r="V9" s="309"/>
      <c r="W9" s="343"/>
      <c r="X9" s="343"/>
      <c r="Y9" s="343"/>
      <c r="Z9" s="344"/>
      <c r="AA9" s="342" t="s">
        <v>49</v>
      </c>
    </row>
    <row r="10" spans="1:33" s="37" customFormat="1" ht="15" customHeight="1" x14ac:dyDescent="0.35">
      <c r="A10" s="335">
        <f t="shared" si="1"/>
        <v>4</v>
      </c>
      <c r="B10" s="336" t="s">
        <v>67</v>
      </c>
      <c r="C10" s="337" t="s">
        <v>68</v>
      </c>
      <c r="D10" s="338" t="s">
        <v>69</v>
      </c>
      <c r="E10" s="339" t="s">
        <v>53</v>
      </c>
      <c r="F10" s="337">
        <v>8004862590</v>
      </c>
      <c r="G10" s="161" t="s">
        <v>70</v>
      </c>
      <c r="H10" s="161" t="s">
        <v>71</v>
      </c>
      <c r="I10" s="161" t="s">
        <v>72</v>
      </c>
      <c r="J10" s="162" t="s">
        <v>43</v>
      </c>
      <c r="K10" s="163">
        <v>3007750.2011999991</v>
      </c>
      <c r="L10" s="138">
        <f t="shared" si="0"/>
        <v>2707000</v>
      </c>
      <c r="M10" s="234">
        <v>420</v>
      </c>
      <c r="N10" s="210" t="s">
        <v>44</v>
      </c>
      <c r="O10" s="309" t="s">
        <v>45</v>
      </c>
      <c r="P10" s="340"/>
      <c r="Q10" s="341"/>
      <c r="R10" s="342" t="s">
        <v>46</v>
      </c>
      <c r="S10" s="342">
        <v>20</v>
      </c>
      <c r="T10" s="210" t="s">
        <v>57</v>
      </c>
      <c r="U10" s="250" t="s">
        <v>58</v>
      </c>
      <c r="V10" s="309">
        <v>700</v>
      </c>
      <c r="W10" s="343">
        <v>792.95999999999992</v>
      </c>
      <c r="X10" s="343">
        <v>718.5332699999999</v>
      </c>
      <c r="Y10" s="343">
        <v>928</v>
      </c>
      <c r="Z10" s="344">
        <v>280</v>
      </c>
      <c r="AA10" s="342" t="s">
        <v>49</v>
      </c>
    </row>
    <row r="11" spans="1:33" s="37" customFormat="1" ht="15" customHeight="1" x14ac:dyDescent="0.35">
      <c r="A11" s="335">
        <f t="shared" si="1"/>
        <v>5</v>
      </c>
      <c r="B11" s="336" t="s">
        <v>73</v>
      </c>
      <c r="C11" s="337" t="s">
        <v>74</v>
      </c>
      <c r="D11" s="338" t="s">
        <v>75</v>
      </c>
      <c r="E11" s="339" t="s">
        <v>76</v>
      </c>
      <c r="F11" s="337" t="s">
        <v>77</v>
      </c>
      <c r="G11" s="161" t="s">
        <v>78</v>
      </c>
      <c r="H11" s="161" t="s">
        <v>79</v>
      </c>
      <c r="I11" s="161" t="s">
        <v>80</v>
      </c>
      <c r="J11" s="162" t="s">
        <v>43</v>
      </c>
      <c r="K11" s="163">
        <v>573530.27999998711</v>
      </c>
      <c r="L11" s="138">
        <f t="shared" si="0"/>
        <v>516000</v>
      </c>
      <c r="M11" s="234">
        <v>210</v>
      </c>
      <c r="N11" s="210" t="s">
        <v>49</v>
      </c>
      <c r="O11" s="309">
        <v>0</v>
      </c>
      <c r="P11" s="340" t="s">
        <v>81</v>
      </c>
      <c r="Q11" s="341"/>
      <c r="R11" s="342" t="s">
        <v>46</v>
      </c>
      <c r="S11" s="342">
        <v>20</v>
      </c>
      <c r="T11" s="210" t="s">
        <v>57</v>
      </c>
      <c r="U11" s="250" t="s">
        <v>58</v>
      </c>
      <c r="V11" s="309">
        <v>350</v>
      </c>
      <c r="W11" s="343">
        <v>342.71999999999997</v>
      </c>
      <c r="X11" s="343">
        <v>310.55251499999997</v>
      </c>
      <c r="Y11" s="343">
        <v>464</v>
      </c>
      <c r="Z11" s="344">
        <v>140</v>
      </c>
      <c r="AA11" s="342" t="s">
        <v>49</v>
      </c>
    </row>
    <row r="12" spans="1:33" s="37" customFormat="1" ht="15" customHeight="1" x14ac:dyDescent="0.35">
      <c r="A12" s="345">
        <f t="shared" si="1"/>
        <v>6</v>
      </c>
      <c r="B12" s="346" t="s">
        <v>82</v>
      </c>
      <c r="C12" s="347" t="s">
        <v>83</v>
      </c>
      <c r="D12" s="348" t="s">
        <v>84</v>
      </c>
      <c r="E12" s="349" t="s">
        <v>85</v>
      </c>
      <c r="F12" s="347" t="s">
        <v>86</v>
      </c>
      <c r="G12" s="164" t="s">
        <v>87</v>
      </c>
      <c r="H12" s="164" t="s">
        <v>79</v>
      </c>
      <c r="I12" s="164" t="s">
        <v>80</v>
      </c>
      <c r="J12" s="165" t="s">
        <v>43</v>
      </c>
      <c r="K12" s="163">
        <v>3757483.6499999841</v>
      </c>
      <c r="L12" s="138">
        <f t="shared" si="0"/>
        <v>3382000</v>
      </c>
      <c r="M12" s="235">
        <v>630</v>
      </c>
      <c r="N12" s="210" t="s">
        <v>44</v>
      </c>
      <c r="O12" s="309" t="s">
        <v>45</v>
      </c>
      <c r="P12" s="340"/>
      <c r="Q12" s="350"/>
      <c r="R12" s="342" t="s">
        <v>46</v>
      </c>
      <c r="S12" s="342">
        <v>20</v>
      </c>
      <c r="T12" s="210" t="s">
        <v>57</v>
      </c>
      <c r="U12" s="250" t="s">
        <v>58</v>
      </c>
      <c r="V12" s="309">
        <v>550</v>
      </c>
      <c r="W12" s="343">
        <v>590.88</v>
      </c>
      <c r="X12" s="343">
        <v>535.42037249999998</v>
      </c>
      <c r="Y12" s="343">
        <v>1392</v>
      </c>
      <c r="Z12" s="344">
        <v>420</v>
      </c>
      <c r="AA12" s="342" t="s">
        <v>49</v>
      </c>
    </row>
    <row r="13" spans="1:33" s="37" customFormat="1" ht="15" customHeight="1" thickBot="1" x14ac:dyDescent="0.4">
      <c r="A13" s="351">
        <f t="shared" si="1"/>
        <v>7</v>
      </c>
      <c r="B13" s="352" t="s">
        <v>88</v>
      </c>
      <c r="C13" s="353" t="s">
        <v>89</v>
      </c>
      <c r="D13" s="354" t="s">
        <v>90</v>
      </c>
      <c r="E13" s="355" t="s">
        <v>53</v>
      </c>
      <c r="F13" s="356">
        <v>700540438271</v>
      </c>
      <c r="G13" s="137" t="s">
        <v>91</v>
      </c>
      <c r="H13" s="137" t="s">
        <v>92</v>
      </c>
      <c r="I13" s="169" t="s">
        <v>93</v>
      </c>
      <c r="J13" s="166" t="s">
        <v>43</v>
      </c>
      <c r="K13" s="167">
        <v>563039.04099999776</v>
      </c>
      <c r="L13" s="168">
        <f t="shared" si="0"/>
        <v>507000</v>
      </c>
      <c r="M13" s="170">
        <v>324.96000000000004</v>
      </c>
      <c r="N13" s="357" t="s">
        <v>49</v>
      </c>
      <c r="O13" s="358">
        <v>0</v>
      </c>
      <c r="P13" s="359" t="s">
        <v>94</v>
      </c>
      <c r="Q13" s="360"/>
      <c r="R13" s="361" t="s">
        <v>46</v>
      </c>
      <c r="S13" s="361">
        <v>20</v>
      </c>
      <c r="T13" s="357" t="s">
        <v>57</v>
      </c>
      <c r="U13" s="362" t="s">
        <v>58</v>
      </c>
      <c r="V13" s="168">
        <v>100</v>
      </c>
      <c r="W13" s="310">
        <v>108.96</v>
      </c>
      <c r="X13" s="310">
        <v>98.733082500000009</v>
      </c>
      <c r="Y13" s="310">
        <v>1160</v>
      </c>
      <c r="Z13" s="170">
        <v>350</v>
      </c>
      <c r="AA13" s="361" t="s">
        <v>49</v>
      </c>
    </row>
    <row r="14" spans="1:33" s="38" customFormat="1" ht="16" thickBot="1" x14ac:dyDescent="0.4">
      <c r="A14" s="183"/>
      <c r="B14" s="184"/>
      <c r="C14" s="184"/>
      <c r="D14" s="184"/>
      <c r="E14" s="184"/>
      <c r="F14" s="184"/>
      <c r="G14" s="183"/>
      <c r="H14" s="183"/>
      <c r="I14" s="183"/>
      <c r="J14" s="182" t="s">
        <v>95</v>
      </c>
      <c r="K14" s="185">
        <f>SUMIFS(K$7:K$13,$AA$7:$AA$13,"Yes")</f>
        <v>12406750.173495054</v>
      </c>
      <c r="L14" s="186">
        <f>SUMIFS(L$7:L$13,$AA$7:$AA$13,"Yes")</f>
        <v>11167000</v>
      </c>
      <c r="M14" s="187">
        <f>SUMIFS(M$7:M$13,$AA$7:$AA$13,"Yes")</f>
        <v>2524.7544349999998</v>
      </c>
      <c r="N14" s="188"/>
      <c r="O14" s="189"/>
      <c r="P14" s="189"/>
      <c r="Q14" s="189"/>
      <c r="R14" s="189"/>
      <c r="S14" s="183"/>
      <c r="T14" s="183"/>
      <c r="U14" s="183"/>
      <c r="V14" s="183"/>
      <c r="W14" s="183"/>
      <c r="X14" s="183"/>
      <c r="Y14" s="183"/>
      <c r="Z14" s="183"/>
      <c r="AA14" s="183"/>
    </row>
    <row r="15" spans="1:33" s="38" customFormat="1" x14ac:dyDescent="0.35">
      <c r="A15" s="76" t="s">
        <v>96</v>
      </c>
      <c r="B15" s="39"/>
      <c r="C15" s="39"/>
      <c r="D15" s="39"/>
      <c r="E15" s="39"/>
      <c r="F15" s="39"/>
      <c r="M15" s="37"/>
      <c r="N15" s="31"/>
      <c r="O15" s="31"/>
      <c r="P15" s="31"/>
      <c r="Q15" s="31"/>
      <c r="R15" s="31"/>
    </row>
    <row r="16" spans="1:33" x14ac:dyDescent="0.35">
      <c r="A16" s="211" t="s">
        <v>97</v>
      </c>
      <c r="F16" s="31"/>
      <c r="G16" s="40"/>
      <c r="H16" s="41"/>
      <c r="I16" s="312"/>
      <c r="M16" s="37"/>
    </row>
    <row r="17" spans="1:11" x14ac:dyDescent="0.35">
      <c r="A17" s="211" t="s">
        <v>98</v>
      </c>
      <c r="F17" s="31"/>
      <c r="G17" s="40"/>
      <c r="H17" s="41"/>
      <c r="I17" s="312"/>
    </row>
    <row r="18" spans="1:11" x14ac:dyDescent="0.35">
      <c r="A18" s="211" t="s">
        <v>99</v>
      </c>
      <c r="F18" s="31"/>
      <c r="G18" s="40"/>
      <c r="H18" s="41"/>
      <c r="I18" s="312"/>
    </row>
    <row r="19" spans="1:11" x14ac:dyDescent="0.35">
      <c r="A19" s="211"/>
      <c r="F19" s="31"/>
      <c r="G19" s="40"/>
      <c r="H19" s="41"/>
      <c r="I19" s="312"/>
      <c r="K19" s="312"/>
    </row>
    <row r="20" spans="1:11" x14ac:dyDescent="0.35">
      <c r="A20" s="211"/>
      <c r="F20" s="31"/>
      <c r="G20" s="40"/>
      <c r="H20" s="41"/>
      <c r="I20" s="312"/>
      <c r="K20" s="312"/>
    </row>
    <row r="21" spans="1:11" x14ac:dyDescent="0.35">
      <c r="A21" s="211"/>
      <c r="F21" s="31"/>
      <c r="G21" s="40"/>
      <c r="H21" s="41"/>
      <c r="I21" s="312"/>
      <c r="K21" s="312"/>
    </row>
    <row r="22" spans="1:11" x14ac:dyDescent="0.35">
      <c r="F22" s="31"/>
      <c r="G22" s="40"/>
      <c r="H22" s="41"/>
      <c r="I22" s="312"/>
      <c r="K22" s="312"/>
    </row>
    <row r="23" spans="1:11" x14ac:dyDescent="0.35">
      <c r="F23" s="31"/>
      <c r="G23" s="40"/>
      <c r="H23" s="41"/>
      <c r="I23" s="312"/>
      <c r="K23" s="312"/>
    </row>
    <row r="24" spans="1:11" x14ac:dyDescent="0.35">
      <c r="F24" s="31"/>
      <c r="G24" s="40"/>
      <c r="H24" s="41"/>
      <c r="I24" s="312"/>
      <c r="K24" s="312"/>
    </row>
    <row r="25" spans="1:11" x14ac:dyDescent="0.35">
      <c r="F25" s="31"/>
      <c r="G25" s="40"/>
      <c r="H25" s="41"/>
      <c r="I25" s="312"/>
      <c r="K25" s="312"/>
    </row>
    <row r="26" spans="1:11" x14ac:dyDescent="0.35">
      <c r="F26" s="31"/>
      <c r="G26" s="40"/>
      <c r="H26" s="41"/>
      <c r="I26" s="312"/>
      <c r="K26" s="312"/>
    </row>
    <row r="27" spans="1:11" x14ac:dyDescent="0.35">
      <c r="F27" s="31"/>
      <c r="G27" s="40"/>
      <c r="H27" s="41"/>
      <c r="I27" s="312"/>
      <c r="K27" s="312"/>
    </row>
    <row r="28" spans="1:11" x14ac:dyDescent="0.35">
      <c r="F28" s="31"/>
      <c r="G28" s="40"/>
      <c r="H28" s="41"/>
      <c r="I28" s="415"/>
      <c r="K28" s="312"/>
    </row>
    <row r="29" spans="1:11" x14ac:dyDescent="0.35">
      <c r="F29" s="31"/>
      <c r="G29" s="40"/>
      <c r="H29" s="41"/>
      <c r="I29" s="415"/>
      <c r="K29" s="312"/>
    </row>
    <row r="30" spans="1:11" x14ac:dyDescent="0.35">
      <c r="F30" s="31"/>
      <c r="G30" s="40"/>
      <c r="H30" s="41"/>
      <c r="I30" s="415"/>
      <c r="K30" s="312"/>
    </row>
    <row r="31" spans="1:11" x14ac:dyDescent="0.35">
      <c r="F31" s="31"/>
      <c r="G31" s="42"/>
      <c r="H31" s="312"/>
      <c r="I31" s="415"/>
      <c r="K31" s="312"/>
    </row>
    <row r="32" spans="1:11" x14ac:dyDescent="0.35">
      <c r="F32" s="31"/>
      <c r="G32" s="42"/>
      <c r="H32" s="312"/>
      <c r="I32" s="312"/>
      <c r="K32" s="312"/>
    </row>
    <row r="33" spans="6:11" x14ac:dyDescent="0.35">
      <c r="F33" s="31"/>
      <c r="G33" s="42"/>
      <c r="H33" s="312"/>
      <c r="I33" s="312"/>
      <c r="K33" s="312"/>
    </row>
    <row r="34" spans="6:11" x14ac:dyDescent="0.35">
      <c r="F34" s="31"/>
      <c r="G34" s="42"/>
      <c r="H34" s="312"/>
      <c r="I34" s="312"/>
      <c r="K34" s="312"/>
    </row>
    <row r="35" spans="6:11" x14ac:dyDescent="0.35">
      <c r="F35" s="31"/>
      <c r="G35" s="42"/>
      <c r="H35" s="312"/>
      <c r="I35" s="312"/>
      <c r="K35" s="312"/>
    </row>
    <row r="36" spans="6:11" x14ac:dyDescent="0.35">
      <c r="F36" s="31"/>
      <c r="G36" s="42"/>
      <c r="H36" s="312"/>
      <c r="I36" s="312"/>
      <c r="K36" s="312"/>
    </row>
    <row r="37" spans="6:11" x14ac:dyDescent="0.35">
      <c r="F37" s="31"/>
      <c r="G37" s="42"/>
      <c r="H37" s="312"/>
      <c r="I37" s="312"/>
      <c r="K37" s="312"/>
    </row>
    <row r="38" spans="6:11" x14ac:dyDescent="0.35">
      <c r="F38" s="31"/>
      <c r="G38" s="42"/>
      <c r="H38" s="312"/>
      <c r="I38" s="312"/>
      <c r="K38" s="312"/>
    </row>
    <row r="39" spans="6:11" x14ac:dyDescent="0.35">
      <c r="K39" s="312"/>
    </row>
    <row r="40" spans="6:11" x14ac:dyDescent="0.35">
      <c r="K40" s="312"/>
    </row>
    <row r="41" spans="6:11" x14ac:dyDescent="0.35">
      <c r="K41" s="312"/>
    </row>
  </sheetData>
  <sheetProtection algorithmName="SHA-512" hashValue="crOrUtUuwppRNvVRfanPu8Kw4VyCaGZjSl2YOVdw5eTJCzdyXhzIt6xkIndjLhl0O3LGOgmHU0I479wcanTzlQ==" saltValue="8iJ1X3IOAw6unPNLgEtvsg==" spinCount="100000" sheet="1" formatColumns="0" formatRows="0"/>
  <mergeCells count="3">
    <mergeCell ref="I28:I29"/>
    <mergeCell ref="I30:I31"/>
    <mergeCell ref="V5:Z5"/>
  </mergeCells>
  <phoneticPr fontId="15" type="noConversion"/>
  <conditionalFormatting sqref="A7:AA13">
    <cfRule type="expression" dxfId="41" priority="67">
      <formula>($AA7="No")</formula>
    </cfRule>
  </conditionalFormatting>
  <dataValidations count="1">
    <dataValidation type="list" allowBlank="1" showInputMessage="1" showErrorMessage="1" sqref="AA7:AA13" xr:uid="{A462CFEF-6ECA-43FA-B27E-C89E4923D984}">
      <formula1>"Yes,No"</formula1>
    </dataValidation>
  </dataValidations>
  <pageMargins left="0.7" right="0.7" top="0.75" bottom="0.75" header="0.3" footer="0.3"/>
  <pageSetup scale="38" fitToHeight="0" orientation="landscape" r:id="rId1"/>
  <headerFooter>
    <oddFooter>&amp;L&amp;K000000&amp;D&amp;R&amp;10&amp;K000000&amp;A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99"/>
  </sheetPr>
  <dimension ref="A1:X22"/>
  <sheetViews>
    <sheetView showGridLines="0" zoomScaleNormal="100" workbookViewId="0">
      <selection sqref="A1:L1"/>
    </sheetView>
  </sheetViews>
  <sheetFormatPr defaultColWidth="8.69140625" defaultRowHeight="14.5" x14ac:dyDescent="0.35"/>
  <cols>
    <col min="1" max="1" width="14.4609375" style="2" customWidth="1"/>
    <col min="2" max="2" width="6.53515625" style="2" customWidth="1"/>
    <col min="3" max="3" width="16.765625" style="2" customWidth="1"/>
    <col min="4" max="4" width="6.23046875" style="2" bestFit="1" customWidth="1"/>
    <col min="5" max="5" width="6.23046875" style="2" hidden="1" customWidth="1"/>
    <col min="6" max="11" width="13" style="2" customWidth="1"/>
    <col min="12" max="16" width="14.07421875" style="5" customWidth="1"/>
    <col min="17" max="20" width="14.07421875" style="2" customWidth="1"/>
    <col min="21" max="23" width="8.69140625" style="2"/>
    <col min="24" max="24" width="8.69140625" style="2" customWidth="1"/>
    <col min="25" max="25" width="9.23046875" style="2" bestFit="1" customWidth="1"/>
    <col min="26" max="16384" width="8.69140625" style="2"/>
  </cols>
  <sheetData>
    <row r="1" spans="1:24" s="49" customFormat="1" ht="72" customHeight="1" x14ac:dyDescent="0.35">
      <c r="A1" s="419" t="s">
        <v>100</v>
      </c>
      <c r="B1" s="419"/>
      <c r="C1" s="419"/>
      <c r="D1" s="419"/>
      <c r="E1" s="419"/>
      <c r="F1" s="419"/>
      <c r="G1" s="419"/>
      <c r="H1" s="419"/>
      <c r="I1" s="419"/>
      <c r="J1" s="419"/>
      <c r="K1" s="419"/>
      <c r="L1" s="419"/>
      <c r="M1" s="48"/>
      <c r="N1" s="48"/>
      <c r="O1" s="48"/>
      <c r="P1" s="48"/>
      <c r="Q1" s="68"/>
      <c r="R1" s="68"/>
      <c r="S1" s="68"/>
      <c r="T1" s="68"/>
      <c r="U1" s="68"/>
      <c r="V1" s="68"/>
      <c r="W1" s="68"/>
      <c r="X1" s="68"/>
    </row>
    <row r="2" spans="1:24" s="8" customFormat="1" ht="30" customHeight="1" x14ac:dyDescent="0.25"/>
    <row r="3" spans="1:24" ht="28.5" x14ac:dyDescent="0.65">
      <c r="A3" s="9" t="s">
        <v>101</v>
      </c>
      <c r="B3" s="1"/>
      <c r="C3" s="1"/>
      <c r="D3" s="1"/>
      <c r="E3" s="1"/>
      <c r="F3" s="1"/>
      <c r="G3" s="1"/>
      <c r="H3" s="1"/>
      <c r="I3" s="1"/>
      <c r="J3" s="1"/>
      <c r="K3" s="1"/>
      <c r="L3" s="25"/>
      <c r="M3" s="25"/>
      <c r="N3" s="25"/>
      <c r="O3" s="25"/>
      <c r="P3" s="25"/>
      <c r="Q3" s="25"/>
      <c r="R3" s="25"/>
      <c r="S3" s="25"/>
      <c r="T3" s="25"/>
      <c r="U3" s="25"/>
      <c r="V3" s="25"/>
      <c r="W3" s="25"/>
      <c r="X3" s="25"/>
    </row>
    <row r="4" spans="1:24" ht="21" x14ac:dyDescent="0.5">
      <c r="A4" s="6" t="str">
        <f>Instructions!B7</f>
        <v>Proposed Price Form</v>
      </c>
      <c r="B4" s="1"/>
      <c r="C4" s="1"/>
      <c r="D4" s="1"/>
      <c r="E4" s="1"/>
      <c r="F4" s="25"/>
      <c r="G4" s="25"/>
      <c r="H4" s="25"/>
      <c r="I4" s="25"/>
      <c r="J4" s="25"/>
      <c r="K4" s="25"/>
      <c r="L4" s="25"/>
      <c r="M4" s="25"/>
      <c r="N4" s="25"/>
      <c r="O4" s="25"/>
      <c r="P4" s="25"/>
      <c r="Q4" s="25"/>
      <c r="R4" s="25"/>
      <c r="S4" s="25"/>
      <c r="T4" s="25"/>
      <c r="U4" s="25"/>
      <c r="V4" s="25"/>
      <c r="W4" s="25"/>
      <c r="X4" s="25"/>
    </row>
    <row r="5" spans="1:24" ht="15.5" x14ac:dyDescent="0.35">
      <c r="A5" s="3" t="str">
        <f>Instructions!$B$9</f>
        <v>Region:</v>
      </c>
      <c r="B5" s="3" t="str">
        <f>Instructions!$C$9</f>
        <v>SRO2</v>
      </c>
      <c r="C5" s="1"/>
      <c r="D5" s="1"/>
      <c r="E5" s="1"/>
      <c r="F5" s="25"/>
      <c r="G5" s="25"/>
      <c r="H5" s="25"/>
      <c r="I5" s="25"/>
      <c r="J5" s="25"/>
      <c r="K5" s="25"/>
      <c r="L5" s="25"/>
      <c r="M5" s="25"/>
      <c r="N5" s="25"/>
      <c r="O5" s="25"/>
      <c r="P5" s="25"/>
      <c r="Q5" s="25"/>
      <c r="R5" s="25"/>
      <c r="S5" s="25"/>
      <c r="T5" s="25"/>
      <c r="U5" s="25"/>
      <c r="V5" s="25"/>
      <c r="W5" s="25"/>
      <c r="X5" s="25"/>
    </row>
    <row r="6" spans="1:24" ht="26.25" customHeight="1" x14ac:dyDescent="0.35">
      <c r="A6" s="215" t="str">
        <f>Instructions!$B$10</f>
        <v>Proposer:</v>
      </c>
      <c r="B6" s="420">
        <f>Instructions!$C$10</f>
        <v>0</v>
      </c>
      <c r="C6" s="420"/>
      <c r="D6" s="420"/>
      <c r="E6" s="420"/>
      <c r="F6" s="420"/>
      <c r="G6" s="4"/>
      <c r="H6" s="4"/>
      <c r="I6" s="4"/>
      <c r="J6" s="25"/>
      <c r="K6" s="25"/>
      <c r="L6" s="25"/>
      <c r="M6" s="25"/>
      <c r="N6" s="25"/>
      <c r="O6" s="25"/>
      <c r="P6" s="25"/>
      <c r="Q6" s="25"/>
      <c r="R6" s="25"/>
      <c r="S6" s="25"/>
      <c r="T6" s="25"/>
      <c r="U6" s="25"/>
      <c r="V6" s="25"/>
      <c r="W6" s="25"/>
      <c r="X6" s="25"/>
    </row>
    <row r="7" spans="1:24" ht="22.5" customHeight="1" x14ac:dyDescent="0.35">
      <c r="A7" s="43"/>
      <c r="B7" s="43"/>
      <c r="C7" s="43"/>
      <c r="D7" s="43"/>
      <c r="E7" s="43"/>
      <c r="F7" s="43"/>
      <c r="G7" s="43"/>
      <c r="H7" s="43"/>
      <c r="I7" s="43"/>
      <c r="J7" s="43"/>
      <c r="K7" s="25"/>
      <c r="L7" s="25"/>
      <c r="M7" s="25"/>
      <c r="N7" s="25"/>
      <c r="O7" s="25"/>
      <c r="P7" s="25"/>
      <c r="Q7" s="25"/>
      <c r="R7" s="25"/>
      <c r="S7" s="25"/>
      <c r="T7" s="25"/>
      <c r="U7" s="25"/>
      <c r="V7" s="25"/>
      <c r="W7" s="25"/>
      <c r="X7" s="25"/>
    </row>
    <row r="8" spans="1:24" ht="15.5" x14ac:dyDescent="0.35">
      <c r="A8" s="421" t="s">
        <v>102</v>
      </c>
      <c r="B8" s="422"/>
      <c r="C8" s="422"/>
      <c r="D8" s="423"/>
      <c r="E8" s="25"/>
      <c r="F8" s="25"/>
      <c r="G8" s="25"/>
      <c r="H8" s="25"/>
      <c r="I8" s="25"/>
      <c r="J8" s="25"/>
      <c r="K8" s="25"/>
      <c r="L8" s="25"/>
      <c r="M8" s="25"/>
      <c r="N8" s="25"/>
      <c r="O8" s="25"/>
      <c r="P8" s="25"/>
      <c r="Q8" s="25"/>
      <c r="R8" s="25"/>
      <c r="S8" s="25"/>
      <c r="T8" s="25"/>
      <c r="U8" s="25"/>
      <c r="V8" s="25"/>
      <c r="W8" s="25"/>
      <c r="X8" s="25"/>
    </row>
    <row r="9" spans="1:24" ht="15.75" customHeight="1" x14ac:dyDescent="0.35">
      <c r="A9" s="424" t="s">
        <v>103</v>
      </c>
      <c r="B9" s="425"/>
      <c r="C9" s="426"/>
      <c r="D9" s="141"/>
      <c r="E9" s="25"/>
      <c r="F9" s="25"/>
      <c r="G9" s="25"/>
      <c r="H9" s="25"/>
      <c r="I9" s="25"/>
      <c r="J9" s="25"/>
      <c r="K9" s="25"/>
      <c r="L9" s="25"/>
      <c r="M9" s="25"/>
      <c r="N9" s="25"/>
      <c r="O9" s="25"/>
      <c r="P9" s="25"/>
      <c r="Q9" s="25"/>
      <c r="R9" s="25"/>
      <c r="S9" s="25"/>
      <c r="T9" s="25"/>
      <c r="U9" s="25"/>
      <c r="V9" s="25"/>
      <c r="W9" s="25"/>
      <c r="X9" s="25"/>
    </row>
    <row r="10" spans="1:24" ht="15.75" customHeight="1" thickBot="1" x14ac:dyDescent="0.4">
      <c r="A10" s="424" t="s">
        <v>104</v>
      </c>
      <c r="B10" s="425"/>
      <c r="C10" s="426"/>
      <c r="D10" s="142"/>
      <c r="E10" s="25"/>
      <c r="F10" s="25"/>
      <c r="G10" s="25"/>
      <c r="H10" s="25"/>
      <c r="I10" s="25"/>
      <c r="J10" s="25"/>
      <c r="K10" s="25"/>
      <c r="L10" s="25"/>
      <c r="M10" s="25"/>
      <c r="N10" s="25"/>
      <c r="O10" s="25"/>
      <c r="P10" s="25"/>
      <c r="Q10" s="25"/>
      <c r="R10" s="25"/>
      <c r="S10" s="25"/>
      <c r="T10" s="25"/>
      <c r="U10" s="25"/>
      <c r="V10" s="25"/>
      <c r="W10" s="25"/>
      <c r="X10" s="25"/>
    </row>
    <row r="11" spans="1:24" ht="21.5" thickBot="1" x14ac:dyDescent="0.4">
      <c r="A11" s="43"/>
      <c r="B11" s="43"/>
      <c r="C11" s="43"/>
      <c r="D11" s="43"/>
      <c r="E11" s="43"/>
      <c r="F11" s="43"/>
      <c r="G11" s="428" t="s">
        <v>105</v>
      </c>
      <c r="H11" s="429"/>
      <c r="I11" s="429"/>
      <c r="J11" s="430"/>
      <c r="K11" s="428" t="s">
        <v>106</v>
      </c>
      <c r="L11" s="429"/>
      <c r="M11" s="429"/>
      <c r="N11" s="429"/>
      <c r="O11" s="429"/>
      <c r="P11" s="429"/>
      <c r="Q11" s="429"/>
      <c r="R11" s="429"/>
      <c r="S11" s="429"/>
      <c r="T11" s="430"/>
      <c r="U11" s="25"/>
      <c r="V11" s="25"/>
      <c r="W11" s="25"/>
      <c r="X11" s="25"/>
    </row>
    <row r="12" spans="1:24" ht="21.5" thickBot="1" x14ac:dyDescent="0.4">
      <c r="A12" s="43"/>
      <c r="B12" s="43"/>
      <c r="C12" s="43"/>
      <c r="D12" s="43"/>
      <c r="E12" s="43"/>
      <c r="F12" s="43"/>
      <c r="G12" s="428" t="s">
        <v>107</v>
      </c>
      <c r="H12" s="429"/>
      <c r="I12" s="429"/>
      <c r="J12" s="430"/>
      <c r="K12" s="428" t="s">
        <v>107</v>
      </c>
      <c r="L12" s="429"/>
      <c r="M12" s="429"/>
      <c r="N12" s="430"/>
      <c r="O12" s="428" t="s">
        <v>108</v>
      </c>
      <c r="P12" s="429"/>
      <c r="Q12" s="429"/>
      <c r="R12" s="429"/>
      <c r="S12" s="429"/>
      <c r="T12" s="430"/>
      <c r="U12" s="25"/>
      <c r="V12" s="25"/>
      <c r="W12" s="25"/>
      <c r="X12" s="25"/>
    </row>
    <row r="13" spans="1:24" s="13" customFormat="1" ht="87.5" thickBot="1" x14ac:dyDescent="0.4">
      <c r="A13" s="324" t="str">
        <f>'Site Data'!A6</f>
        <v>Site Number</v>
      </c>
      <c r="B13" s="416" t="str">
        <f>'Site Data'!B6</f>
        <v>Site Name</v>
      </c>
      <c r="C13" s="427"/>
      <c r="D13" s="314" t="str">
        <f>'Site Data'!C6</f>
        <v>Site ID</v>
      </c>
      <c r="E13" s="321" t="str">
        <f>'Site Data'!AA6</f>
        <v>Include</v>
      </c>
      <c r="F13" s="88" t="str">
        <f>'Site Data'!L6</f>
        <v>Year 1 Target PV Production (kWh)</v>
      </c>
      <c r="G13" s="51" t="s">
        <v>109</v>
      </c>
      <c r="H13" s="321" t="s">
        <v>110</v>
      </c>
      <c r="I13" s="321" t="s">
        <v>111</v>
      </c>
      <c r="J13" s="325" t="s">
        <v>112</v>
      </c>
      <c r="K13" s="324" t="s">
        <v>109</v>
      </c>
      <c r="L13" s="316" t="s">
        <v>110</v>
      </c>
      <c r="M13" s="321" t="s">
        <v>111</v>
      </c>
      <c r="N13" s="325" t="s">
        <v>112</v>
      </c>
      <c r="O13" s="316" t="s">
        <v>113</v>
      </c>
      <c r="P13" s="321" t="s">
        <v>114</v>
      </c>
      <c r="Q13" s="321" t="s">
        <v>115</v>
      </c>
      <c r="R13" s="321" t="s">
        <v>116</v>
      </c>
      <c r="S13" s="321" t="s">
        <v>117</v>
      </c>
      <c r="T13" s="325" t="s">
        <v>118</v>
      </c>
    </row>
    <row r="14" spans="1:24" ht="15" customHeight="1" x14ac:dyDescent="0.35">
      <c r="A14" s="72">
        <v>1</v>
      </c>
      <c r="B14" s="433" t="str">
        <f>INDEX(Site_Data_Table,MATCH($A14,'Site Data'!$A$6:$A$13,0),MATCH(B$13,Site_Data_Column_Names,0))</f>
        <v>Imperial County Courthouse</v>
      </c>
      <c r="C14" s="434"/>
      <c r="D14" s="101" t="str">
        <f>INDEX(Site_Data_Table,MATCH($A14,'Site Data'!$A$6:$A$13,0),MATCH(D$13,Site_Data_Column_Names,0))</f>
        <v>13-A1</v>
      </c>
      <c r="E14" s="101" t="str">
        <f>INDEX(Site_Data_Table,MATCH($A14,'Site Data'!$A$6:$A$13,0),MATCH(E$13,Site_Data_Column_Names,0))</f>
        <v>Yes</v>
      </c>
      <c r="F14" s="73">
        <f>INDEX('Site Data'!$A$7:$M$13,MATCH($A14,'Site Data'!$A$7:$A$13,0),MATCH(F$13,'Site Data'!$A$6:$M$6,0))</f>
        <v>366000</v>
      </c>
      <c r="G14" s="236" t="s">
        <v>44</v>
      </c>
      <c r="H14" s="143"/>
      <c r="I14" s="129" t="str">
        <f>_xlfn.LET(_xlpm.term,INDEX('Site Data'!$S$7:$S$13,MATCH($A14,'Site Data'!$A$7:$A$13,0)),
_xlpm.avg_pcnt_prod,SERIESSUM(1-$D$10,1,1,_xlfn.SEQUENCE(_xlpm.term-1,1,1,0))/(_xlpm.term-1),
IF(AND($D$9&gt;0,$D$10&gt;0),ROUND((H14*(_xlpm.term-1)*_xlpm.avg_pcnt_prod),-3),""))</f>
        <v/>
      </c>
      <c r="J14" s="130">
        <f t="shared" ref="J14:J20" si="0">IFERROR(H14+I14,0)</f>
        <v>0</v>
      </c>
      <c r="K14" s="236" t="s">
        <v>44</v>
      </c>
      <c r="L14" s="143"/>
      <c r="M14" s="129" t="str">
        <f>_xlfn.LET(_xlpm.term,INDEX('Site Data'!$S$7:$S$13,MATCH($A14,'Site Data'!$A$7:$A$13,0)),
_xlpm.avg_pcnt_prod,SERIESSUM(1-$D$10,1,1,_xlfn.SEQUENCE(_xlpm.term-1,1,1,0))/(_xlpm.term-1),
IF(AND($D$9&gt;0,$D$10&gt;0),ROUND((L14*(_xlpm.term-1)*_xlpm.avg_pcnt_prod),-3),""))</f>
        <v/>
      </c>
      <c r="N14" s="130">
        <f t="shared" ref="N14:N20" si="1">IFERROR(L14+M14,0)</f>
        <v>0</v>
      </c>
      <c r="O14" s="148"/>
      <c r="P14" s="139"/>
      <c r="Q14" s="149"/>
      <c r="R14" s="149"/>
      <c r="S14" s="149"/>
      <c r="T14" s="150"/>
      <c r="U14" s="25"/>
      <c r="V14" s="25"/>
      <c r="W14" s="25"/>
      <c r="X14" s="25"/>
    </row>
    <row r="15" spans="1:24" ht="15" customHeight="1" x14ac:dyDescent="0.35">
      <c r="A15" s="72">
        <f t="shared" ref="A15:A20" si="2">A14+1</f>
        <v>2</v>
      </c>
      <c r="B15" s="433" t="str">
        <f>INDEX(Site_Data_Table,MATCH($A15,'Site Data'!$A$6:$A$13,0),MATCH(B$13,Site_Data_Column_Names,0))</f>
        <v>Pomona Courthouse South</v>
      </c>
      <c r="C15" s="434"/>
      <c r="D15" s="101" t="str">
        <f>INDEX(Site_Data_Table,MATCH($A15,'Site Data'!$A$6:$A$13,0),MATCH(D$13,Site_Data_Column_Names,0))</f>
        <v>19-W1</v>
      </c>
      <c r="E15" s="101" t="str">
        <f>INDEX(Site_Data_Table,MATCH($A15,'Site Data'!$A$6:$A$13,0),MATCH(E$13,Site_Data_Column_Names,0))</f>
        <v>Yes</v>
      </c>
      <c r="F15" s="73">
        <f>INDEX('Site Data'!$A$7:$M$13,MATCH($A15,'Site Data'!$A$7:$A$13,0),MATCH(F$13,'Site Data'!$A$6:$M$6,0))</f>
        <v>2666000</v>
      </c>
      <c r="G15" s="236" t="s">
        <v>44</v>
      </c>
      <c r="H15" s="143"/>
      <c r="I15" s="129" t="str">
        <f>_xlfn.LET(_xlpm.term,INDEX('Site Data'!$S$7:$S$13,MATCH($A15,'Site Data'!$A$7:$A$13,0)),
_xlpm.avg_pcnt_prod,SERIESSUM(1-$D$10,1,1,_xlfn.SEQUENCE(_xlpm.term-1,1,1,0))/(_xlpm.term-1),
IF(AND($D$9&gt;0,$D$10&gt;0),ROUND((H15*(_xlpm.term-1)*_xlpm.avg_pcnt_prod),-3),""))</f>
        <v/>
      </c>
      <c r="J15" s="130">
        <f t="shared" si="0"/>
        <v>0</v>
      </c>
      <c r="K15" s="236" t="s">
        <v>44</v>
      </c>
      <c r="L15" s="143"/>
      <c r="M15" s="129" t="str">
        <f>_xlfn.LET(_xlpm.term,INDEX('Site Data'!$S$7:$S$13,MATCH($A15,'Site Data'!$A$7:$A$13,0)),
_xlpm.avg_pcnt_prod,SERIESSUM(1-$D$10,1,1,_xlfn.SEQUENCE(_xlpm.term-1,1,1,0))/(_xlpm.term-1),
IF(AND($D$9&gt;0,$D$10&gt;0),ROUND((L15*(_xlpm.term-1)*_xlpm.avg_pcnt_prod),-3),""))</f>
        <v/>
      </c>
      <c r="N15" s="130">
        <f t="shared" si="1"/>
        <v>0</v>
      </c>
      <c r="O15" s="148"/>
      <c r="P15" s="139"/>
      <c r="Q15" s="149"/>
      <c r="R15" s="149"/>
      <c r="S15" s="149"/>
      <c r="T15" s="150"/>
      <c r="U15" s="25"/>
      <c r="V15" s="25"/>
      <c r="W15" s="25"/>
      <c r="X15" s="25"/>
    </row>
    <row r="16" spans="1:24" ht="15" customHeight="1" x14ac:dyDescent="0.35">
      <c r="A16" s="72">
        <f t="shared" si="2"/>
        <v>3</v>
      </c>
      <c r="B16" s="433" t="str">
        <f>INDEX(Site_Data_Table,MATCH($A16,'Site Data'!$A$6:$A$13,0),MATCH(B$13,Site_Data_Column_Names,0))</f>
        <v>Banning Justice Center</v>
      </c>
      <c r="C16" s="434"/>
      <c r="D16" s="101" t="str">
        <f>INDEX(Site_Data_Table,MATCH($A16,'Site Data'!$A$6:$A$13,0),MATCH(D$13,Site_Data_Column_Names,0))</f>
        <v>33-G4</v>
      </c>
      <c r="E16" s="101" t="str">
        <f>INDEX(Site_Data_Table,MATCH($A16,'Site Data'!$A$6:$A$13,0),MATCH(E$13,Site_Data_Column_Names,0))</f>
        <v>Yes</v>
      </c>
      <c r="F16" s="73">
        <f>INDEX('Site Data'!$A$7:$M$13,MATCH($A16,'Site Data'!$A$7:$A$13,0),MATCH(F$13,'Site Data'!$A$6:$M$6,0))</f>
        <v>1023000</v>
      </c>
      <c r="G16" s="236" t="s">
        <v>44</v>
      </c>
      <c r="H16" s="143"/>
      <c r="I16" s="129" t="str">
        <f>_xlfn.LET(_xlpm.term,INDEX('Site Data'!$S$7:$S$13,MATCH($A16,'Site Data'!$A$7:$A$13,0)),
_xlpm.avg_pcnt_prod,SERIESSUM(1-$D$10,1,1,_xlfn.SEQUENCE(_xlpm.term-1,1,1,0))/(_xlpm.term-1),
IF(AND($D$9&gt;0,$D$10&gt;0),ROUND((H16*(_xlpm.term-1)*_xlpm.avg_pcnt_prod),-3),""))</f>
        <v/>
      </c>
      <c r="J16" s="130">
        <f t="shared" si="0"/>
        <v>0</v>
      </c>
      <c r="K16" s="236" t="s">
        <v>44</v>
      </c>
      <c r="L16" s="143"/>
      <c r="M16" s="129" t="str">
        <f>_xlfn.LET(_xlpm.term,INDEX('Site Data'!$S$7:$S$13,MATCH($A16,'Site Data'!$A$7:$A$13,0)),
_xlpm.avg_pcnt_prod,SERIESSUM(1-$D$10,1,1,_xlfn.SEQUENCE(_xlpm.term-1,1,1,0))/(_xlpm.term-1),
IF(AND($D$9&gt;0,$D$10&gt;0),ROUND((L16*(_xlpm.term-1)*_xlpm.avg_pcnt_prod),-3),""))</f>
        <v/>
      </c>
      <c r="N16" s="130">
        <f t="shared" si="1"/>
        <v>0</v>
      </c>
      <c r="O16" s="148"/>
      <c r="P16" s="139"/>
      <c r="Q16" s="149"/>
      <c r="R16" s="149"/>
      <c r="S16" s="149"/>
      <c r="T16" s="150"/>
      <c r="U16" s="25"/>
      <c r="V16" s="25"/>
      <c r="W16" s="25"/>
      <c r="X16" s="25"/>
    </row>
    <row r="17" spans="1:24" ht="15" customHeight="1" x14ac:dyDescent="0.35">
      <c r="A17" s="72">
        <f t="shared" si="2"/>
        <v>4</v>
      </c>
      <c r="B17" s="433" t="str">
        <f>INDEX(Site_Data_Table,MATCH($A17,'Site Data'!$A$6:$A$13,0),MATCH(B$13,Site_Data_Column_Names,0))</f>
        <v>San Bernardino Justice Center</v>
      </c>
      <c r="C17" s="434"/>
      <c r="D17" s="101" t="str">
        <f>INDEX(Site_Data_Table,MATCH($A17,'Site Data'!$A$6:$A$13,0),MATCH(D$13,Site_Data_Column_Names,0))</f>
        <v>36-R1</v>
      </c>
      <c r="E17" s="101" t="str">
        <f>INDEX(Site_Data_Table,MATCH($A17,'Site Data'!$A$6:$A$13,0),MATCH(E$13,Site_Data_Column_Names,0))</f>
        <v>Yes</v>
      </c>
      <c r="F17" s="73">
        <f>INDEX('Site Data'!$A$7:$M$13,MATCH($A17,'Site Data'!$A$7:$A$13,0),MATCH(F$13,'Site Data'!$A$6:$M$6,0))</f>
        <v>2707000</v>
      </c>
      <c r="G17" s="236" t="s">
        <v>44</v>
      </c>
      <c r="H17" s="143"/>
      <c r="I17" s="129" t="str">
        <f>_xlfn.LET(_xlpm.term,INDEX('Site Data'!$S$7:$S$13,MATCH($A17,'Site Data'!$A$7:$A$13,0)),
_xlpm.avg_pcnt_prod,SERIESSUM(1-$D$10,1,1,_xlfn.SEQUENCE(_xlpm.term-1,1,1,0))/(_xlpm.term-1),
IF(AND($D$9&gt;0,$D$10&gt;0),ROUND((H17*(_xlpm.term-1)*_xlpm.avg_pcnt_prod),-3),""))</f>
        <v/>
      </c>
      <c r="J17" s="130">
        <f t="shared" si="0"/>
        <v>0</v>
      </c>
      <c r="K17" s="236" t="s">
        <v>44</v>
      </c>
      <c r="L17" s="143"/>
      <c r="M17" s="129" t="str">
        <f>_xlfn.LET(_xlpm.term,INDEX('Site Data'!$S$7:$S$13,MATCH($A17,'Site Data'!$A$7:$A$13,0)),
_xlpm.avg_pcnt_prod,SERIESSUM(1-$D$10,1,1,_xlfn.SEQUENCE(_xlpm.term-1,1,1,0))/(_xlpm.term-1),
IF(AND($D$9&gt;0,$D$10&gt;0),ROUND((L17*(_xlpm.term-1)*_xlpm.avg_pcnt_prod),-3),""))</f>
        <v/>
      </c>
      <c r="N17" s="130">
        <f t="shared" si="1"/>
        <v>0</v>
      </c>
      <c r="O17" s="148"/>
      <c r="P17" s="139"/>
      <c r="Q17" s="149"/>
      <c r="R17" s="149"/>
      <c r="S17" s="149"/>
      <c r="T17" s="150"/>
      <c r="U17" s="25"/>
      <c r="V17" s="25"/>
      <c r="W17" s="25"/>
      <c r="X17" s="25"/>
    </row>
    <row r="18" spans="1:24" ht="15" customHeight="1" x14ac:dyDescent="0.35">
      <c r="A18" s="72">
        <f t="shared" si="2"/>
        <v>5</v>
      </c>
      <c r="B18" s="433" t="str">
        <f>INDEX(Site_Data_Table,MATCH($A18,'Site Data'!$A$6:$A$13,0),MATCH(B$13,Site_Data_Column_Names,0))</f>
        <v>Kearny Mesa Court</v>
      </c>
      <c r="C18" s="434"/>
      <c r="D18" s="101" t="str">
        <f>INDEX(Site_Data_Table,MATCH($A18,'Site Data'!$A$6:$A$13,0),MATCH(D$13,Site_Data_Column_Names,0))</f>
        <v>37-C1</v>
      </c>
      <c r="E18" s="101" t="str">
        <f>INDEX(Site_Data_Table,MATCH($A18,'Site Data'!$A$6:$A$13,0),MATCH(E$13,Site_Data_Column_Names,0))</f>
        <v>Yes</v>
      </c>
      <c r="F18" s="73">
        <f>INDEX('Site Data'!$A$7:$M$13,MATCH($A18,'Site Data'!$A$7:$A$13,0),MATCH(F$13,'Site Data'!$A$6:$M$6,0))</f>
        <v>516000</v>
      </c>
      <c r="G18" s="144"/>
      <c r="H18" s="143"/>
      <c r="I18" s="129" t="str">
        <f>_xlfn.LET(_xlpm.term,INDEX('Site Data'!$S$7:$S$13,MATCH($A18,'Site Data'!$A$7:$A$13,0)),
_xlpm.avg_pcnt_prod,SERIESSUM(1-$D$10,1,1,_xlfn.SEQUENCE(_xlpm.term-1,1,1,0))/(_xlpm.term-1),
IF(AND($D$9&gt;0,$D$10&gt;0),ROUND((H18*(_xlpm.term-1)*_xlpm.avg_pcnt_prod),-3),""))</f>
        <v/>
      </c>
      <c r="J18" s="130">
        <f t="shared" si="0"/>
        <v>0</v>
      </c>
      <c r="K18" s="144"/>
      <c r="L18" s="143"/>
      <c r="M18" s="129" t="str">
        <f>_xlfn.LET(_xlpm.term,INDEX('Site Data'!$S$7:$S$13,MATCH($A18,'Site Data'!$A$7:$A$13,0)),
_xlpm.avg_pcnt_prod,SERIESSUM(1-$D$10,1,1,_xlfn.SEQUENCE(_xlpm.term-1,1,1,0))/(_xlpm.term-1),
IF(AND($D$9&gt;0,$D$10&gt;0),ROUND((L18*(_xlpm.term-1)*_xlpm.avg_pcnt_prod),-3),""))</f>
        <v/>
      </c>
      <c r="N18" s="130">
        <f t="shared" si="1"/>
        <v>0</v>
      </c>
      <c r="O18" s="148"/>
      <c r="P18" s="139"/>
      <c r="Q18" s="149"/>
      <c r="R18" s="149"/>
      <c r="S18" s="149"/>
      <c r="T18" s="150"/>
      <c r="U18" s="25"/>
      <c r="V18" s="25"/>
      <c r="W18" s="25"/>
      <c r="X18" s="25"/>
    </row>
    <row r="19" spans="1:24" ht="15" customHeight="1" x14ac:dyDescent="0.35">
      <c r="A19" s="72">
        <f t="shared" si="2"/>
        <v>6</v>
      </c>
      <c r="B19" s="433" t="str">
        <f>INDEX(Site_Data_Table,MATCH($A19,'Site Data'!$A$6:$A$13,0),MATCH(B$13,Site_Data_Column_Names,0))</f>
        <v>East County Regional Center</v>
      </c>
      <c r="C19" s="434"/>
      <c r="D19" s="101" t="str">
        <f>INDEX(Site_Data_Table,MATCH($A19,'Site Data'!$A$6:$A$13,0),MATCH(D$13,Site_Data_Column_Names,0))</f>
        <v>37-I1</v>
      </c>
      <c r="E19" s="101" t="str">
        <f>INDEX(Site_Data_Table,MATCH($A19,'Site Data'!$A$6:$A$13,0),MATCH(E$13,Site_Data_Column_Names,0))</f>
        <v>Yes</v>
      </c>
      <c r="F19" s="73">
        <f>INDEX('Site Data'!$A$7:$M$13,MATCH($A19,'Site Data'!$A$7:$A$13,0),MATCH(F$13,'Site Data'!$A$6:$M$6,0))</f>
        <v>3382000</v>
      </c>
      <c r="G19" s="237" t="s">
        <v>44</v>
      </c>
      <c r="H19" s="145"/>
      <c r="I19" s="129" t="str">
        <f>_xlfn.LET(_xlpm.term,INDEX('Site Data'!$S$7:$S$13,MATCH($A19,'Site Data'!$A$7:$A$13,0)),
_xlpm.avg_pcnt_prod,SERIESSUM(1-$D$10,1,1,_xlfn.SEQUENCE(_xlpm.term-1,1,1,0))/(_xlpm.term-1),
IF(AND($D$9&gt;0,$D$10&gt;0),ROUND((H19*(_xlpm.term-1)*_xlpm.avg_pcnt_prod),-3),""))</f>
        <v/>
      </c>
      <c r="J19" s="130">
        <f t="shared" si="0"/>
        <v>0</v>
      </c>
      <c r="K19" s="237" t="s">
        <v>44</v>
      </c>
      <c r="L19" s="145"/>
      <c r="M19" s="129" t="str">
        <f>_xlfn.LET(_xlpm.term,INDEX('Site Data'!$S$7:$S$13,MATCH($A19,'Site Data'!$A$7:$A$13,0)),
_xlpm.avg_pcnt_prod,SERIESSUM(1-$D$10,1,1,_xlfn.SEQUENCE(_xlpm.term-1,1,1,0))/(_xlpm.term-1),
IF(AND($D$9&gt;0,$D$10&gt;0),ROUND((L19*(_xlpm.term-1)*_xlpm.avg_pcnt_prod),-3),""))</f>
        <v/>
      </c>
      <c r="N19" s="130">
        <f t="shared" si="1"/>
        <v>0</v>
      </c>
      <c r="O19" s="151"/>
      <c r="P19" s="152"/>
      <c r="Q19" s="153"/>
      <c r="R19" s="153"/>
      <c r="S19" s="153"/>
      <c r="T19" s="154"/>
      <c r="U19" s="25"/>
      <c r="V19" s="25"/>
      <c r="W19" s="25"/>
      <c r="X19" s="25"/>
    </row>
    <row r="20" spans="1:24" ht="15" customHeight="1" thickBot="1" x14ac:dyDescent="0.4">
      <c r="A20" s="72">
        <f t="shared" si="2"/>
        <v>7</v>
      </c>
      <c r="B20" s="431" t="str">
        <f>INDEX(Site_Data_Table,MATCH($A20,'Site Data'!$A$6:$A$13,0),MATCH(B$13,Site_Data_Column_Names,0))</f>
        <v>Santa Ana Courthouse</v>
      </c>
      <c r="C20" s="432"/>
      <c r="D20" s="102" t="str">
        <f>INDEX(Site_Data_Table,MATCH($A20,'Site Data'!$A$6:$A$13,0),MATCH(D$13,Site_Data_Column_Names,0))</f>
        <v>64-E1</v>
      </c>
      <c r="E20" s="102" t="str">
        <f>INDEX(Site_Data_Table,MATCH($A20,'Site Data'!$A$6:$A$13,0),MATCH(E$13,Site_Data_Column_Names,0))</f>
        <v>Yes</v>
      </c>
      <c r="F20" s="77">
        <f>INDEX('Site Data'!$A$7:$M$13,MATCH($A20,'Site Data'!$A$7:$A$13,0),MATCH(F$13,'Site Data'!$A$6:$M$6,0))</f>
        <v>507000</v>
      </c>
      <c r="G20" s="171"/>
      <c r="H20" s="146"/>
      <c r="I20" s="131" t="str">
        <f>_xlfn.LET(_xlpm.term,INDEX('Site Data'!$S$7:$S$13,MATCH($A20,'Site Data'!$A$7:$A$13,0)),
_xlpm.avg_pcnt_prod,SERIESSUM(1-$D$10,1,1,_xlfn.SEQUENCE(_xlpm.term-1,1,1,0))/(_xlpm.term-1),
IF(AND($D$9&gt;0,$D$10&gt;0),ROUND((H20*(_xlpm.term-1)*_xlpm.avg_pcnt_prod),-3),""))</f>
        <v/>
      </c>
      <c r="J20" s="132">
        <f t="shared" si="0"/>
        <v>0</v>
      </c>
      <c r="K20" s="171"/>
      <c r="L20" s="146"/>
      <c r="M20" s="131" t="str">
        <f>_xlfn.LET(_xlpm.term,INDEX('Site Data'!$S$7:$S$13,MATCH($A20,'Site Data'!$A$7:$A$13,0)),
_xlpm.avg_pcnt_prod,SERIESSUM(1-$D$10,1,1,_xlfn.SEQUENCE(_xlpm.term-1,1,1,0))/(_xlpm.term-1),
IF(AND($D$9&gt;0,$D$10&gt;0),ROUND((L20*(_xlpm.term-1)*_xlpm.avg_pcnt_prod),-3),""))</f>
        <v/>
      </c>
      <c r="N20" s="132">
        <f t="shared" si="1"/>
        <v>0</v>
      </c>
      <c r="O20" s="155"/>
      <c r="P20" s="140"/>
      <c r="Q20" s="156"/>
      <c r="R20" s="156"/>
      <c r="S20" s="156"/>
      <c r="T20" s="157"/>
      <c r="U20" s="25"/>
      <c r="V20" s="25"/>
      <c r="W20" s="25"/>
      <c r="X20" s="25"/>
    </row>
    <row r="21" spans="1:24" ht="15" customHeight="1" thickBot="1" x14ac:dyDescent="0.4">
      <c r="A21" s="178"/>
      <c r="B21" s="179"/>
      <c r="C21" s="179"/>
      <c r="D21" s="179"/>
      <c r="E21" s="179"/>
      <c r="F21" s="180"/>
      <c r="G21" s="180"/>
      <c r="H21" s="190">
        <f>SUMIFS(H$14:H$20,$E$14:$E$20,"Yes")</f>
        <v>0</v>
      </c>
      <c r="I21" s="191">
        <f>SUMIFS(I$14:I$20,$E$14:$E$20,"Yes")</f>
        <v>0</v>
      </c>
      <c r="J21" s="192">
        <f>SUMIFS(J$14:J$20,$E$14:$E$20,"Yes")</f>
        <v>0</v>
      </c>
      <c r="K21" s="180"/>
      <c r="L21" s="190">
        <f>SUMIFS(L$14:L$20,$E$14:$E$20,"Yes")</f>
        <v>0</v>
      </c>
      <c r="M21" s="191">
        <f>SUMIFS(M$14:M$20,$E$14:$E$20,"Yes")</f>
        <v>0</v>
      </c>
      <c r="N21" s="192">
        <f>SUMIFS(N$14:N$20,$E$14:$E$20,"Yes")</f>
        <v>0</v>
      </c>
      <c r="O21" s="193">
        <f>SUMIFS(O$14:O$20,$E$14:$E$20,"Yes")</f>
        <v>0</v>
      </c>
      <c r="P21" s="194">
        <f>SUMIFS(P$14:P$20,$E$14:$E$20,"Yes")</f>
        <v>0</v>
      </c>
      <c r="Q21" s="195" cm="1">
        <f t="array" ref="Q21">IFERROR(SUMPRODUCT($P$14:$P$20,$Q$14:$Q$20,--($E$14:$E$20="Yes"))/$P$21,0)</f>
        <v>0</v>
      </c>
      <c r="R21" s="181"/>
      <c r="S21" s="181"/>
      <c r="T21" s="181"/>
      <c r="U21" s="25"/>
      <c r="V21" s="25"/>
      <c r="W21" s="25"/>
      <c r="X21" s="25"/>
    </row>
    <row r="22" spans="1:24" x14ac:dyDescent="0.35">
      <c r="A22" s="25"/>
      <c r="B22" s="25"/>
      <c r="C22" s="25"/>
      <c r="D22" s="25"/>
      <c r="E22" s="25"/>
      <c r="F22" s="25"/>
      <c r="G22" s="25"/>
      <c r="H22" s="25"/>
      <c r="I22" s="25"/>
      <c r="J22" s="25"/>
      <c r="K22" s="25"/>
      <c r="L22" s="25"/>
      <c r="M22" s="25"/>
      <c r="N22" s="25"/>
      <c r="O22" s="25"/>
      <c r="P22" s="25"/>
      <c r="Q22" s="25"/>
      <c r="R22" s="25"/>
      <c r="S22" s="25"/>
      <c r="T22" s="25"/>
      <c r="U22" s="25"/>
      <c r="V22" s="25"/>
      <c r="W22" s="25"/>
      <c r="X22" s="25"/>
    </row>
  </sheetData>
  <sheetProtection algorithmName="SHA-512" hashValue="B60Cq50PDoiqXMC0QLtnFf8SBi2DyE6cWyr0YERHAXw70kNhnCziTudwq/nth5vdsrTKuLcMLPnyvxvJAS8Jyg==" saltValue="rbHrhNTGkktlSQoP4cJWvg==" spinCount="100000" sheet="1" formatColumns="0" formatRows="0"/>
  <mergeCells count="18">
    <mergeCell ref="B13:C13"/>
    <mergeCell ref="K11:T11"/>
    <mergeCell ref="G11:J11"/>
    <mergeCell ref="O12:T12"/>
    <mergeCell ref="B20:C20"/>
    <mergeCell ref="B19:C19"/>
    <mergeCell ref="B18:C18"/>
    <mergeCell ref="B14:C14"/>
    <mergeCell ref="B15:C15"/>
    <mergeCell ref="B16:C16"/>
    <mergeCell ref="B17:C17"/>
    <mergeCell ref="G12:J12"/>
    <mergeCell ref="K12:N12"/>
    <mergeCell ref="A1:L1"/>
    <mergeCell ref="B6:F6"/>
    <mergeCell ref="A8:D8"/>
    <mergeCell ref="A9:C9"/>
    <mergeCell ref="A10:C10"/>
  </mergeCells>
  <phoneticPr fontId="15" type="noConversion"/>
  <conditionalFormatting sqref="A14:B20 D14:T20">
    <cfRule type="expression" dxfId="40" priority="4">
      <formula>($E14="No")</formula>
    </cfRule>
  </conditionalFormatting>
  <dataValidations count="1">
    <dataValidation type="list" allowBlank="1" showInputMessage="1" showErrorMessage="1" sqref="K14:K20 G14:G20" xr:uid="{AF11C3FF-A42A-4DD0-8BE2-9729882ECC08}">
      <formula1>Yes_No</formula1>
    </dataValidation>
  </dataValidations>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FA6A7-C467-44E4-8758-955EC9CBD13F}">
  <sheetPr codeName="Sheet5">
    <tabColor rgb="FFFFFF99"/>
  </sheetPr>
  <dimension ref="A1:K97"/>
  <sheetViews>
    <sheetView showGridLines="0" zoomScaleNormal="100" workbookViewId="0">
      <selection sqref="A1:J1"/>
    </sheetView>
  </sheetViews>
  <sheetFormatPr defaultColWidth="8.765625" defaultRowHeight="15.5" outlineLevelRow="1" x14ac:dyDescent="0.35"/>
  <cols>
    <col min="1" max="1" width="9.53515625" style="55" customWidth="1"/>
    <col min="2" max="3" width="11.07421875" style="55" customWidth="1"/>
    <col min="4" max="4" width="17" style="55" customWidth="1"/>
    <col min="5" max="33" width="11.07421875" style="55" customWidth="1"/>
    <col min="34" max="16384" width="8.765625" style="55"/>
  </cols>
  <sheetData>
    <row r="1" spans="1:11" s="28" customFormat="1" ht="82.5" customHeight="1" x14ac:dyDescent="0.35">
      <c r="A1" s="438" t="s">
        <v>119</v>
      </c>
      <c r="B1" s="438"/>
      <c r="C1" s="438"/>
      <c r="D1" s="438"/>
      <c r="E1" s="438"/>
      <c r="F1" s="438"/>
      <c r="G1" s="438"/>
      <c r="H1" s="438"/>
      <c r="I1" s="438"/>
      <c r="J1" s="438"/>
    </row>
    <row r="3" spans="1:11" ht="28.5" x14ac:dyDescent="0.65">
      <c r="A3" s="56" t="s">
        <v>120</v>
      </c>
    </row>
    <row r="4" spans="1:11" ht="21" x14ac:dyDescent="0.5">
      <c r="A4" s="6" t="str">
        <f>Instructions!B7</f>
        <v>Proposed Price Form</v>
      </c>
      <c r="B4" s="58"/>
      <c r="C4" s="59"/>
      <c r="D4" s="60"/>
      <c r="E4" s="60"/>
      <c r="F4" s="60"/>
      <c r="G4" s="60"/>
      <c r="H4" s="60"/>
      <c r="I4" s="60"/>
      <c r="J4" s="60"/>
      <c r="K4" s="60"/>
    </row>
    <row r="5" spans="1:11" x14ac:dyDescent="0.35">
      <c r="A5" s="53" t="str">
        <f>Instructions!$B$9</f>
        <v>Region:</v>
      </c>
      <c r="B5" s="53" t="str">
        <f>Instructions!$C$9</f>
        <v>SRO2</v>
      </c>
      <c r="C5" s="61"/>
      <c r="D5" s="54"/>
      <c r="E5" s="60"/>
      <c r="F5" s="60"/>
      <c r="G5" s="60"/>
      <c r="H5" s="60"/>
      <c r="I5" s="60"/>
      <c r="J5" s="60"/>
      <c r="K5" s="60"/>
    </row>
    <row r="6" spans="1:11" x14ac:dyDescent="0.35">
      <c r="A6" s="3" t="s">
        <v>4</v>
      </c>
      <c r="B6" s="439">
        <f>Vendor_Name</f>
        <v>0</v>
      </c>
      <c r="C6" s="439"/>
      <c r="D6" s="60"/>
      <c r="E6" s="60"/>
      <c r="F6" s="60"/>
      <c r="G6" s="60"/>
      <c r="H6" s="60"/>
      <c r="I6" s="60"/>
      <c r="J6" s="60"/>
    </row>
    <row r="7" spans="1:11" x14ac:dyDescent="0.35">
      <c r="A7" s="62"/>
      <c r="B7" s="63"/>
      <c r="C7" s="60"/>
      <c r="D7" s="60"/>
      <c r="E7" s="60"/>
      <c r="F7" s="60"/>
      <c r="G7" s="60"/>
      <c r="H7" s="60"/>
      <c r="I7" s="60"/>
      <c r="J7" s="60"/>
      <c r="K7" s="60"/>
    </row>
    <row r="8" spans="1:11" ht="25" x14ac:dyDescent="0.35">
      <c r="A8" s="64" t="s">
        <v>121</v>
      </c>
      <c r="B8" s="60"/>
      <c r="C8" s="60"/>
      <c r="D8" s="60"/>
      <c r="E8" s="60"/>
      <c r="G8" s="64" t="s">
        <v>122</v>
      </c>
      <c r="H8" s="60"/>
      <c r="I8" s="60"/>
      <c r="J8" s="60"/>
      <c r="K8" s="60"/>
    </row>
    <row r="9" spans="1:11" x14ac:dyDescent="0.35">
      <c r="A9" s="421" t="s">
        <v>123</v>
      </c>
      <c r="B9" s="422"/>
      <c r="C9" s="422"/>
      <c r="D9" s="422"/>
      <c r="E9" s="423"/>
      <c r="G9" s="421" t="s">
        <v>124</v>
      </c>
      <c r="H9" s="422"/>
      <c r="I9" s="422"/>
      <c r="J9" s="422"/>
      <c r="K9" s="423"/>
    </row>
    <row r="10" spans="1:11" x14ac:dyDescent="0.35">
      <c r="A10" s="435" t="s">
        <v>103</v>
      </c>
      <c r="B10" s="436"/>
      <c r="C10" s="436"/>
      <c r="D10" s="437"/>
      <c r="E10" s="124">
        <f>'System Specification'!D9</f>
        <v>0</v>
      </c>
      <c r="G10" s="435" t="s">
        <v>125</v>
      </c>
      <c r="H10" s="436"/>
      <c r="I10" s="436"/>
      <c r="J10" s="437"/>
      <c r="K10" s="124">
        <f>'System Specification'!Q21</f>
        <v>0</v>
      </c>
    </row>
    <row r="11" spans="1:11" x14ac:dyDescent="0.35">
      <c r="A11" s="435" t="s">
        <v>104</v>
      </c>
      <c r="B11" s="436"/>
      <c r="C11" s="436"/>
      <c r="D11" s="437"/>
      <c r="E11" s="125">
        <f>'System Specification'!D10</f>
        <v>0</v>
      </c>
      <c r="G11" s="435" t="s">
        <v>126</v>
      </c>
      <c r="H11" s="436"/>
      <c r="I11" s="436"/>
      <c r="J11" s="437"/>
      <c r="K11" s="46"/>
    </row>
    <row r="12" spans="1:11" x14ac:dyDescent="0.35">
      <c r="A12" s="435" t="s">
        <v>127</v>
      </c>
      <c r="B12" s="436"/>
      <c r="C12" s="436"/>
      <c r="D12" s="437"/>
      <c r="E12" s="46"/>
      <c r="F12" s="60"/>
      <c r="G12" s="435" t="s">
        <v>128</v>
      </c>
      <c r="H12" s="436"/>
      <c r="I12" s="436"/>
      <c r="J12" s="437"/>
      <c r="K12" s="305"/>
    </row>
    <row r="13" spans="1:11" x14ac:dyDescent="0.35">
      <c r="A13" s="435" t="s">
        <v>129</v>
      </c>
      <c r="B13" s="436"/>
      <c r="C13" s="436"/>
      <c r="D13" s="437"/>
      <c r="E13" s="158">
        <v>1</v>
      </c>
      <c r="F13" s="60"/>
      <c r="G13" s="435" t="s">
        <v>130</v>
      </c>
      <c r="H13" s="436"/>
      <c r="I13" s="436"/>
      <c r="J13" s="437"/>
      <c r="K13" s="160">
        <v>0.03</v>
      </c>
    </row>
    <row r="14" spans="1:11" x14ac:dyDescent="0.35">
      <c r="A14" s="435" t="s">
        <v>131</v>
      </c>
      <c r="B14" s="436"/>
      <c r="C14" s="436"/>
      <c r="D14" s="437"/>
      <c r="E14" s="159">
        <v>0.05</v>
      </c>
      <c r="F14" s="60"/>
    </row>
    <row r="15" spans="1:11" x14ac:dyDescent="0.35">
      <c r="A15" s="435" t="s">
        <v>130</v>
      </c>
      <c r="B15" s="436"/>
      <c r="C15" s="436"/>
      <c r="D15" s="437"/>
      <c r="E15" s="160">
        <v>0.03</v>
      </c>
      <c r="F15" s="60"/>
    </row>
    <row r="16" spans="1:11" x14ac:dyDescent="0.35">
      <c r="A16" s="435" t="s">
        <v>132</v>
      </c>
      <c r="B16" s="436"/>
      <c r="C16" s="436"/>
      <c r="D16" s="437"/>
      <c r="E16" s="46"/>
      <c r="F16" s="60"/>
    </row>
    <row r="17" spans="1:8" x14ac:dyDescent="0.35">
      <c r="A17" s="60"/>
      <c r="B17" s="60"/>
      <c r="C17" s="60"/>
      <c r="D17" s="60"/>
      <c r="E17" s="60"/>
      <c r="F17" s="60"/>
    </row>
    <row r="18" spans="1:8" ht="25" x14ac:dyDescent="0.35">
      <c r="A18" s="64" t="s">
        <v>133</v>
      </c>
      <c r="B18" s="60"/>
      <c r="C18" s="60"/>
      <c r="D18" s="60"/>
    </row>
    <row r="19" spans="1:8" ht="43.5" x14ac:dyDescent="0.35">
      <c r="A19" s="65" t="s">
        <v>134</v>
      </c>
      <c r="B19" s="135" t="str">
        <f>INDEX(Site_Data_Table,MATCH(B$20,'Site Data'!$C$6:$C$13,0),MATCH("Site Name",Site_Data_Column_Names,0))</f>
        <v>Imperial County Courthouse</v>
      </c>
      <c r="C19" s="135" t="str">
        <f>INDEX(Site_Data_Table,MATCH(C$20,'Site Data'!$C$6:$C$13,0),MATCH("Site Name",Site_Data_Column_Names,0))</f>
        <v>Pomona Courthouse South</v>
      </c>
      <c r="D19" s="135" t="str">
        <f>INDEX(Site_Data_Table,MATCH(D$20,'Site Data'!$C$6:$C$13,0),MATCH("Site Name",Site_Data_Column_Names,0))</f>
        <v>Banning Justice Center</v>
      </c>
      <c r="E19" s="135" t="str">
        <f>INDEX(Site_Data_Table,MATCH(E$20,'Site Data'!$C$6:$C$13,0),MATCH("Site Name",Site_Data_Column_Names,0))</f>
        <v>San Bernardino Justice Center</v>
      </c>
      <c r="F19" s="135" t="str">
        <f>INDEX(Site_Data_Table,MATCH(F$20,'Site Data'!$C$6:$C$13,0),MATCH("Site Name",Site_Data_Column_Names,0))</f>
        <v>Kearny Mesa Court</v>
      </c>
      <c r="G19" s="135" t="str">
        <f>INDEX(Site_Data_Table,MATCH(G$20,'Site Data'!$C$6:$C$13,0),MATCH("Site Name",Site_Data_Column_Names,0))</f>
        <v>East County Regional Center</v>
      </c>
      <c r="H19" s="135" t="str">
        <f>INDEX(Site_Data_Table,MATCH(H$20,'Site Data'!$C$6:$C$13,0),MATCH("Site Name",Site_Data_Column_Names,0))</f>
        <v>Santa Ana Courthouse</v>
      </c>
    </row>
    <row r="20" spans="1:8" hidden="1" outlineLevel="1" x14ac:dyDescent="0.35">
      <c r="A20" s="65" t="s">
        <v>11</v>
      </c>
      <c r="B20" s="120" t="str" cm="1">
        <f t="array" ref="B20:H20">TRANSPOSE('System Specification'!$D$14:$D$20)</f>
        <v>13-A1</v>
      </c>
      <c r="C20" s="286" t="str">
        <v>19-W1</v>
      </c>
      <c r="D20" s="286" t="str">
        <v>33-G4</v>
      </c>
      <c r="E20" s="286" t="str">
        <v>36-R1</v>
      </c>
      <c r="F20" s="286" t="str">
        <v>37-C1</v>
      </c>
      <c r="G20" s="286" t="str">
        <v>37-I1</v>
      </c>
      <c r="H20" s="286" t="str">
        <v>64-E1</v>
      </c>
    </row>
    <row r="21" spans="1:8" hidden="1" outlineLevel="1" x14ac:dyDescent="0.35">
      <c r="A21" s="65" t="str">
        <f>'Site Data'!$R$6</f>
        <v>SPPA or SEL</v>
      </c>
      <c r="B21" s="120" t="str">
        <f>INDEX(Site_Data_Table,MATCH(B$20,'Site Data'!$C$6:$C$13,0),MATCH($A21,Site_Data_Column_Names,0))</f>
        <v>SPPA</v>
      </c>
      <c r="C21" s="120" t="str">
        <f>INDEX(Site_Data_Table,MATCH(C$20,'Site Data'!$C$6:$C$13,0),MATCH($A21,Site_Data_Column_Names,0))</f>
        <v>SPPA</v>
      </c>
      <c r="D21" s="120" t="str">
        <f>INDEX(Site_Data_Table,MATCH(D$20,'Site Data'!$C$6:$C$13,0),MATCH($A21,Site_Data_Column_Names,0))</f>
        <v>SEL</v>
      </c>
      <c r="E21" s="120" t="str">
        <f>INDEX(Site_Data_Table,MATCH(E$20,'Site Data'!$C$6:$C$13,0),MATCH($A21,Site_Data_Column_Names,0))</f>
        <v>SPPA</v>
      </c>
      <c r="F21" s="120" t="str">
        <f>INDEX(Site_Data_Table,MATCH(F$20,'Site Data'!$C$6:$C$13,0),MATCH($A21,Site_Data_Column_Names,0))</f>
        <v>SPPA</v>
      </c>
      <c r="G21" s="120" t="str">
        <f>INDEX(Site_Data_Table,MATCH(G$20,'Site Data'!$C$6:$C$13,0),MATCH($A21,Site_Data_Column_Names,0))</f>
        <v>SPPA</v>
      </c>
      <c r="H21" s="120" t="str">
        <f>INDEX(Site_Data_Table,MATCH(H$20,'Site Data'!$C$6:$C$13,0),MATCH($A21,Site_Data_Column_Names,0))</f>
        <v>SPPA</v>
      </c>
    </row>
    <row r="22" spans="1:8" ht="26" hidden="1" outlineLevel="1" x14ac:dyDescent="0.35">
      <c r="A22" s="65" t="str">
        <f>'Site Data'!$S$6</f>
        <v>SPPA/SEL Term (yrs)</v>
      </c>
      <c r="B22" s="120">
        <f>INDEX(Site_Data_Table,MATCH(B$20,'Site Data'!$C$6:$C$13,0),MATCH($A22,Site_Data_Column_Names,0))</f>
        <v>20</v>
      </c>
      <c r="C22" s="120">
        <f>INDEX(Site_Data_Table,MATCH(C$20,'Site Data'!$C$6:$C$13,0),MATCH($A22,Site_Data_Column_Names,0))</f>
        <v>20</v>
      </c>
      <c r="D22" s="120">
        <f>INDEX(Site_Data_Table,MATCH(D$20,'Site Data'!$C$6:$C$13,0),MATCH($A22,Site_Data_Column_Names,0))</f>
        <v>20</v>
      </c>
      <c r="E22" s="120">
        <f>INDEX(Site_Data_Table,MATCH(E$20,'Site Data'!$C$6:$C$13,0),MATCH($A22,Site_Data_Column_Names,0))</f>
        <v>20</v>
      </c>
      <c r="F22" s="120">
        <f>INDEX(Site_Data_Table,MATCH(F$20,'Site Data'!$C$6:$C$13,0),MATCH($A22,Site_Data_Column_Names,0))</f>
        <v>20</v>
      </c>
      <c r="G22" s="120">
        <f>INDEX(Site_Data_Table,MATCH(G$20,'Site Data'!$C$6:$C$13,0),MATCH($A22,Site_Data_Column_Names,0))</f>
        <v>20</v>
      </c>
      <c r="H22" s="120">
        <f>INDEX(Site_Data_Table,MATCH(H$20,'Site Data'!$C$6:$C$13,0),MATCH($A22,Site_Data_Column_Names,0))</f>
        <v>20</v>
      </c>
    </row>
    <row r="23" spans="1:8" hidden="1" outlineLevel="1" x14ac:dyDescent="0.35">
      <c r="A23" s="65" t="str">
        <f>'Site Data'!$AA$6</f>
        <v>Include</v>
      </c>
      <c r="B23" s="120" t="str">
        <f>INDEX(Site_Data_Table,MATCH(B$20,'Site Data'!$C$6:$C$13,0),MATCH($A23,Site_Data_Column_Names,0))</f>
        <v>Yes</v>
      </c>
      <c r="C23" s="120" t="str">
        <f>INDEX(Site_Data_Table,MATCH(C$20,'Site Data'!$C$6:$C$13,0),MATCH($A23,Site_Data_Column_Names,0))</f>
        <v>Yes</v>
      </c>
      <c r="D23" s="120" t="str">
        <f>INDEX(Site_Data_Table,MATCH(D$20,'Site Data'!$C$6:$C$13,0),MATCH($A23,Site_Data_Column_Names,0))</f>
        <v>Yes</v>
      </c>
      <c r="E23" s="120" t="str">
        <f>INDEX(Site_Data_Table,MATCH(E$20,'Site Data'!$C$6:$C$13,0),MATCH($A23,Site_Data_Column_Names,0))</f>
        <v>Yes</v>
      </c>
      <c r="F23" s="120" t="str">
        <f>INDEX(Site_Data_Table,MATCH(F$20,'Site Data'!$C$6:$C$13,0),MATCH($A23,Site_Data_Column_Names,0))</f>
        <v>Yes</v>
      </c>
      <c r="G23" s="120" t="str">
        <f>INDEX(Site_Data_Table,MATCH(G$20,'Site Data'!$C$6:$C$13,0),MATCH($A23,Site_Data_Column_Names,0))</f>
        <v>Yes</v>
      </c>
      <c r="H23" s="120" t="str">
        <f>INDEX(Site_Data_Table,MATCH(H$20,'Site Data'!$C$6:$C$13,0),MATCH($A23,Site_Data_Column_Names,0))</f>
        <v>Yes</v>
      </c>
    </row>
    <row r="24" spans="1:8" collapsed="1" x14ac:dyDescent="0.35">
      <c r="A24" s="66">
        <v>1</v>
      </c>
      <c r="B24" s="121" t="str" cm="1">
        <f t="array" ref="B24:H24">IF($B$21:$H$21="SEL","N/A - SEL",TRANSPOSE(IF('System Specification'!L$14:L$20&gt;0,'System Specification'!L$14:L$20*$E$12,"")))</f>
        <v/>
      </c>
      <c r="C24" s="121" t="str">
        <v/>
      </c>
      <c r="D24" s="121" t="str">
        <v>N/A - SEL</v>
      </c>
      <c r="E24" s="121" t="str">
        <v/>
      </c>
      <c r="F24" s="121" t="str">
        <v/>
      </c>
      <c r="G24" s="121" t="str">
        <v/>
      </c>
      <c r="H24" s="121" t="str">
        <v/>
      </c>
    </row>
    <row r="25" spans="1:8" x14ac:dyDescent="0.35">
      <c r="A25" s="66">
        <v>2</v>
      </c>
      <c r="B25" s="122" t="str">
        <f t="shared" ref="B25:B43" si="0">IF(B$21="SEL","N/A - SEL",IF(OR(B24="",$A25&gt;B$22),"",B24*(1-$E$11)))</f>
        <v/>
      </c>
      <c r="C25" s="122" t="str">
        <f t="shared" ref="C25:C43" si="1">IF(C$21="SEL","N/A - SEL",IF(OR(C24="",$A25&gt;C$22),"",C24*(1-$E$11)))</f>
        <v/>
      </c>
      <c r="D25" s="122" t="str">
        <f t="shared" ref="D25:D43" si="2">IF(D$21="SEL","N/A - SEL",IF(OR(D24="",$A25&gt;D$22),"",D24*(1-$E$11)))</f>
        <v>N/A - SEL</v>
      </c>
      <c r="E25" s="122" t="str">
        <f t="shared" ref="E25:E43" si="3">IF(E$21="SEL","N/A - SEL",IF(OR(E24="",$A25&gt;E$22),"",E24*(1-$E$11)))</f>
        <v/>
      </c>
      <c r="F25" s="122" t="str">
        <f t="shared" ref="F25:F43" si="4">IF(F$21="SEL","N/A - SEL",IF(OR(F24="",$A25&gt;F$22),"",F24*(1-$E$11)))</f>
        <v/>
      </c>
      <c r="G25" s="122" t="str">
        <f t="shared" ref="G25:G43" si="5">IF(G$21="SEL","N/A - SEL",IF(OR(G24="",$A25&gt;G$22),"",G24*(1-$E$11)))</f>
        <v/>
      </c>
      <c r="H25" s="122" t="str">
        <f t="shared" ref="H25:H43" si="6">IF(H$21="SEL","N/A - SEL",IF(OR(H24="",$A25&gt;H$22),"",H24*(1-$E$11)))</f>
        <v/>
      </c>
    </row>
    <row r="26" spans="1:8" x14ac:dyDescent="0.35">
      <c r="A26" s="66">
        <v>3</v>
      </c>
      <c r="B26" s="122" t="str">
        <f t="shared" si="0"/>
        <v/>
      </c>
      <c r="C26" s="122" t="str">
        <f t="shared" si="1"/>
        <v/>
      </c>
      <c r="D26" s="122" t="str">
        <f t="shared" si="2"/>
        <v>N/A - SEL</v>
      </c>
      <c r="E26" s="122" t="str">
        <f t="shared" si="3"/>
        <v/>
      </c>
      <c r="F26" s="122" t="str">
        <f t="shared" si="4"/>
        <v/>
      </c>
      <c r="G26" s="122" t="str">
        <f t="shared" si="5"/>
        <v/>
      </c>
      <c r="H26" s="122" t="str">
        <f t="shared" si="6"/>
        <v/>
      </c>
    </row>
    <row r="27" spans="1:8" x14ac:dyDescent="0.35">
      <c r="A27" s="66">
        <v>4</v>
      </c>
      <c r="B27" s="122" t="str">
        <f t="shared" si="0"/>
        <v/>
      </c>
      <c r="C27" s="122" t="str">
        <f t="shared" si="1"/>
        <v/>
      </c>
      <c r="D27" s="122" t="str">
        <f t="shared" si="2"/>
        <v>N/A - SEL</v>
      </c>
      <c r="E27" s="122" t="str">
        <f t="shared" si="3"/>
        <v/>
      </c>
      <c r="F27" s="122" t="str">
        <f t="shared" si="4"/>
        <v/>
      </c>
      <c r="G27" s="122" t="str">
        <f t="shared" si="5"/>
        <v/>
      </c>
      <c r="H27" s="122" t="str">
        <f t="shared" si="6"/>
        <v/>
      </c>
    </row>
    <row r="28" spans="1:8" x14ac:dyDescent="0.35">
      <c r="A28" s="66">
        <v>5</v>
      </c>
      <c r="B28" s="122" t="str">
        <f t="shared" si="0"/>
        <v/>
      </c>
      <c r="C28" s="122" t="str">
        <f t="shared" si="1"/>
        <v/>
      </c>
      <c r="D28" s="122" t="str">
        <f t="shared" si="2"/>
        <v>N/A - SEL</v>
      </c>
      <c r="E28" s="122" t="str">
        <f t="shared" si="3"/>
        <v/>
      </c>
      <c r="F28" s="122" t="str">
        <f t="shared" si="4"/>
        <v/>
      </c>
      <c r="G28" s="122" t="str">
        <f t="shared" si="5"/>
        <v/>
      </c>
      <c r="H28" s="122" t="str">
        <f t="shared" si="6"/>
        <v/>
      </c>
    </row>
    <row r="29" spans="1:8" x14ac:dyDescent="0.35">
      <c r="A29" s="66">
        <v>6</v>
      </c>
      <c r="B29" s="122" t="str">
        <f t="shared" si="0"/>
        <v/>
      </c>
      <c r="C29" s="122" t="str">
        <f t="shared" si="1"/>
        <v/>
      </c>
      <c r="D29" s="122" t="str">
        <f t="shared" si="2"/>
        <v>N/A - SEL</v>
      </c>
      <c r="E29" s="122" t="str">
        <f t="shared" si="3"/>
        <v/>
      </c>
      <c r="F29" s="122" t="str">
        <f t="shared" si="4"/>
        <v/>
      </c>
      <c r="G29" s="122" t="str">
        <f t="shared" si="5"/>
        <v/>
      </c>
      <c r="H29" s="122" t="str">
        <f t="shared" si="6"/>
        <v/>
      </c>
    </row>
    <row r="30" spans="1:8" x14ac:dyDescent="0.35">
      <c r="A30" s="66">
        <v>7</v>
      </c>
      <c r="B30" s="122" t="str">
        <f t="shared" si="0"/>
        <v/>
      </c>
      <c r="C30" s="122" t="str">
        <f t="shared" si="1"/>
        <v/>
      </c>
      <c r="D30" s="122" t="str">
        <f t="shared" si="2"/>
        <v>N/A - SEL</v>
      </c>
      <c r="E30" s="122" t="str">
        <f t="shared" si="3"/>
        <v/>
      </c>
      <c r="F30" s="122" t="str">
        <f t="shared" si="4"/>
        <v/>
      </c>
      <c r="G30" s="122" t="str">
        <f t="shared" si="5"/>
        <v/>
      </c>
      <c r="H30" s="122" t="str">
        <f t="shared" si="6"/>
        <v/>
      </c>
    </row>
    <row r="31" spans="1:8" x14ac:dyDescent="0.35">
      <c r="A31" s="66">
        <v>8</v>
      </c>
      <c r="B31" s="122" t="str">
        <f t="shared" si="0"/>
        <v/>
      </c>
      <c r="C31" s="122" t="str">
        <f t="shared" si="1"/>
        <v/>
      </c>
      <c r="D31" s="122" t="str">
        <f t="shared" si="2"/>
        <v>N/A - SEL</v>
      </c>
      <c r="E31" s="122" t="str">
        <f t="shared" si="3"/>
        <v/>
      </c>
      <c r="F31" s="122" t="str">
        <f t="shared" si="4"/>
        <v/>
      </c>
      <c r="G31" s="122" t="str">
        <f t="shared" si="5"/>
        <v/>
      </c>
      <c r="H31" s="122" t="str">
        <f t="shared" si="6"/>
        <v/>
      </c>
    </row>
    <row r="32" spans="1:8" x14ac:dyDescent="0.35">
      <c r="A32" s="66">
        <v>9</v>
      </c>
      <c r="B32" s="122" t="str">
        <f t="shared" si="0"/>
        <v/>
      </c>
      <c r="C32" s="122" t="str">
        <f t="shared" si="1"/>
        <v/>
      </c>
      <c r="D32" s="122" t="str">
        <f t="shared" si="2"/>
        <v>N/A - SEL</v>
      </c>
      <c r="E32" s="122" t="str">
        <f t="shared" si="3"/>
        <v/>
      </c>
      <c r="F32" s="122" t="str">
        <f t="shared" si="4"/>
        <v/>
      </c>
      <c r="G32" s="122" t="str">
        <f t="shared" si="5"/>
        <v/>
      </c>
      <c r="H32" s="122" t="str">
        <f t="shared" si="6"/>
        <v/>
      </c>
    </row>
    <row r="33" spans="1:8" x14ac:dyDescent="0.35">
      <c r="A33" s="66">
        <v>10</v>
      </c>
      <c r="B33" s="122" t="str">
        <f t="shared" si="0"/>
        <v/>
      </c>
      <c r="C33" s="122" t="str">
        <f t="shared" si="1"/>
        <v/>
      </c>
      <c r="D33" s="122" t="str">
        <f t="shared" si="2"/>
        <v>N/A - SEL</v>
      </c>
      <c r="E33" s="122" t="str">
        <f t="shared" si="3"/>
        <v/>
      </c>
      <c r="F33" s="122" t="str">
        <f t="shared" si="4"/>
        <v/>
      </c>
      <c r="G33" s="122" t="str">
        <f t="shared" si="5"/>
        <v/>
      </c>
      <c r="H33" s="122" t="str">
        <f t="shared" si="6"/>
        <v/>
      </c>
    </row>
    <row r="34" spans="1:8" x14ac:dyDescent="0.35">
      <c r="A34" s="66">
        <v>11</v>
      </c>
      <c r="B34" s="122" t="str">
        <f t="shared" si="0"/>
        <v/>
      </c>
      <c r="C34" s="122" t="str">
        <f t="shared" si="1"/>
        <v/>
      </c>
      <c r="D34" s="122" t="str">
        <f t="shared" si="2"/>
        <v>N/A - SEL</v>
      </c>
      <c r="E34" s="122" t="str">
        <f t="shared" si="3"/>
        <v/>
      </c>
      <c r="F34" s="122" t="str">
        <f t="shared" si="4"/>
        <v/>
      </c>
      <c r="G34" s="122" t="str">
        <f t="shared" si="5"/>
        <v/>
      </c>
      <c r="H34" s="122" t="str">
        <f t="shared" si="6"/>
        <v/>
      </c>
    </row>
    <row r="35" spans="1:8" x14ac:dyDescent="0.35">
      <c r="A35" s="66">
        <v>12</v>
      </c>
      <c r="B35" s="122" t="str">
        <f t="shared" si="0"/>
        <v/>
      </c>
      <c r="C35" s="122" t="str">
        <f t="shared" si="1"/>
        <v/>
      </c>
      <c r="D35" s="122" t="str">
        <f t="shared" si="2"/>
        <v>N/A - SEL</v>
      </c>
      <c r="E35" s="122" t="str">
        <f t="shared" si="3"/>
        <v/>
      </c>
      <c r="F35" s="122" t="str">
        <f t="shared" si="4"/>
        <v/>
      </c>
      <c r="G35" s="122" t="str">
        <f t="shared" si="5"/>
        <v/>
      </c>
      <c r="H35" s="122" t="str">
        <f t="shared" si="6"/>
        <v/>
      </c>
    </row>
    <row r="36" spans="1:8" x14ac:dyDescent="0.35">
      <c r="A36" s="66">
        <v>13</v>
      </c>
      <c r="B36" s="122" t="str">
        <f t="shared" si="0"/>
        <v/>
      </c>
      <c r="C36" s="122" t="str">
        <f t="shared" si="1"/>
        <v/>
      </c>
      <c r="D36" s="122" t="str">
        <f t="shared" si="2"/>
        <v>N/A - SEL</v>
      </c>
      <c r="E36" s="122" t="str">
        <f t="shared" si="3"/>
        <v/>
      </c>
      <c r="F36" s="122" t="str">
        <f t="shared" si="4"/>
        <v/>
      </c>
      <c r="G36" s="122" t="str">
        <f t="shared" si="5"/>
        <v/>
      </c>
      <c r="H36" s="122" t="str">
        <f t="shared" si="6"/>
        <v/>
      </c>
    </row>
    <row r="37" spans="1:8" x14ac:dyDescent="0.35">
      <c r="A37" s="66">
        <v>14</v>
      </c>
      <c r="B37" s="122" t="str">
        <f t="shared" si="0"/>
        <v/>
      </c>
      <c r="C37" s="122" t="str">
        <f t="shared" si="1"/>
        <v/>
      </c>
      <c r="D37" s="122" t="str">
        <f t="shared" si="2"/>
        <v>N/A - SEL</v>
      </c>
      <c r="E37" s="122" t="str">
        <f t="shared" si="3"/>
        <v/>
      </c>
      <c r="F37" s="122" t="str">
        <f t="shared" si="4"/>
        <v/>
      </c>
      <c r="G37" s="122" t="str">
        <f t="shared" si="5"/>
        <v/>
      </c>
      <c r="H37" s="122" t="str">
        <f t="shared" si="6"/>
        <v/>
      </c>
    </row>
    <row r="38" spans="1:8" x14ac:dyDescent="0.35">
      <c r="A38" s="66">
        <v>15</v>
      </c>
      <c r="B38" s="122" t="str">
        <f t="shared" si="0"/>
        <v/>
      </c>
      <c r="C38" s="122" t="str">
        <f t="shared" si="1"/>
        <v/>
      </c>
      <c r="D38" s="122" t="str">
        <f t="shared" si="2"/>
        <v>N/A - SEL</v>
      </c>
      <c r="E38" s="122" t="str">
        <f t="shared" si="3"/>
        <v/>
      </c>
      <c r="F38" s="122" t="str">
        <f t="shared" si="4"/>
        <v/>
      </c>
      <c r="G38" s="122" t="str">
        <f t="shared" si="5"/>
        <v/>
      </c>
      <c r="H38" s="122" t="str">
        <f t="shared" si="6"/>
        <v/>
      </c>
    </row>
    <row r="39" spans="1:8" x14ac:dyDescent="0.35">
      <c r="A39" s="66">
        <v>16</v>
      </c>
      <c r="B39" s="122" t="str">
        <f t="shared" si="0"/>
        <v/>
      </c>
      <c r="C39" s="122" t="str">
        <f t="shared" si="1"/>
        <v/>
      </c>
      <c r="D39" s="122" t="str">
        <f t="shared" si="2"/>
        <v>N/A - SEL</v>
      </c>
      <c r="E39" s="122" t="str">
        <f t="shared" si="3"/>
        <v/>
      </c>
      <c r="F39" s="122" t="str">
        <f t="shared" si="4"/>
        <v/>
      </c>
      <c r="G39" s="122" t="str">
        <f t="shared" si="5"/>
        <v/>
      </c>
      <c r="H39" s="122" t="str">
        <f t="shared" si="6"/>
        <v/>
      </c>
    </row>
    <row r="40" spans="1:8" x14ac:dyDescent="0.35">
      <c r="A40" s="66">
        <v>17</v>
      </c>
      <c r="B40" s="122" t="str">
        <f t="shared" si="0"/>
        <v/>
      </c>
      <c r="C40" s="122" t="str">
        <f t="shared" si="1"/>
        <v/>
      </c>
      <c r="D40" s="122" t="str">
        <f t="shared" si="2"/>
        <v>N/A - SEL</v>
      </c>
      <c r="E40" s="122" t="str">
        <f t="shared" si="3"/>
        <v/>
      </c>
      <c r="F40" s="122" t="str">
        <f t="shared" si="4"/>
        <v/>
      </c>
      <c r="G40" s="122" t="str">
        <f t="shared" si="5"/>
        <v/>
      </c>
      <c r="H40" s="122" t="str">
        <f t="shared" si="6"/>
        <v/>
      </c>
    </row>
    <row r="41" spans="1:8" x14ac:dyDescent="0.35">
      <c r="A41" s="66">
        <v>18</v>
      </c>
      <c r="B41" s="122" t="str">
        <f t="shared" si="0"/>
        <v/>
      </c>
      <c r="C41" s="122" t="str">
        <f t="shared" si="1"/>
        <v/>
      </c>
      <c r="D41" s="122" t="str">
        <f t="shared" si="2"/>
        <v>N/A - SEL</v>
      </c>
      <c r="E41" s="122" t="str">
        <f t="shared" si="3"/>
        <v/>
      </c>
      <c r="F41" s="122" t="str">
        <f t="shared" si="4"/>
        <v/>
      </c>
      <c r="G41" s="122" t="str">
        <f t="shared" si="5"/>
        <v/>
      </c>
      <c r="H41" s="122" t="str">
        <f t="shared" si="6"/>
        <v/>
      </c>
    </row>
    <row r="42" spans="1:8" x14ac:dyDescent="0.35">
      <c r="A42" s="66">
        <v>19</v>
      </c>
      <c r="B42" s="122" t="str">
        <f t="shared" si="0"/>
        <v/>
      </c>
      <c r="C42" s="122" t="str">
        <f t="shared" si="1"/>
        <v/>
      </c>
      <c r="D42" s="122" t="str">
        <f t="shared" si="2"/>
        <v>N/A - SEL</v>
      </c>
      <c r="E42" s="122" t="str">
        <f t="shared" si="3"/>
        <v/>
      </c>
      <c r="F42" s="122" t="str">
        <f t="shared" si="4"/>
        <v/>
      </c>
      <c r="G42" s="122" t="str">
        <f t="shared" si="5"/>
        <v/>
      </c>
      <c r="H42" s="122" t="str">
        <f t="shared" si="6"/>
        <v/>
      </c>
    </row>
    <row r="43" spans="1:8" x14ac:dyDescent="0.35">
      <c r="A43" s="66">
        <v>20</v>
      </c>
      <c r="B43" s="122" t="str">
        <f t="shared" si="0"/>
        <v/>
      </c>
      <c r="C43" s="122" t="str">
        <f t="shared" si="1"/>
        <v/>
      </c>
      <c r="D43" s="122" t="str">
        <f t="shared" si="2"/>
        <v>N/A - SEL</v>
      </c>
      <c r="E43" s="122" t="str">
        <f t="shared" si="3"/>
        <v/>
      </c>
      <c r="F43" s="122" t="str">
        <f t="shared" si="4"/>
        <v/>
      </c>
      <c r="G43" s="122" t="str">
        <f t="shared" si="5"/>
        <v/>
      </c>
      <c r="H43" s="122" t="str">
        <f t="shared" si="6"/>
        <v/>
      </c>
    </row>
    <row r="44" spans="1:8" x14ac:dyDescent="0.35">
      <c r="A44" s="67" t="s">
        <v>135</v>
      </c>
      <c r="B44" s="123">
        <f t="shared" ref="B44:H44" si="7">SUM(B24:B43)</f>
        <v>0</v>
      </c>
      <c r="C44" s="123">
        <f t="shared" si="7"/>
        <v>0</v>
      </c>
      <c r="D44" s="123">
        <f t="shared" si="7"/>
        <v>0</v>
      </c>
      <c r="E44" s="123">
        <f t="shared" si="7"/>
        <v>0</v>
      </c>
      <c r="F44" s="123">
        <f t="shared" si="7"/>
        <v>0</v>
      </c>
      <c r="G44" s="123">
        <f t="shared" si="7"/>
        <v>0</v>
      </c>
      <c r="H44" s="311">
        <f t="shared" si="7"/>
        <v>0</v>
      </c>
    </row>
    <row r="46" spans="1:8" ht="25" x14ac:dyDescent="0.35">
      <c r="A46" s="64" t="s">
        <v>136</v>
      </c>
      <c r="B46" s="60"/>
      <c r="C46" s="60"/>
      <c r="D46" s="60"/>
    </row>
    <row r="47" spans="1:8" ht="43.5" x14ac:dyDescent="0.35">
      <c r="A47" s="65" t="s">
        <v>134</v>
      </c>
      <c r="B47" s="135" t="str">
        <f>INDEX(Site_Data_Table,MATCH(B$20,'Site Data'!$C$6:$C$13,0),MATCH("Site Name",Site_Data_Column_Names,0))</f>
        <v>Imperial County Courthouse</v>
      </c>
      <c r="C47" s="135" t="str">
        <f>INDEX(Site_Data_Table,MATCH(C$20,'Site Data'!$C$6:$C$13,0),MATCH("Site Name",Site_Data_Column_Names,0))</f>
        <v>Pomona Courthouse South</v>
      </c>
      <c r="D47" s="135" t="str">
        <f>INDEX(Site_Data_Table,MATCH(D$20,'Site Data'!$C$6:$C$13,0),MATCH("Site Name",Site_Data_Column_Names,0))</f>
        <v>Banning Justice Center</v>
      </c>
      <c r="E47" s="135" t="str">
        <f>INDEX(Site_Data_Table,MATCH(E$20,'Site Data'!$C$6:$C$13,0),MATCH("Site Name",Site_Data_Column_Names,0))</f>
        <v>San Bernardino Justice Center</v>
      </c>
      <c r="F47" s="135" t="str">
        <f>INDEX(Site_Data_Table,MATCH(F$20,'Site Data'!$C$6:$C$13,0),MATCH("Site Name",Site_Data_Column_Names,0))</f>
        <v>Kearny Mesa Court</v>
      </c>
      <c r="G47" s="135" t="str">
        <f>INDEX(Site_Data_Table,MATCH(G$20,'Site Data'!$C$6:$C$13,0),MATCH("Site Name",Site_Data_Column_Names,0))</f>
        <v>East County Regional Center</v>
      </c>
      <c r="H47" s="135" t="str">
        <f>INDEX(Site_Data_Table,MATCH(H$20,'Site Data'!$C$6:$C$13,0),MATCH("Site Name",Site_Data_Column_Names,0))</f>
        <v>Santa Ana Courthouse</v>
      </c>
    </row>
    <row r="48" spans="1:8" hidden="1" outlineLevel="1" x14ac:dyDescent="0.35">
      <c r="A48" s="65" t="s">
        <v>11</v>
      </c>
      <c r="B48" s="120" t="str" cm="1">
        <f t="array" ref="B48:H48">TRANSPOSE('System Specification'!$D$14:$D$20)</f>
        <v>13-A1</v>
      </c>
      <c r="C48" s="286" t="str">
        <v>19-W1</v>
      </c>
      <c r="D48" s="286" t="str">
        <v>33-G4</v>
      </c>
      <c r="E48" s="286" t="str">
        <v>36-R1</v>
      </c>
      <c r="F48" s="286" t="str">
        <v>37-C1</v>
      </c>
      <c r="G48" s="286" t="str">
        <v>37-I1</v>
      </c>
      <c r="H48" s="286" t="str">
        <v>64-E1</v>
      </c>
    </row>
    <row r="49" spans="1:8" hidden="1" outlineLevel="1" x14ac:dyDescent="0.35">
      <c r="A49" s="65" t="str">
        <f>'Site Data'!$R$6</f>
        <v>SPPA or SEL</v>
      </c>
      <c r="B49" s="120" t="str">
        <f>INDEX(Site_Data_Table,MATCH(B$48,'Site Data'!$C$6:$C$13,0),MATCH($A49,Site_Data_Column_Names,0))</f>
        <v>SPPA</v>
      </c>
      <c r="C49" s="120" t="str">
        <f>INDEX(Site_Data_Table,MATCH(C$48,'Site Data'!$C$6:$C$13,0),MATCH($A49,Site_Data_Column_Names,0))</f>
        <v>SPPA</v>
      </c>
      <c r="D49" s="120" t="str">
        <f>INDEX(Site_Data_Table,MATCH(D$48,'Site Data'!$C$6:$C$13,0),MATCH($A49,Site_Data_Column_Names,0))</f>
        <v>SEL</v>
      </c>
      <c r="E49" s="120" t="str">
        <f>INDEX(Site_Data_Table,MATCH(E$48,'Site Data'!$C$6:$C$13,0),MATCH($A49,Site_Data_Column_Names,0))</f>
        <v>SPPA</v>
      </c>
      <c r="F49" s="120" t="str">
        <f>INDEX(Site_Data_Table,MATCH(F$48,'Site Data'!$C$6:$C$13,0),MATCH($A49,Site_Data_Column_Names,0))</f>
        <v>SPPA</v>
      </c>
      <c r="G49" s="120" t="str">
        <f>INDEX(Site_Data_Table,MATCH(G$48,'Site Data'!$C$6:$C$13,0),MATCH($A49,Site_Data_Column_Names,0))</f>
        <v>SPPA</v>
      </c>
      <c r="H49" s="120" t="str">
        <f>INDEX(Site_Data_Table,MATCH(H$48,'Site Data'!$C$6:$C$13,0),MATCH($A49,Site_Data_Column_Names,0))</f>
        <v>SPPA</v>
      </c>
    </row>
    <row r="50" spans="1:8" ht="26" hidden="1" outlineLevel="1" x14ac:dyDescent="0.35">
      <c r="A50" s="65" t="str">
        <f>'Site Data'!$S$6</f>
        <v>SPPA/SEL Term (yrs)</v>
      </c>
      <c r="B50" s="120">
        <f>INDEX(Site_Data_Table,MATCH(B$20,'Site Data'!$C$6:$C$13,0),MATCH($A50,Site_Data_Column_Names,0))</f>
        <v>20</v>
      </c>
      <c r="C50" s="120">
        <f>INDEX(Site_Data_Table,MATCH(C$20,'Site Data'!$C$6:$C$13,0),MATCH($A50,Site_Data_Column_Names,0))</f>
        <v>20</v>
      </c>
      <c r="D50" s="120">
        <f>INDEX(Site_Data_Table,MATCH(D$20,'Site Data'!$C$6:$C$13,0),MATCH($A50,Site_Data_Column_Names,0))</f>
        <v>20</v>
      </c>
      <c r="E50" s="120">
        <f>INDEX(Site_Data_Table,MATCH(E$20,'Site Data'!$C$6:$C$13,0),MATCH($A50,Site_Data_Column_Names,0))</f>
        <v>20</v>
      </c>
      <c r="F50" s="120">
        <f>INDEX(Site_Data_Table,MATCH(F$20,'Site Data'!$C$6:$C$13,0),MATCH($A50,Site_Data_Column_Names,0))</f>
        <v>20</v>
      </c>
      <c r="G50" s="120">
        <f>INDEX(Site_Data_Table,MATCH(G$20,'Site Data'!$C$6:$C$13,0),MATCH($A50,Site_Data_Column_Names,0))</f>
        <v>20</v>
      </c>
      <c r="H50" s="120">
        <f>INDEX(Site_Data_Table,MATCH(H$20,'Site Data'!$C$6:$C$13,0),MATCH($A50,Site_Data_Column_Names,0))</f>
        <v>20</v>
      </c>
    </row>
    <row r="51" spans="1:8" hidden="1" outlineLevel="1" x14ac:dyDescent="0.35">
      <c r="A51" s="65" t="str">
        <f>'Site Data'!$AA$6</f>
        <v>Include</v>
      </c>
      <c r="B51" s="120" t="str">
        <f>INDEX(Site_Data_Table,MATCH(B$20,'Site Data'!$C$6:$C$13,0),MATCH($A51,Site_Data_Column_Names,0))</f>
        <v>Yes</v>
      </c>
      <c r="C51" s="120" t="str">
        <f>INDEX(Site_Data_Table,MATCH(C$20,'Site Data'!$C$6:$C$13,0),MATCH($A51,Site_Data_Column_Names,0))</f>
        <v>Yes</v>
      </c>
      <c r="D51" s="120" t="str">
        <f>INDEX(Site_Data_Table,MATCH(D$20,'Site Data'!$C$6:$C$13,0),MATCH($A51,Site_Data_Column_Names,0))</f>
        <v>Yes</v>
      </c>
      <c r="E51" s="120" t="str">
        <f>INDEX(Site_Data_Table,MATCH(E$20,'Site Data'!$C$6:$C$13,0),MATCH($A51,Site_Data_Column_Names,0))</f>
        <v>Yes</v>
      </c>
      <c r="F51" s="120" t="str">
        <f>INDEX(Site_Data_Table,MATCH(F$20,'Site Data'!$C$6:$C$13,0),MATCH($A51,Site_Data_Column_Names,0))</f>
        <v>Yes</v>
      </c>
      <c r="G51" s="120" t="str">
        <f>INDEX(Site_Data_Table,MATCH(G$20,'Site Data'!$C$6:$C$13,0),MATCH($A51,Site_Data_Column_Names,0))</f>
        <v>Yes</v>
      </c>
      <c r="H51" s="120" t="str">
        <f>INDEX(Site_Data_Table,MATCH(H$20,'Site Data'!$C$6:$C$13,0),MATCH($A51,Site_Data_Column_Names,0))</f>
        <v>Yes</v>
      </c>
    </row>
    <row r="52" spans="1:8" collapsed="1" x14ac:dyDescent="0.35">
      <c r="A52" s="66">
        <v>1</v>
      </c>
      <c r="B52" s="121" t="str" cm="1">
        <f t="array" ref="B52:H52">IF($B$21:$H$21="SEL","N/A - SEL",TRANSPOSE(IF('System Specification'!H$14:H$20&gt;0,'System Specification'!H$14:H$20*$E$12,"")))</f>
        <v/>
      </c>
      <c r="C52" s="121" t="str">
        <v/>
      </c>
      <c r="D52" s="121" t="str">
        <v>N/A - SEL</v>
      </c>
      <c r="E52" s="121" t="str">
        <v/>
      </c>
      <c r="F52" s="121" t="str">
        <v/>
      </c>
      <c r="G52" s="121" t="str">
        <v/>
      </c>
      <c r="H52" s="121" t="str">
        <v/>
      </c>
    </row>
    <row r="53" spans="1:8" x14ac:dyDescent="0.35">
      <c r="A53" s="66">
        <v>2</v>
      </c>
      <c r="B53" s="122" t="str">
        <f t="shared" ref="B53:B71" si="8">IF(B$21="SEL","N/A - SEL",IF(OR(B52="",$A53&gt;B$22),"",B52*(1-$E$11)))</f>
        <v/>
      </c>
      <c r="C53" s="122" t="str">
        <f t="shared" ref="C53:C71" si="9">IF(C$21="SEL","N/A - SEL",IF(OR(C52="",$A53&gt;C$22),"",C52*(1-$E$11)))</f>
        <v/>
      </c>
      <c r="D53" s="122" t="str">
        <f t="shared" ref="D53:D71" si="10">IF(D$21="SEL","N/A - SEL",IF(OR(D52="",$A53&gt;D$22),"",D52*(1-$E$11)))</f>
        <v>N/A - SEL</v>
      </c>
      <c r="E53" s="122" t="str">
        <f t="shared" ref="E53:E71" si="11">IF(E$21="SEL","N/A - SEL",IF(OR(E52="",$A53&gt;E$22),"",E52*(1-$E$11)))</f>
        <v/>
      </c>
      <c r="F53" s="122" t="str">
        <f t="shared" ref="F53:F71" si="12">IF(F$21="SEL","N/A - SEL",IF(OR(F52="",$A53&gt;F$22),"",F52*(1-$E$11)))</f>
        <v/>
      </c>
      <c r="G53" s="122" t="str">
        <f t="shared" ref="G53:G71" si="13">IF(G$21="SEL","N/A - SEL",IF(OR(G52="",$A53&gt;G$22),"",G52*(1-$E$11)))</f>
        <v/>
      </c>
      <c r="H53" s="122" t="str">
        <f t="shared" ref="H53:H71" si="14">IF(H$21="SEL","N/A - SEL",IF(OR(H52="",$A53&gt;H$22),"",H52*(1-$E$11)))</f>
        <v/>
      </c>
    </row>
    <row r="54" spans="1:8" x14ac:dyDescent="0.35">
      <c r="A54" s="66">
        <v>3</v>
      </c>
      <c r="B54" s="122" t="str">
        <f t="shared" si="8"/>
        <v/>
      </c>
      <c r="C54" s="122" t="str">
        <f t="shared" si="9"/>
        <v/>
      </c>
      <c r="D54" s="122" t="str">
        <f t="shared" si="10"/>
        <v>N/A - SEL</v>
      </c>
      <c r="E54" s="122" t="str">
        <f t="shared" si="11"/>
        <v/>
      </c>
      <c r="F54" s="122" t="str">
        <f t="shared" si="12"/>
        <v/>
      </c>
      <c r="G54" s="122" t="str">
        <f t="shared" si="13"/>
        <v/>
      </c>
      <c r="H54" s="122" t="str">
        <f t="shared" si="14"/>
        <v/>
      </c>
    </row>
    <row r="55" spans="1:8" x14ac:dyDescent="0.35">
      <c r="A55" s="66">
        <v>4</v>
      </c>
      <c r="B55" s="122" t="str">
        <f t="shared" si="8"/>
        <v/>
      </c>
      <c r="C55" s="122" t="str">
        <f t="shared" si="9"/>
        <v/>
      </c>
      <c r="D55" s="122" t="str">
        <f t="shared" si="10"/>
        <v>N/A - SEL</v>
      </c>
      <c r="E55" s="122" t="str">
        <f t="shared" si="11"/>
        <v/>
      </c>
      <c r="F55" s="122" t="str">
        <f t="shared" si="12"/>
        <v/>
      </c>
      <c r="G55" s="122" t="str">
        <f t="shared" si="13"/>
        <v/>
      </c>
      <c r="H55" s="122" t="str">
        <f t="shared" si="14"/>
        <v/>
      </c>
    </row>
    <row r="56" spans="1:8" x14ac:dyDescent="0.35">
      <c r="A56" s="66">
        <v>5</v>
      </c>
      <c r="B56" s="122" t="str">
        <f t="shared" si="8"/>
        <v/>
      </c>
      <c r="C56" s="122" t="str">
        <f t="shared" si="9"/>
        <v/>
      </c>
      <c r="D56" s="122" t="str">
        <f t="shared" si="10"/>
        <v>N/A - SEL</v>
      </c>
      <c r="E56" s="122" t="str">
        <f t="shared" si="11"/>
        <v/>
      </c>
      <c r="F56" s="122" t="str">
        <f t="shared" si="12"/>
        <v/>
      </c>
      <c r="G56" s="122" t="str">
        <f t="shared" si="13"/>
        <v/>
      </c>
      <c r="H56" s="122" t="str">
        <f t="shared" si="14"/>
        <v/>
      </c>
    </row>
    <row r="57" spans="1:8" x14ac:dyDescent="0.35">
      <c r="A57" s="66">
        <v>6</v>
      </c>
      <c r="B57" s="122" t="str">
        <f t="shared" si="8"/>
        <v/>
      </c>
      <c r="C57" s="122" t="str">
        <f t="shared" si="9"/>
        <v/>
      </c>
      <c r="D57" s="122" t="str">
        <f t="shared" si="10"/>
        <v>N/A - SEL</v>
      </c>
      <c r="E57" s="122" t="str">
        <f t="shared" si="11"/>
        <v/>
      </c>
      <c r="F57" s="122" t="str">
        <f t="shared" si="12"/>
        <v/>
      </c>
      <c r="G57" s="122" t="str">
        <f t="shared" si="13"/>
        <v/>
      </c>
      <c r="H57" s="122" t="str">
        <f t="shared" si="14"/>
        <v/>
      </c>
    </row>
    <row r="58" spans="1:8" x14ac:dyDescent="0.35">
      <c r="A58" s="66">
        <v>7</v>
      </c>
      <c r="B58" s="122" t="str">
        <f t="shared" si="8"/>
        <v/>
      </c>
      <c r="C58" s="122" t="str">
        <f t="shared" si="9"/>
        <v/>
      </c>
      <c r="D58" s="122" t="str">
        <f t="shared" si="10"/>
        <v>N/A - SEL</v>
      </c>
      <c r="E58" s="122" t="str">
        <f t="shared" si="11"/>
        <v/>
      </c>
      <c r="F58" s="122" t="str">
        <f t="shared" si="12"/>
        <v/>
      </c>
      <c r="G58" s="122" t="str">
        <f t="shared" si="13"/>
        <v/>
      </c>
      <c r="H58" s="122" t="str">
        <f t="shared" si="14"/>
        <v/>
      </c>
    </row>
    <row r="59" spans="1:8" x14ac:dyDescent="0.35">
      <c r="A59" s="66">
        <v>8</v>
      </c>
      <c r="B59" s="122" t="str">
        <f t="shared" si="8"/>
        <v/>
      </c>
      <c r="C59" s="122" t="str">
        <f t="shared" si="9"/>
        <v/>
      </c>
      <c r="D59" s="122" t="str">
        <f t="shared" si="10"/>
        <v>N/A - SEL</v>
      </c>
      <c r="E59" s="122" t="str">
        <f t="shared" si="11"/>
        <v/>
      </c>
      <c r="F59" s="122" t="str">
        <f t="shared" si="12"/>
        <v/>
      </c>
      <c r="G59" s="122" t="str">
        <f t="shared" si="13"/>
        <v/>
      </c>
      <c r="H59" s="122" t="str">
        <f t="shared" si="14"/>
        <v/>
      </c>
    </row>
    <row r="60" spans="1:8" x14ac:dyDescent="0.35">
      <c r="A60" s="66">
        <v>9</v>
      </c>
      <c r="B60" s="122" t="str">
        <f t="shared" si="8"/>
        <v/>
      </c>
      <c r="C60" s="122" t="str">
        <f t="shared" si="9"/>
        <v/>
      </c>
      <c r="D60" s="122" t="str">
        <f t="shared" si="10"/>
        <v>N/A - SEL</v>
      </c>
      <c r="E60" s="122" t="str">
        <f t="shared" si="11"/>
        <v/>
      </c>
      <c r="F60" s="122" t="str">
        <f t="shared" si="12"/>
        <v/>
      </c>
      <c r="G60" s="122" t="str">
        <f t="shared" si="13"/>
        <v/>
      </c>
      <c r="H60" s="122" t="str">
        <f t="shared" si="14"/>
        <v/>
      </c>
    </row>
    <row r="61" spans="1:8" x14ac:dyDescent="0.35">
      <c r="A61" s="66">
        <v>10</v>
      </c>
      <c r="B61" s="122" t="str">
        <f t="shared" si="8"/>
        <v/>
      </c>
      <c r="C61" s="122" t="str">
        <f t="shared" si="9"/>
        <v/>
      </c>
      <c r="D61" s="122" t="str">
        <f t="shared" si="10"/>
        <v>N/A - SEL</v>
      </c>
      <c r="E61" s="122" t="str">
        <f t="shared" si="11"/>
        <v/>
      </c>
      <c r="F61" s="122" t="str">
        <f t="shared" si="12"/>
        <v/>
      </c>
      <c r="G61" s="122" t="str">
        <f t="shared" si="13"/>
        <v/>
      </c>
      <c r="H61" s="122" t="str">
        <f t="shared" si="14"/>
        <v/>
      </c>
    </row>
    <row r="62" spans="1:8" x14ac:dyDescent="0.35">
      <c r="A62" s="66">
        <v>11</v>
      </c>
      <c r="B62" s="122" t="str">
        <f t="shared" si="8"/>
        <v/>
      </c>
      <c r="C62" s="122" t="str">
        <f t="shared" si="9"/>
        <v/>
      </c>
      <c r="D62" s="122" t="str">
        <f t="shared" si="10"/>
        <v>N/A - SEL</v>
      </c>
      <c r="E62" s="122" t="str">
        <f t="shared" si="11"/>
        <v/>
      </c>
      <c r="F62" s="122" t="str">
        <f t="shared" si="12"/>
        <v/>
      </c>
      <c r="G62" s="122" t="str">
        <f t="shared" si="13"/>
        <v/>
      </c>
      <c r="H62" s="122" t="str">
        <f t="shared" si="14"/>
        <v/>
      </c>
    </row>
    <row r="63" spans="1:8" x14ac:dyDescent="0.35">
      <c r="A63" s="66">
        <v>12</v>
      </c>
      <c r="B63" s="122" t="str">
        <f t="shared" si="8"/>
        <v/>
      </c>
      <c r="C63" s="122" t="str">
        <f t="shared" si="9"/>
        <v/>
      </c>
      <c r="D63" s="122" t="str">
        <f t="shared" si="10"/>
        <v>N/A - SEL</v>
      </c>
      <c r="E63" s="122" t="str">
        <f t="shared" si="11"/>
        <v/>
      </c>
      <c r="F63" s="122" t="str">
        <f t="shared" si="12"/>
        <v/>
      </c>
      <c r="G63" s="122" t="str">
        <f t="shared" si="13"/>
        <v/>
      </c>
      <c r="H63" s="122" t="str">
        <f t="shared" si="14"/>
        <v/>
      </c>
    </row>
    <row r="64" spans="1:8" x14ac:dyDescent="0.35">
      <c r="A64" s="66">
        <v>13</v>
      </c>
      <c r="B64" s="122" t="str">
        <f t="shared" si="8"/>
        <v/>
      </c>
      <c r="C64" s="122" t="str">
        <f t="shared" si="9"/>
        <v/>
      </c>
      <c r="D64" s="122" t="str">
        <f t="shared" si="10"/>
        <v>N/A - SEL</v>
      </c>
      <c r="E64" s="122" t="str">
        <f t="shared" si="11"/>
        <v/>
      </c>
      <c r="F64" s="122" t="str">
        <f t="shared" si="12"/>
        <v/>
      </c>
      <c r="G64" s="122" t="str">
        <f t="shared" si="13"/>
        <v/>
      </c>
      <c r="H64" s="122" t="str">
        <f t="shared" si="14"/>
        <v/>
      </c>
    </row>
    <row r="65" spans="1:8" x14ac:dyDescent="0.35">
      <c r="A65" s="66">
        <v>14</v>
      </c>
      <c r="B65" s="122" t="str">
        <f t="shared" si="8"/>
        <v/>
      </c>
      <c r="C65" s="122" t="str">
        <f t="shared" si="9"/>
        <v/>
      </c>
      <c r="D65" s="122" t="str">
        <f t="shared" si="10"/>
        <v>N/A - SEL</v>
      </c>
      <c r="E65" s="122" t="str">
        <f t="shared" si="11"/>
        <v/>
      </c>
      <c r="F65" s="122" t="str">
        <f t="shared" si="12"/>
        <v/>
      </c>
      <c r="G65" s="122" t="str">
        <f t="shared" si="13"/>
        <v/>
      </c>
      <c r="H65" s="122" t="str">
        <f t="shared" si="14"/>
        <v/>
      </c>
    </row>
    <row r="66" spans="1:8" x14ac:dyDescent="0.35">
      <c r="A66" s="66">
        <v>15</v>
      </c>
      <c r="B66" s="122" t="str">
        <f t="shared" si="8"/>
        <v/>
      </c>
      <c r="C66" s="122" t="str">
        <f t="shared" si="9"/>
        <v/>
      </c>
      <c r="D66" s="122" t="str">
        <f t="shared" si="10"/>
        <v>N/A - SEL</v>
      </c>
      <c r="E66" s="122" t="str">
        <f t="shared" si="11"/>
        <v/>
      </c>
      <c r="F66" s="122" t="str">
        <f t="shared" si="12"/>
        <v/>
      </c>
      <c r="G66" s="122" t="str">
        <f t="shared" si="13"/>
        <v/>
      </c>
      <c r="H66" s="122" t="str">
        <f t="shared" si="14"/>
        <v/>
      </c>
    </row>
    <row r="67" spans="1:8" x14ac:dyDescent="0.35">
      <c r="A67" s="66">
        <v>16</v>
      </c>
      <c r="B67" s="122" t="str">
        <f t="shared" si="8"/>
        <v/>
      </c>
      <c r="C67" s="122" t="str">
        <f t="shared" si="9"/>
        <v/>
      </c>
      <c r="D67" s="122" t="str">
        <f t="shared" si="10"/>
        <v>N/A - SEL</v>
      </c>
      <c r="E67" s="122" t="str">
        <f t="shared" si="11"/>
        <v/>
      </c>
      <c r="F67" s="122" t="str">
        <f t="shared" si="12"/>
        <v/>
      </c>
      <c r="G67" s="122" t="str">
        <f t="shared" si="13"/>
        <v/>
      </c>
      <c r="H67" s="122" t="str">
        <f t="shared" si="14"/>
        <v/>
      </c>
    </row>
    <row r="68" spans="1:8" x14ac:dyDescent="0.35">
      <c r="A68" s="66">
        <v>17</v>
      </c>
      <c r="B68" s="122" t="str">
        <f t="shared" si="8"/>
        <v/>
      </c>
      <c r="C68" s="122" t="str">
        <f t="shared" si="9"/>
        <v/>
      </c>
      <c r="D68" s="122" t="str">
        <f t="shared" si="10"/>
        <v>N/A - SEL</v>
      </c>
      <c r="E68" s="122" t="str">
        <f t="shared" si="11"/>
        <v/>
      </c>
      <c r="F68" s="122" t="str">
        <f t="shared" si="12"/>
        <v/>
      </c>
      <c r="G68" s="122" t="str">
        <f t="shared" si="13"/>
        <v/>
      </c>
      <c r="H68" s="122" t="str">
        <f t="shared" si="14"/>
        <v/>
      </c>
    </row>
    <row r="69" spans="1:8" x14ac:dyDescent="0.35">
      <c r="A69" s="66">
        <v>18</v>
      </c>
      <c r="B69" s="122" t="str">
        <f t="shared" si="8"/>
        <v/>
      </c>
      <c r="C69" s="122" t="str">
        <f t="shared" si="9"/>
        <v/>
      </c>
      <c r="D69" s="122" t="str">
        <f t="shared" si="10"/>
        <v>N/A - SEL</v>
      </c>
      <c r="E69" s="122" t="str">
        <f t="shared" si="11"/>
        <v/>
      </c>
      <c r="F69" s="122" t="str">
        <f t="shared" si="12"/>
        <v/>
      </c>
      <c r="G69" s="122" t="str">
        <f t="shared" si="13"/>
        <v/>
      </c>
      <c r="H69" s="122" t="str">
        <f t="shared" si="14"/>
        <v/>
      </c>
    </row>
    <row r="70" spans="1:8" x14ac:dyDescent="0.35">
      <c r="A70" s="66">
        <v>19</v>
      </c>
      <c r="B70" s="122" t="str">
        <f t="shared" si="8"/>
        <v/>
      </c>
      <c r="C70" s="122" t="str">
        <f t="shared" si="9"/>
        <v/>
      </c>
      <c r="D70" s="122" t="str">
        <f t="shared" si="10"/>
        <v>N/A - SEL</v>
      </c>
      <c r="E70" s="122" t="str">
        <f t="shared" si="11"/>
        <v/>
      </c>
      <c r="F70" s="122" t="str">
        <f t="shared" si="12"/>
        <v/>
      </c>
      <c r="G70" s="122" t="str">
        <f t="shared" si="13"/>
        <v/>
      </c>
      <c r="H70" s="122" t="str">
        <f t="shared" si="14"/>
        <v/>
      </c>
    </row>
    <row r="71" spans="1:8" x14ac:dyDescent="0.35">
      <c r="A71" s="66">
        <v>20</v>
      </c>
      <c r="B71" s="122" t="str">
        <f t="shared" si="8"/>
        <v/>
      </c>
      <c r="C71" s="122" t="str">
        <f t="shared" si="9"/>
        <v/>
      </c>
      <c r="D71" s="122" t="str">
        <f t="shared" si="10"/>
        <v>N/A - SEL</v>
      </c>
      <c r="E71" s="122" t="str">
        <f t="shared" si="11"/>
        <v/>
      </c>
      <c r="F71" s="122" t="str">
        <f t="shared" si="12"/>
        <v/>
      </c>
      <c r="G71" s="122" t="str">
        <f t="shared" si="13"/>
        <v/>
      </c>
      <c r="H71" s="122" t="str">
        <f t="shared" si="14"/>
        <v/>
      </c>
    </row>
    <row r="72" spans="1:8" x14ac:dyDescent="0.35">
      <c r="A72" s="67" t="s">
        <v>135</v>
      </c>
      <c r="B72" s="123">
        <f t="shared" ref="B72:H72" si="15">SUM(B52:B71)</f>
        <v>0</v>
      </c>
      <c r="C72" s="123">
        <f t="shared" si="15"/>
        <v>0</v>
      </c>
      <c r="D72" s="123">
        <f t="shared" si="15"/>
        <v>0</v>
      </c>
      <c r="E72" s="123">
        <f t="shared" si="15"/>
        <v>0</v>
      </c>
      <c r="F72" s="123">
        <f t="shared" si="15"/>
        <v>0</v>
      </c>
      <c r="G72" s="123">
        <f t="shared" si="15"/>
        <v>0</v>
      </c>
      <c r="H72" s="311">
        <f t="shared" si="15"/>
        <v>0</v>
      </c>
    </row>
    <row r="74" spans="1:8" ht="25" x14ac:dyDescent="0.35">
      <c r="A74" s="64" t="s">
        <v>137</v>
      </c>
      <c r="B74" s="60"/>
      <c r="C74" s="60"/>
      <c r="D74" s="60"/>
    </row>
    <row r="75" spans="1:8" ht="43.5" x14ac:dyDescent="0.35">
      <c r="A75" s="65" t="s">
        <v>134</v>
      </c>
      <c r="B75" s="135" t="str">
        <f>INDEX(Site_Data_Table,MATCH(B$76,'Site Data'!$C$6:$C$13,0),MATCH("Site Name",Site_Data_Column_Names,0))</f>
        <v>Imperial County Courthouse</v>
      </c>
      <c r="C75" s="135" t="str">
        <f>INDEX(Site_Data_Table,MATCH(C$76,'Site Data'!$C$6:$C$13,0),MATCH("Site Name",Site_Data_Column_Names,0))</f>
        <v>Pomona Courthouse South</v>
      </c>
      <c r="D75" s="135" t="str">
        <f>INDEX(Site_Data_Table,MATCH(D$76,'Site Data'!$C$6:$C$13,0),MATCH("Site Name",Site_Data_Column_Names,0))</f>
        <v>Banning Justice Center</v>
      </c>
      <c r="E75" s="135" t="str">
        <f>INDEX(Site_Data_Table,MATCH(E$76,'Site Data'!$C$6:$C$13,0),MATCH("Site Name",Site_Data_Column_Names,0))</f>
        <v>San Bernardino Justice Center</v>
      </c>
      <c r="F75" s="135" t="str">
        <f>INDEX(Site_Data_Table,MATCH(F$76,'Site Data'!$C$6:$C$13,0),MATCH("Site Name",Site_Data_Column_Names,0))</f>
        <v>Kearny Mesa Court</v>
      </c>
      <c r="G75" s="135" t="str">
        <f>INDEX(Site_Data_Table,MATCH(G$76,'Site Data'!$C$6:$C$13,0),MATCH("Site Name",Site_Data_Column_Names,0))</f>
        <v>East County Regional Center</v>
      </c>
      <c r="H75" s="135" t="str">
        <f>INDEX(Site_Data_Table,MATCH(H$76,'Site Data'!$C$6:$C$13,0),MATCH("Site Name",Site_Data_Column_Names,0))</f>
        <v>Santa Ana Courthouse</v>
      </c>
    </row>
    <row r="76" spans="1:8" hidden="1" outlineLevel="1" x14ac:dyDescent="0.35">
      <c r="A76" s="65" t="s">
        <v>11</v>
      </c>
      <c r="B76" s="120" t="str" cm="1">
        <f t="array" ref="B76:H76">TRANSPOSE('System Specification'!$D$14:$D$20)</f>
        <v>13-A1</v>
      </c>
      <c r="C76" s="286" t="str">
        <v>19-W1</v>
      </c>
      <c r="D76" s="286" t="str">
        <v>33-G4</v>
      </c>
      <c r="E76" s="286" t="str">
        <v>36-R1</v>
      </c>
      <c r="F76" s="286" t="str">
        <v>37-C1</v>
      </c>
      <c r="G76" s="286" t="str">
        <v>37-I1</v>
      </c>
      <c r="H76" s="286" t="str">
        <v>64-E1</v>
      </c>
    </row>
    <row r="77" spans="1:8" ht="39" hidden="1" outlineLevel="1" x14ac:dyDescent="0.35">
      <c r="A77" s="65" t="str">
        <f>'System Specification'!$Q$13</f>
        <v>Annual Degradation Rate (%)</v>
      </c>
      <c r="B77" s="292">
        <f>INDEX('System Specification'!$Q$14:$Q$20,MATCH(PeGu!B$76,'System Specification'!$D$14:$D$20,0))</f>
        <v>0</v>
      </c>
      <c r="C77" s="292">
        <f>INDEX('System Specification'!$Q$14:$Q$20,MATCH(PeGu!C$76,'System Specification'!$D$14:$D$20,0))</f>
        <v>0</v>
      </c>
      <c r="D77" s="292">
        <f>INDEX('System Specification'!$Q$14:$Q$20,MATCH(PeGu!D$76,'System Specification'!$D$14:$D$20,0))</f>
        <v>0</v>
      </c>
      <c r="E77" s="292">
        <f>INDEX('System Specification'!$Q$14:$Q$20,MATCH(PeGu!E$76,'System Specification'!$D$14:$D$20,0))</f>
        <v>0</v>
      </c>
      <c r="F77" s="292">
        <f>INDEX('System Specification'!$Q$14:$Q$20,MATCH(PeGu!F$76,'System Specification'!$D$14:$D$20,0))</f>
        <v>0</v>
      </c>
      <c r="G77" s="292">
        <f>INDEX('System Specification'!$Q$14:$Q$20,MATCH(PeGu!G$76,'System Specification'!$D$14:$D$20,0))</f>
        <v>0</v>
      </c>
      <c r="H77" s="292">
        <f>INDEX('System Specification'!$Q$14:$Q$20,MATCH(PeGu!H$76,'System Specification'!$D$14:$D$20,0))</f>
        <v>0</v>
      </c>
    </row>
    <row r="78" spans="1:8" collapsed="1" x14ac:dyDescent="0.35">
      <c r="A78" s="66">
        <v>1</v>
      </c>
      <c r="B78" s="121" t="str" cm="1">
        <f t="array" ref="B78:H78">TRANSPOSE(IF('System Specification'!P$14:P$20&gt;0,ROUND('System Specification'!P$14:P$20*$K$11,0),""))</f>
        <v/>
      </c>
      <c r="C78" s="121" t="str">
        <v/>
      </c>
      <c r="D78" s="121" t="str">
        <v/>
      </c>
      <c r="E78" s="121" t="str">
        <v/>
      </c>
      <c r="F78" s="121" t="str">
        <v/>
      </c>
      <c r="G78" s="121" t="str">
        <v/>
      </c>
      <c r="H78" s="121" t="str">
        <v/>
      </c>
    </row>
    <row r="79" spans="1:8" x14ac:dyDescent="0.35">
      <c r="A79" s="66">
        <v>2</v>
      </c>
      <c r="B79" s="122" t="str">
        <f>IF(OR(B78="",$A79&gt;B$22),"",ROUND(B$78*POWER(1-B$77,$A79-1),0))</f>
        <v/>
      </c>
      <c r="C79" s="122" t="str">
        <f t="shared" ref="C79:C97" si="16">IF(OR(C78="",$A79&gt;C$22),"",ROUND(C$78*POWER(1-C$77,$A79-1),0))</f>
        <v/>
      </c>
      <c r="D79" s="122" t="str">
        <f t="shared" ref="D79:D97" si="17">IF(OR(D78="",$A79&gt;D$22),"",ROUND(D$78*POWER(1-D$77,$A79-1),0))</f>
        <v/>
      </c>
      <c r="E79" s="122" t="str">
        <f t="shared" ref="E79:E97" si="18">IF(OR(E78="",$A79&gt;E$22),"",ROUND(E$78*POWER(1-E$77,$A79-1),0))</f>
        <v/>
      </c>
      <c r="F79" s="122" t="str">
        <f t="shared" ref="F79:F97" si="19">IF(OR(F78="",$A79&gt;F$22),"",ROUND(F$78*POWER(1-F$77,$A79-1),0))</f>
        <v/>
      </c>
      <c r="G79" s="122" t="str">
        <f t="shared" ref="G79:G97" si="20">IF(OR(G78="",$A79&gt;G$22),"",ROUND(G$78*POWER(1-G$77,$A79-1),0))</f>
        <v/>
      </c>
      <c r="H79" s="122" t="str">
        <f t="shared" ref="H79:H97" si="21">IF(OR(H78="",$A79&gt;H$22),"",ROUND(H$78*POWER(1-H$77,$A79-1),0))</f>
        <v/>
      </c>
    </row>
    <row r="80" spans="1:8" x14ac:dyDescent="0.35">
      <c r="A80" s="66">
        <v>3</v>
      </c>
      <c r="B80" s="122" t="str">
        <f t="shared" ref="B80:B97" si="22">IF(OR(B79="",$A80&gt;B$22),"",ROUND(B$78*POWER(1-B$77,$A80-1),0))</f>
        <v/>
      </c>
      <c r="C80" s="122" t="str">
        <f t="shared" si="16"/>
        <v/>
      </c>
      <c r="D80" s="122" t="str">
        <f t="shared" si="17"/>
        <v/>
      </c>
      <c r="E80" s="122" t="str">
        <f t="shared" si="18"/>
        <v/>
      </c>
      <c r="F80" s="122" t="str">
        <f t="shared" si="19"/>
        <v/>
      </c>
      <c r="G80" s="122" t="str">
        <f t="shared" si="20"/>
        <v/>
      </c>
      <c r="H80" s="122" t="str">
        <f t="shared" si="21"/>
        <v/>
      </c>
    </row>
    <row r="81" spans="1:8" x14ac:dyDescent="0.35">
      <c r="A81" s="66">
        <v>4</v>
      </c>
      <c r="B81" s="122" t="str">
        <f t="shared" si="22"/>
        <v/>
      </c>
      <c r="C81" s="122" t="str">
        <f t="shared" si="16"/>
        <v/>
      </c>
      <c r="D81" s="122" t="str">
        <f t="shared" si="17"/>
        <v/>
      </c>
      <c r="E81" s="122" t="str">
        <f t="shared" si="18"/>
        <v/>
      </c>
      <c r="F81" s="122" t="str">
        <f t="shared" si="19"/>
        <v/>
      </c>
      <c r="G81" s="122" t="str">
        <f t="shared" si="20"/>
        <v/>
      </c>
      <c r="H81" s="122" t="str">
        <f t="shared" si="21"/>
        <v/>
      </c>
    </row>
    <row r="82" spans="1:8" x14ac:dyDescent="0.35">
      <c r="A82" s="66">
        <v>5</v>
      </c>
      <c r="B82" s="122" t="str">
        <f t="shared" si="22"/>
        <v/>
      </c>
      <c r="C82" s="122" t="str">
        <f t="shared" si="16"/>
        <v/>
      </c>
      <c r="D82" s="122" t="str">
        <f t="shared" si="17"/>
        <v/>
      </c>
      <c r="E82" s="122" t="str">
        <f t="shared" si="18"/>
        <v/>
      </c>
      <c r="F82" s="122" t="str">
        <f t="shared" si="19"/>
        <v/>
      </c>
      <c r="G82" s="122" t="str">
        <f t="shared" si="20"/>
        <v/>
      </c>
      <c r="H82" s="122" t="str">
        <f t="shared" si="21"/>
        <v/>
      </c>
    </row>
    <row r="83" spans="1:8" x14ac:dyDescent="0.35">
      <c r="A83" s="66">
        <v>6</v>
      </c>
      <c r="B83" s="122" t="str">
        <f t="shared" si="22"/>
        <v/>
      </c>
      <c r="C83" s="122" t="str">
        <f t="shared" si="16"/>
        <v/>
      </c>
      <c r="D83" s="122" t="str">
        <f t="shared" si="17"/>
        <v/>
      </c>
      <c r="E83" s="122" t="str">
        <f t="shared" si="18"/>
        <v/>
      </c>
      <c r="F83" s="122" t="str">
        <f t="shared" si="19"/>
        <v/>
      </c>
      <c r="G83" s="122" t="str">
        <f t="shared" si="20"/>
        <v/>
      </c>
      <c r="H83" s="122" t="str">
        <f t="shared" si="21"/>
        <v/>
      </c>
    </row>
    <row r="84" spans="1:8" x14ac:dyDescent="0.35">
      <c r="A84" s="66">
        <v>7</v>
      </c>
      <c r="B84" s="122" t="str">
        <f t="shared" si="22"/>
        <v/>
      </c>
      <c r="C84" s="122" t="str">
        <f t="shared" si="16"/>
        <v/>
      </c>
      <c r="D84" s="122" t="str">
        <f t="shared" si="17"/>
        <v/>
      </c>
      <c r="E84" s="122" t="str">
        <f t="shared" si="18"/>
        <v/>
      </c>
      <c r="F84" s="122" t="str">
        <f t="shared" si="19"/>
        <v/>
      </c>
      <c r="G84" s="122" t="str">
        <f t="shared" si="20"/>
        <v/>
      </c>
      <c r="H84" s="122" t="str">
        <f t="shared" si="21"/>
        <v/>
      </c>
    </row>
    <row r="85" spans="1:8" x14ac:dyDescent="0.35">
      <c r="A85" s="66">
        <v>8</v>
      </c>
      <c r="B85" s="122" t="str">
        <f t="shared" si="22"/>
        <v/>
      </c>
      <c r="C85" s="122" t="str">
        <f t="shared" si="16"/>
        <v/>
      </c>
      <c r="D85" s="122" t="str">
        <f t="shared" si="17"/>
        <v/>
      </c>
      <c r="E85" s="122" t="str">
        <f t="shared" si="18"/>
        <v/>
      </c>
      <c r="F85" s="122" t="str">
        <f t="shared" si="19"/>
        <v/>
      </c>
      <c r="G85" s="122" t="str">
        <f t="shared" si="20"/>
        <v/>
      </c>
      <c r="H85" s="122" t="str">
        <f t="shared" si="21"/>
        <v/>
      </c>
    </row>
    <row r="86" spans="1:8" x14ac:dyDescent="0.35">
      <c r="A86" s="66">
        <v>9</v>
      </c>
      <c r="B86" s="122" t="str">
        <f t="shared" si="22"/>
        <v/>
      </c>
      <c r="C86" s="122" t="str">
        <f t="shared" si="16"/>
        <v/>
      </c>
      <c r="D86" s="122" t="str">
        <f t="shared" si="17"/>
        <v/>
      </c>
      <c r="E86" s="122" t="str">
        <f t="shared" si="18"/>
        <v/>
      </c>
      <c r="F86" s="122" t="str">
        <f t="shared" si="19"/>
        <v/>
      </c>
      <c r="G86" s="122" t="str">
        <f t="shared" si="20"/>
        <v/>
      </c>
      <c r="H86" s="122" t="str">
        <f t="shared" si="21"/>
        <v/>
      </c>
    </row>
    <row r="87" spans="1:8" x14ac:dyDescent="0.35">
      <c r="A87" s="66">
        <v>10</v>
      </c>
      <c r="B87" s="122" t="str">
        <f t="shared" si="22"/>
        <v/>
      </c>
      <c r="C87" s="122" t="str">
        <f t="shared" si="16"/>
        <v/>
      </c>
      <c r="D87" s="122" t="str">
        <f t="shared" si="17"/>
        <v/>
      </c>
      <c r="E87" s="122" t="str">
        <f t="shared" si="18"/>
        <v/>
      </c>
      <c r="F87" s="122" t="str">
        <f t="shared" si="19"/>
        <v/>
      </c>
      <c r="G87" s="122" t="str">
        <f t="shared" si="20"/>
        <v/>
      </c>
      <c r="H87" s="122" t="str">
        <f t="shared" si="21"/>
        <v/>
      </c>
    </row>
    <row r="88" spans="1:8" x14ac:dyDescent="0.35">
      <c r="A88" s="66">
        <v>11</v>
      </c>
      <c r="B88" s="122" t="str">
        <f t="shared" si="22"/>
        <v/>
      </c>
      <c r="C88" s="122" t="str">
        <f t="shared" si="16"/>
        <v/>
      </c>
      <c r="D88" s="122" t="str">
        <f t="shared" si="17"/>
        <v/>
      </c>
      <c r="E88" s="122" t="str">
        <f t="shared" si="18"/>
        <v/>
      </c>
      <c r="F88" s="122" t="str">
        <f t="shared" si="19"/>
        <v/>
      </c>
      <c r="G88" s="122" t="str">
        <f t="shared" si="20"/>
        <v/>
      </c>
      <c r="H88" s="122" t="str">
        <f t="shared" si="21"/>
        <v/>
      </c>
    </row>
    <row r="89" spans="1:8" x14ac:dyDescent="0.35">
      <c r="A89" s="66">
        <v>12</v>
      </c>
      <c r="B89" s="122" t="str">
        <f t="shared" si="22"/>
        <v/>
      </c>
      <c r="C89" s="122" t="str">
        <f t="shared" si="16"/>
        <v/>
      </c>
      <c r="D89" s="122" t="str">
        <f t="shared" si="17"/>
        <v/>
      </c>
      <c r="E89" s="122" t="str">
        <f t="shared" si="18"/>
        <v/>
      </c>
      <c r="F89" s="122" t="str">
        <f t="shared" si="19"/>
        <v/>
      </c>
      <c r="G89" s="122" t="str">
        <f t="shared" si="20"/>
        <v/>
      </c>
      <c r="H89" s="122" t="str">
        <f t="shared" si="21"/>
        <v/>
      </c>
    </row>
    <row r="90" spans="1:8" x14ac:dyDescent="0.35">
      <c r="A90" s="66">
        <v>13</v>
      </c>
      <c r="B90" s="122" t="str">
        <f t="shared" si="22"/>
        <v/>
      </c>
      <c r="C90" s="122" t="str">
        <f t="shared" si="16"/>
        <v/>
      </c>
      <c r="D90" s="122" t="str">
        <f t="shared" si="17"/>
        <v/>
      </c>
      <c r="E90" s="122" t="str">
        <f t="shared" si="18"/>
        <v/>
      </c>
      <c r="F90" s="122" t="str">
        <f t="shared" si="19"/>
        <v/>
      </c>
      <c r="G90" s="122" t="str">
        <f t="shared" si="20"/>
        <v/>
      </c>
      <c r="H90" s="122" t="str">
        <f t="shared" si="21"/>
        <v/>
      </c>
    </row>
    <row r="91" spans="1:8" x14ac:dyDescent="0.35">
      <c r="A91" s="66">
        <v>14</v>
      </c>
      <c r="B91" s="122" t="str">
        <f t="shared" si="22"/>
        <v/>
      </c>
      <c r="C91" s="122" t="str">
        <f t="shared" si="16"/>
        <v/>
      </c>
      <c r="D91" s="122" t="str">
        <f t="shared" si="17"/>
        <v/>
      </c>
      <c r="E91" s="122" t="str">
        <f t="shared" si="18"/>
        <v/>
      </c>
      <c r="F91" s="122" t="str">
        <f t="shared" si="19"/>
        <v/>
      </c>
      <c r="G91" s="122" t="str">
        <f t="shared" si="20"/>
        <v/>
      </c>
      <c r="H91" s="122" t="str">
        <f t="shared" si="21"/>
        <v/>
      </c>
    </row>
    <row r="92" spans="1:8" x14ac:dyDescent="0.35">
      <c r="A92" s="66">
        <v>15</v>
      </c>
      <c r="B92" s="122" t="str">
        <f t="shared" si="22"/>
        <v/>
      </c>
      <c r="C92" s="122" t="str">
        <f t="shared" si="16"/>
        <v/>
      </c>
      <c r="D92" s="122" t="str">
        <f t="shared" si="17"/>
        <v/>
      </c>
      <c r="E92" s="122" t="str">
        <f t="shared" si="18"/>
        <v/>
      </c>
      <c r="F92" s="122" t="str">
        <f t="shared" si="19"/>
        <v/>
      </c>
      <c r="G92" s="122" t="str">
        <f t="shared" si="20"/>
        <v/>
      </c>
      <c r="H92" s="122" t="str">
        <f t="shared" si="21"/>
        <v/>
      </c>
    </row>
    <row r="93" spans="1:8" x14ac:dyDescent="0.35">
      <c r="A93" s="66">
        <v>16</v>
      </c>
      <c r="B93" s="122" t="str">
        <f t="shared" si="22"/>
        <v/>
      </c>
      <c r="C93" s="122" t="str">
        <f t="shared" si="16"/>
        <v/>
      </c>
      <c r="D93" s="122" t="str">
        <f t="shared" si="17"/>
        <v/>
      </c>
      <c r="E93" s="122" t="str">
        <f t="shared" si="18"/>
        <v/>
      </c>
      <c r="F93" s="122" t="str">
        <f t="shared" si="19"/>
        <v/>
      </c>
      <c r="G93" s="122" t="str">
        <f t="shared" si="20"/>
        <v/>
      </c>
      <c r="H93" s="122" t="str">
        <f t="shared" si="21"/>
        <v/>
      </c>
    </row>
    <row r="94" spans="1:8" x14ac:dyDescent="0.35">
      <c r="A94" s="66">
        <v>17</v>
      </c>
      <c r="B94" s="122" t="str">
        <f t="shared" si="22"/>
        <v/>
      </c>
      <c r="C94" s="122" t="str">
        <f t="shared" si="16"/>
        <v/>
      </c>
      <c r="D94" s="122" t="str">
        <f t="shared" si="17"/>
        <v/>
      </c>
      <c r="E94" s="122" t="str">
        <f t="shared" si="18"/>
        <v/>
      </c>
      <c r="F94" s="122" t="str">
        <f t="shared" si="19"/>
        <v/>
      </c>
      <c r="G94" s="122" t="str">
        <f t="shared" si="20"/>
        <v/>
      </c>
      <c r="H94" s="122" t="str">
        <f t="shared" si="21"/>
        <v/>
      </c>
    </row>
    <row r="95" spans="1:8" x14ac:dyDescent="0.35">
      <c r="A95" s="66">
        <v>18</v>
      </c>
      <c r="B95" s="122" t="str">
        <f t="shared" si="22"/>
        <v/>
      </c>
      <c r="C95" s="122" t="str">
        <f t="shared" si="16"/>
        <v/>
      </c>
      <c r="D95" s="122" t="str">
        <f t="shared" si="17"/>
        <v/>
      </c>
      <c r="E95" s="122" t="str">
        <f t="shared" si="18"/>
        <v/>
      </c>
      <c r="F95" s="122" t="str">
        <f t="shared" si="19"/>
        <v/>
      </c>
      <c r="G95" s="122" t="str">
        <f t="shared" si="20"/>
        <v/>
      </c>
      <c r="H95" s="122" t="str">
        <f t="shared" si="21"/>
        <v/>
      </c>
    </row>
    <row r="96" spans="1:8" x14ac:dyDescent="0.35">
      <c r="A96" s="66">
        <v>19</v>
      </c>
      <c r="B96" s="122" t="str">
        <f t="shared" si="22"/>
        <v/>
      </c>
      <c r="C96" s="122" t="str">
        <f t="shared" si="16"/>
        <v/>
      </c>
      <c r="D96" s="122" t="str">
        <f t="shared" si="17"/>
        <v/>
      </c>
      <c r="E96" s="122" t="str">
        <f t="shared" si="18"/>
        <v/>
      </c>
      <c r="F96" s="122" t="str">
        <f t="shared" si="19"/>
        <v/>
      </c>
      <c r="G96" s="122" t="str">
        <f t="shared" si="20"/>
        <v/>
      </c>
      <c r="H96" s="122" t="str">
        <f t="shared" si="21"/>
        <v/>
      </c>
    </row>
    <row r="97" spans="1:8" x14ac:dyDescent="0.35">
      <c r="A97" s="133">
        <v>20</v>
      </c>
      <c r="B97" s="134" t="str">
        <f t="shared" si="22"/>
        <v/>
      </c>
      <c r="C97" s="134" t="str">
        <f t="shared" si="16"/>
        <v/>
      </c>
      <c r="D97" s="134" t="str">
        <f t="shared" si="17"/>
        <v/>
      </c>
      <c r="E97" s="134" t="str">
        <f t="shared" si="18"/>
        <v/>
      </c>
      <c r="F97" s="134" t="str">
        <f t="shared" si="19"/>
        <v/>
      </c>
      <c r="G97" s="134" t="str">
        <f t="shared" si="20"/>
        <v/>
      </c>
      <c r="H97" s="134" t="str">
        <f t="shared" si="21"/>
        <v/>
      </c>
    </row>
  </sheetData>
  <sheetProtection algorithmName="SHA-512" hashValue="IsAbOrDOCm+9I5A+cOLijXSwJuEP4gPR96PgbsYnMD0I+eoyTM7bgeAanq/SqosE0HNj8zcEeMY6h1rgWaYkIQ==" saltValue="LJiQ7BruPFiVkHOu+ql1pQ==" spinCount="100000" sheet="1" formatColumns="0" formatRows="0"/>
  <mergeCells count="15">
    <mergeCell ref="A16:D16"/>
    <mergeCell ref="A1:J1"/>
    <mergeCell ref="B6:C6"/>
    <mergeCell ref="A9:E9"/>
    <mergeCell ref="A13:D13"/>
    <mergeCell ref="A10:D10"/>
    <mergeCell ref="A11:D11"/>
    <mergeCell ref="A12:D12"/>
    <mergeCell ref="A14:D14"/>
    <mergeCell ref="A15:D15"/>
    <mergeCell ref="G9:K9"/>
    <mergeCell ref="G10:J10"/>
    <mergeCell ref="G11:J11"/>
    <mergeCell ref="G12:J12"/>
    <mergeCell ref="G13:J13"/>
  </mergeCells>
  <conditionalFormatting sqref="A19:H44 A47:H72 A75:H97">
    <cfRule type="expression" dxfId="39" priority="4">
      <formula>(A$23="No")</formula>
    </cfRule>
  </conditionalFormatting>
  <dataValidations count="2">
    <dataValidation type="decimal" allowBlank="1" showInputMessage="1" showErrorMessage="1" sqref="E12" xr:uid="{83A65841-D2E1-40F4-A96D-AEF20440F902}">
      <formula1>0.9</formula1>
      <formula2>1</formula2>
    </dataValidation>
    <dataValidation type="decimal" allowBlank="1" showInputMessage="1" showErrorMessage="1" sqref="E16" xr:uid="{920614F6-3D44-4A6F-90D7-63C11E647E29}">
      <formula1>0.95</formula1>
      <formula2>1</formula2>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16417-CEBC-4320-B270-F8556FE071F0}">
  <sheetPr codeName="Sheet8">
    <tabColor rgb="FFFFFF99"/>
  </sheetPr>
  <dimension ref="A1:X40"/>
  <sheetViews>
    <sheetView showGridLines="0" zoomScaleNormal="100" workbookViewId="0">
      <selection sqref="A1:L1"/>
    </sheetView>
  </sheetViews>
  <sheetFormatPr defaultColWidth="8.69140625" defaultRowHeight="15.5" x14ac:dyDescent="0.35"/>
  <cols>
    <col min="1" max="1" width="9.07421875" customWidth="1"/>
    <col min="2" max="2" width="11.69140625" customWidth="1"/>
    <col min="3" max="3" width="15.53515625" customWidth="1"/>
    <col min="4" max="4" width="5.765625" bestFit="1" customWidth="1"/>
    <col min="5" max="5" width="5.765625" hidden="1" customWidth="1"/>
    <col min="6" max="6" width="16" customWidth="1"/>
    <col min="7" max="7" width="13.23046875" customWidth="1"/>
    <col min="8" max="8" width="20.53515625" customWidth="1"/>
    <col min="9" max="10" width="9.53515625" customWidth="1"/>
    <col min="11" max="11" width="15.53515625" customWidth="1"/>
    <col min="12" max="12" width="11.69140625" customWidth="1"/>
    <col min="13" max="14" width="15.4609375" customWidth="1"/>
    <col min="15" max="15" width="12.07421875" customWidth="1"/>
    <col min="16" max="16" width="17.23046875" customWidth="1"/>
    <col min="17" max="23" width="12" customWidth="1"/>
    <col min="24" max="24" width="12.07421875" customWidth="1"/>
    <col min="25" max="25" width="15" customWidth="1"/>
  </cols>
  <sheetData>
    <row r="1" spans="1:22" s="68" customFormat="1" ht="143.5" customHeight="1" x14ac:dyDescent="0.35">
      <c r="A1" s="438" t="s">
        <v>138</v>
      </c>
      <c r="B1" s="438"/>
      <c r="C1" s="438"/>
      <c r="D1" s="438"/>
      <c r="E1" s="438"/>
      <c r="F1" s="438"/>
      <c r="G1" s="438"/>
      <c r="H1" s="438"/>
      <c r="I1" s="438"/>
      <c r="J1" s="438"/>
      <c r="K1" s="438"/>
      <c r="L1" s="438"/>
      <c r="M1" s="48"/>
      <c r="N1" s="48"/>
      <c r="O1" s="48"/>
      <c r="P1" s="48"/>
      <c r="Q1" s="48"/>
      <c r="R1" s="48"/>
      <c r="S1" s="48"/>
      <c r="T1" s="48"/>
      <c r="U1" s="48"/>
      <c r="V1" s="48"/>
    </row>
    <row r="2" spans="1:22" s="8" customFormat="1" ht="12.5" x14ac:dyDescent="0.25"/>
    <row r="3" spans="1:22" s="25" customFormat="1" ht="28.5" x14ac:dyDescent="0.65">
      <c r="A3" s="9" t="s">
        <v>139</v>
      </c>
      <c r="B3" s="1"/>
      <c r="C3" s="1"/>
      <c r="D3" s="1"/>
      <c r="E3" s="1"/>
      <c r="F3" s="1"/>
      <c r="G3" s="1"/>
      <c r="H3" s="1"/>
      <c r="I3" s="1"/>
      <c r="J3" s="1"/>
      <c r="K3" s="1"/>
      <c r="L3" s="1"/>
      <c r="M3" s="1"/>
      <c r="N3" s="1"/>
      <c r="O3" s="1"/>
      <c r="P3" s="1"/>
      <c r="Q3" s="1"/>
      <c r="R3" s="1"/>
      <c r="S3" s="1"/>
      <c r="T3" s="1"/>
    </row>
    <row r="4" spans="1:22" s="25" customFormat="1" ht="21" x14ac:dyDescent="0.5">
      <c r="A4" s="6" t="str">
        <f>'Summary &amp; Signature'!A4</f>
        <v>Proposed Price Form</v>
      </c>
      <c r="B4" s="1"/>
      <c r="C4" s="7"/>
      <c r="D4" s="7"/>
      <c r="E4" s="7"/>
      <c r="F4" s="1"/>
      <c r="H4" s="1"/>
      <c r="I4" s="1"/>
      <c r="J4" s="1"/>
      <c r="K4" s="1"/>
      <c r="L4" s="1"/>
      <c r="M4" s="1"/>
      <c r="N4" s="1"/>
      <c r="O4" s="1"/>
      <c r="P4" s="1"/>
      <c r="Q4" s="1"/>
      <c r="R4" s="1"/>
      <c r="S4" s="1"/>
      <c r="T4" s="1"/>
    </row>
    <row r="5" spans="1:22" s="25" customFormat="1" x14ac:dyDescent="0.35">
      <c r="A5" s="217" t="str">
        <f>Instructions!$B$9</f>
        <v>Region:</v>
      </c>
      <c r="B5" s="217" t="str">
        <f>Instructions!$C$9</f>
        <v>SRO2</v>
      </c>
      <c r="C5" s="218"/>
      <c r="D5" s="218"/>
      <c r="E5" s="218"/>
      <c r="F5" s="1"/>
      <c r="H5" s="1"/>
      <c r="I5" s="1"/>
      <c r="J5" s="1"/>
      <c r="K5" s="1"/>
      <c r="L5" s="1"/>
      <c r="M5" s="1"/>
      <c r="N5" s="1"/>
      <c r="O5" s="1"/>
      <c r="P5" s="1"/>
      <c r="Q5" s="1"/>
      <c r="R5" s="1"/>
      <c r="S5" s="1"/>
      <c r="T5" s="1"/>
    </row>
    <row r="6" spans="1:22" s="25" customFormat="1" ht="18.75" customHeight="1" x14ac:dyDescent="0.35">
      <c r="A6" s="217" t="str">
        <f>Instructions!$B$10</f>
        <v>Proposer:</v>
      </c>
      <c r="B6" s="450">
        <f>Vendor_Name</f>
        <v>0</v>
      </c>
      <c r="C6" s="450"/>
      <c r="D6" s="450"/>
      <c r="E6" s="450"/>
      <c r="F6" s="4"/>
      <c r="J6" s="1"/>
      <c r="K6" s="1"/>
    </row>
    <row r="7" spans="1:22" s="25" customFormat="1" ht="18.5" x14ac:dyDescent="0.45">
      <c r="A7" s="80"/>
      <c r="B7" s="80"/>
    </row>
    <row r="8" spans="1:22" s="25" customFormat="1" ht="30.5" x14ac:dyDescent="0.65">
      <c r="A8" s="52" t="s">
        <v>140</v>
      </c>
      <c r="B8" s="80"/>
    </row>
    <row r="9" spans="1:22" s="25" customFormat="1" ht="18.5" x14ac:dyDescent="0.45">
      <c r="A9" s="80"/>
      <c r="B9" s="80"/>
    </row>
    <row r="10" spans="1:22" s="25" customFormat="1" ht="18.5" x14ac:dyDescent="0.45">
      <c r="A10" s="451" t="s">
        <v>141</v>
      </c>
      <c r="B10" s="452"/>
      <c r="C10" s="452"/>
      <c r="D10" s="453"/>
      <c r="E10" s="318"/>
      <c r="F10" s="84" t="s">
        <v>142</v>
      </c>
      <c r="G10" s="85" t="s">
        <v>143</v>
      </c>
      <c r="H10" s="111" t="s">
        <v>144</v>
      </c>
      <c r="I10" s="448" t="s">
        <v>145</v>
      </c>
      <c r="J10" s="449"/>
      <c r="K10" s="449"/>
      <c r="L10" s="449"/>
      <c r="M10" s="449"/>
      <c r="N10" s="449"/>
      <c r="O10" s="449"/>
      <c r="V10" s="7"/>
    </row>
    <row r="11" spans="1:22" s="82" customFormat="1" ht="26.65" customHeight="1" x14ac:dyDescent="0.3">
      <c r="A11" s="440" t="s">
        <v>146</v>
      </c>
      <c r="B11" s="441"/>
      <c r="C11" s="441"/>
      <c r="D11" s="442"/>
      <c r="E11" s="317"/>
      <c r="F11" s="117" t="s">
        <v>147</v>
      </c>
      <c r="G11" s="118" t="s">
        <v>148</v>
      </c>
      <c r="H11" s="110" t="s">
        <v>49</v>
      </c>
      <c r="I11" s="444" t="s">
        <v>149</v>
      </c>
      <c r="J11" s="444"/>
      <c r="K11" s="444"/>
      <c r="L11" s="444"/>
      <c r="M11" s="444"/>
      <c r="N11" s="444"/>
      <c r="O11" s="444"/>
    </row>
    <row r="12" spans="1:22" s="82" customFormat="1" ht="13" x14ac:dyDescent="0.3">
      <c r="A12" s="440" t="s">
        <v>150</v>
      </c>
      <c r="B12" s="441"/>
      <c r="C12" s="441"/>
      <c r="D12" s="442"/>
      <c r="E12" s="317"/>
      <c r="F12" s="117" t="s">
        <v>147</v>
      </c>
      <c r="G12" s="118" t="s">
        <v>151</v>
      </c>
      <c r="H12" s="110" t="s">
        <v>49</v>
      </c>
      <c r="I12" s="443" t="s">
        <v>152</v>
      </c>
      <c r="J12" s="443"/>
      <c r="K12" s="443"/>
      <c r="L12" s="443"/>
      <c r="M12" s="443"/>
      <c r="N12" s="443"/>
      <c r="O12" s="443"/>
    </row>
    <row r="13" spans="1:22" s="82" customFormat="1" ht="26.5" customHeight="1" x14ac:dyDescent="0.3">
      <c r="A13" s="440" t="s">
        <v>153</v>
      </c>
      <c r="B13" s="441"/>
      <c r="C13" s="441"/>
      <c r="D13" s="442"/>
      <c r="E13" s="317"/>
      <c r="F13" s="117" t="s">
        <v>154</v>
      </c>
      <c r="G13" s="118" t="s">
        <v>148</v>
      </c>
      <c r="H13" s="110" t="s">
        <v>49</v>
      </c>
      <c r="I13" s="444" t="s">
        <v>155</v>
      </c>
      <c r="J13" s="444"/>
      <c r="K13" s="444"/>
      <c r="L13" s="444"/>
      <c r="M13" s="444"/>
      <c r="N13" s="444"/>
      <c r="O13" s="444"/>
    </row>
    <row r="14" spans="1:22" s="82" customFormat="1" ht="13.15" customHeight="1" x14ac:dyDescent="0.3">
      <c r="A14" s="440" t="s">
        <v>156</v>
      </c>
      <c r="B14" s="441"/>
      <c r="C14" s="441"/>
      <c r="D14" s="442"/>
      <c r="E14" s="317"/>
      <c r="F14" s="117" t="s">
        <v>154</v>
      </c>
      <c r="G14" s="118" t="s">
        <v>148</v>
      </c>
      <c r="H14" s="110" t="s">
        <v>49</v>
      </c>
      <c r="I14" s="444" t="s">
        <v>157</v>
      </c>
      <c r="J14" s="444"/>
      <c r="K14" s="444"/>
      <c r="L14" s="444"/>
      <c r="M14" s="444"/>
      <c r="N14" s="444"/>
      <c r="O14" s="444"/>
    </row>
    <row r="15" spans="1:22" s="82" customFormat="1" ht="13.15" customHeight="1" x14ac:dyDescent="0.3">
      <c r="A15" s="440" t="s">
        <v>158</v>
      </c>
      <c r="B15" s="441"/>
      <c r="C15" s="441"/>
      <c r="D15" s="442"/>
      <c r="E15" s="317"/>
      <c r="F15" s="117" t="s">
        <v>154</v>
      </c>
      <c r="G15" s="118" t="s">
        <v>148</v>
      </c>
      <c r="H15" s="110" t="s">
        <v>49</v>
      </c>
      <c r="I15" s="444" t="s">
        <v>157</v>
      </c>
      <c r="J15" s="444"/>
      <c r="K15" s="444"/>
      <c r="L15" s="444"/>
      <c r="M15" s="444"/>
      <c r="N15" s="444"/>
      <c r="O15" s="444"/>
    </row>
    <row r="16" spans="1:22" s="82" customFormat="1" ht="28" customHeight="1" x14ac:dyDescent="0.3">
      <c r="A16" s="440" t="s">
        <v>159</v>
      </c>
      <c r="B16" s="441"/>
      <c r="C16" s="441"/>
      <c r="D16" s="442"/>
      <c r="E16" s="317"/>
      <c r="F16" s="117" t="s">
        <v>147</v>
      </c>
      <c r="G16" s="119" t="s">
        <v>151</v>
      </c>
      <c r="H16" s="110" t="s">
        <v>49</v>
      </c>
      <c r="I16" s="444" t="s">
        <v>160</v>
      </c>
      <c r="J16" s="444"/>
      <c r="K16" s="444"/>
      <c r="L16" s="444"/>
      <c r="M16" s="444"/>
      <c r="N16" s="444"/>
      <c r="O16" s="444"/>
    </row>
    <row r="17" spans="1:24" s="82" customFormat="1" ht="13.15" customHeight="1" x14ac:dyDescent="0.3">
      <c r="A17" s="440" t="s">
        <v>161</v>
      </c>
      <c r="B17" s="441"/>
      <c r="C17" s="441"/>
      <c r="D17" s="442"/>
      <c r="E17" s="317"/>
      <c r="F17" s="117" t="s">
        <v>154</v>
      </c>
      <c r="G17" s="119" t="s">
        <v>45</v>
      </c>
      <c r="H17" s="110" t="s">
        <v>44</v>
      </c>
      <c r="I17" s="444" t="s">
        <v>162</v>
      </c>
      <c r="J17" s="444"/>
      <c r="K17" s="444"/>
      <c r="L17" s="444"/>
      <c r="M17" s="444"/>
      <c r="N17" s="444"/>
      <c r="O17" s="444"/>
    </row>
    <row r="18" spans="1:24" s="82" customFormat="1" ht="13.15" customHeight="1" x14ac:dyDescent="0.3">
      <c r="A18" s="440" t="s">
        <v>163</v>
      </c>
      <c r="B18" s="441"/>
      <c r="C18" s="441"/>
      <c r="D18" s="442"/>
      <c r="E18" s="317"/>
      <c r="F18" s="117" t="s">
        <v>147</v>
      </c>
      <c r="G18" s="119" t="s">
        <v>151</v>
      </c>
      <c r="H18" s="110" t="s">
        <v>49</v>
      </c>
      <c r="I18" s="444" t="s">
        <v>164</v>
      </c>
      <c r="J18" s="444"/>
      <c r="K18" s="444"/>
      <c r="L18" s="444"/>
      <c r="M18" s="444"/>
      <c r="N18" s="444"/>
      <c r="O18" s="444"/>
    </row>
    <row r="19" spans="1:24" s="82" customFormat="1" ht="27.75" customHeight="1" x14ac:dyDescent="0.3">
      <c r="A19" s="440" t="s">
        <v>165</v>
      </c>
      <c r="B19" s="441"/>
      <c r="C19" s="441"/>
      <c r="D19" s="442"/>
      <c r="E19" s="317"/>
      <c r="F19" s="117" t="s">
        <v>147</v>
      </c>
      <c r="G19" s="118" t="s">
        <v>148</v>
      </c>
      <c r="H19" s="110" t="s">
        <v>49</v>
      </c>
      <c r="I19" s="444" t="s">
        <v>166</v>
      </c>
      <c r="J19" s="444"/>
      <c r="K19" s="444"/>
      <c r="L19" s="444"/>
      <c r="M19" s="444"/>
      <c r="N19" s="444"/>
      <c r="O19" s="444"/>
    </row>
    <row r="20" spans="1:24" s="82" customFormat="1" ht="13.15" customHeight="1" x14ac:dyDescent="0.3">
      <c r="A20" s="440" t="s">
        <v>167</v>
      </c>
      <c r="B20" s="441"/>
      <c r="C20" s="441"/>
      <c r="D20" s="442"/>
      <c r="E20" s="317"/>
      <c r="F20" s="117" t="s">
        <v>154</v>
      </c>
      <c r="G20" s="119" t="s">
        <v>45</v>
      </c>
      <c r="H20" s="110" t="s">
        <v>44</v>
      </c>
      <c r="I20" s="444" t="s">
        <v>168</v>
      </c>
      <c r="J20" s="444"/>
      <c r="K20" s="444"/>
      <c r="L20" s="444"/>
      <c r="M20" s="444"/>
      <c r="N20" s="444"/>
      <c r="O20" s="444"/>
    </row>
    <row r="21" spans="1:24" s="83" customFormat="1" ht="13" x14ac:dyDescent="0.35">
      <c r="A21" s="440" t="s">
        <v>169</v>
      </c>
      <c r="B21" s="441"/>
      <c r="C21" s="441"/>
      <c r="D21" s="442"/>
      <c r="E21" s="317"/>
      <c r="F21" s="117" t="s">
        <v>147</v>
      </c>
      <c r="G21" s="117" t="s">
        <v>151</v>
      </c>
      <c r="H21" s="108" t="s">
        <v>49</v>
      </c>
      <c r="I21" s="445" t="s">
        <v>170</v>
      </c>
      <c r="J21" s="445"/>
      <c r="K21" s="445"/>
      <c r="L21" s="445"/>
      <c r="M21" s="445"/>
      <c r="N21" s="445"/>
      <c r="O21" s="445"/>
    </row>
    <row r="22" spans="1:24" s="83" customFormat="1" ht="13.9" customHeight="1" x14ac:dyDescent="0.35">
      <c r="A22" s="440" t="s">
        <v>171</v>
      </c>
      <c r="B22" s="441"/>
      <c r="C22" s="441"/>
      <c r="D22" s="442"/>
      <c r="E22" s="317"/>
      <c r="F22" s="117" t="s">
        <v>147</v>
      </c>
      <c r="G22" s="117" t="s">
        <v>151</v>
      </c>
      <c r="H22" s="108" t="s">
        <v>49</v>
      </c>
      <c r="I22" s="443" t="s">
        <v>172</v>
      </c>
      <c r="J22" s="443"/>
      <c r="K22" s="443"/>
      <c r="L22" s="443"/>
      <c r="M22" s="443"/>
      <c r="N22" s="443"/>
      <c r="O22" s="443"/>
    </row>
    <row r="23" spans="1:24" s="82" customFormat="1" ht="15" customHeight="1" x14ac:dyDescent="0.3">
      <c r="A23" s="440" t="s">
        <v>173</v>
      </c>
      <c r="B23" s="441"/>
      <c r="C23" s="441"/>
      <c r="D23" s="442"/>
      <c r="E23" s="317"/>
      <c r="F23" s="117" t="s">
        <v>147</v>
      </c>
      <c r="G23" s="117" t="s">
        <v>151</v>
      </c>
      <c r="H23" s="108" t="s">
        <v>49</v>
      </c>
      <c r="I23" s="443" t="s">
        <v>174</v>
      </c>
      <c r="J23" s="443"/>
      <c r="K23" s="443"/>
      <c r="L23" s="443"/>
      <c r="M23" s="443"/>
      <c r="N23" s="443"/>
      <c r="O23" s="443"/>
    </row>
    <row r="24" spans="1:24" s="82" customFormat="1" ht="15" customHeight="1" x14ac:dyDescent="0.3">
      <c r="A24" s="440" t="s">
        <v>175</v>
      </c>
      <c r="B24" s="441"/>
      <c r="C24" s="441"/>
      <c r="D24" s="442"/>
      <c r="E24" s="317"/>
      <c r="F24" s="117" t="s">
        <v>147</v>
      </c>
      <c r="G24" s="118" t="s">
        <v>148</v>
      </c>
      <c r="H24" s="108" t="s">
        <v>49</v>
      </c>
      <c r="I24" s="443" t="s">
        <v>176</v>
      </c>
      <c r="J24" s="443"/>
      <c r="K24" s="443"/>
      <c r="L24" s="443"/>
      <c r="M24" s="443"/>
      <c r="N24" s="443"/>
      <c r="O24" s="443"/>
    </row>
    <row r="25" spans="1:24" s="82" customFormat="1" ht="15" customHeight="1" x14ac:dyDescent="0.3">
      <c r="A25" s="440" t="s">
        <v>177</v>
      </c>
      <c r="B25" s="441"/>
      <c r="C25" s="441"/>
      <c r="D25" s="442"/>
      <c r="E25" s="317"/>
      <c r="F25" s="117" t="s">
        <v>147</v>
      </c>
      <c r="G25" s="117" t="s">
        <v>151</v>
      </c>
      <c r="H25" s="108" t="s">
        <v>49</v>
      </c>
      <c r="I25" s="443" t="s">
        <v>178</v>
      </c>
      <c r="J25" s="443"/>
      <c r="K25" s="443"/>
      <c r="L25" s="443"/>
      <c r="M25" s="443"/>
      <c r="N25" s="443"/>
      <c r="O25" s="443"/>
    </row>
    <row r="26" spans="1:24" s="25" customFormat="1" ht="36.65" customHeight="1" x14ac:dyDescent="0.45">
      <c r="A26" s="463" t="s">
        <v>179</v>
      </c>
      <c r="B26" s="464"/>
      <c r="C26" s="464"/>
      <c r="D26" s="465"/>
      <c r="E26" s="319"/>
      <c r="F26" s="81"/>
      <c r="G26" s="86"/>
      <c r="H26" s="109"/>
      <c r="I26" s="459" t="s">
        <v>180</v>
      </c>
      <c r="J26" s="459"/>
      <c r="K26" s="459"/>
      <c r="L26" s="459"/>
      <c r="M26" s="459"/>
      <c r="N26" s="459"/>
      <c r="O26" s="459"/>
      <c r="V26" s="7"/>
    </row>
    <row r="28" spans="1:24" ht="30.5" x14ac:dyDescent="0.65">
      <c r="A28" s="52" t="s">
        <v>181</v>
      </c>
    </row>
    <row r="29" spans="1:24" ht="15" customHeight="1" thickBot="1" x14ac:dyDescent="0.7">
      <c r="A29" s="52"/>
    </row>
    <row r="30" spans="1:24" ht="21.5" thickBot="1" x14ac:dyDescent="0.4">
      <c r="A30" s="460" t="s">
        <v>182</v>
      </c>
      <c r="B30" s="461"/>
      <c r="C30" s="461"/>
      <c r="D30" s="461"/>
      <c r="E30" s="461"/>
      <c r="F30" s="461"/>
      <c r="G30" s="461"/>
      <c r="H30" s="461"/>
      <c r="I30" s="461"/>
      <c r="J30" s="462"/>
      <c r="K30" s="454" t="s">
        <v>183</v>
      </c>
      <c r="L30" s="455"/>
      <c r="M30" s="456"/>
      <c r="N30" s="454" t="s">
        <v>184</v>
      </c>
      <c r="O30" s="455"/>
      <c r="P30" s="455"/>
      <c r="Q30" s="454" t="s">
        <v>185</v>
      </c>
      <c r="R30" s="455"/>
      <c r="S30" s="455"/>
      <c r="T30" s="455"/>
      <c r="U30" s="455"/>
      <c r="V30" s="455"/>
      <c r="W30" s="455"/>
      <c r="X30" s="456"/>
    </row>
    <row r="31" spans="1:24" ht="131" thickBot="1" x14ac:dyDescent="0.4">
      <c r="A31" s="324" t="str">
        <f>'Site Data'!A6</f>
        <v>Site Number</v>
      </c>
      <c r="B31" s="416" t="str">
        <f>'Site Data'!B6</f>
        <v>Site Name</v>
      </c>
      <c r="C31" s="427"/>
      <c r="D31" s="321" t="str">
        <f>'Site Data'!C6</f>
        <v>Site ID</v>
      </c>
      <c r="E31" s="321" t="str">
        <f>'Site Data'!AA6</f>
        <v>Include</v>
      </c>
      <c r="F31" s="321" t="s">
        <v>186</v>
      </c>
      <c r="G31" s="313" t="s">
        <v>187</v>
      </c>
      <c r="H31" s="313" t="str">
        <f>'Site Data'!$E$6</f>
        <v>Service Provider</v>
      </c>
      <c r="I31" s="313" t="s">
        <v>26</v>
      </c>
      <c r="J31" s="325" t="str">
        <f>'Site Data'!$S$6</f>
        <v>SPPA/SEL Term (yrs)</v>
      </c>
      <c r="K31" s="79" t="s">
        <v>188</v>
      </c>
      <c r="L31" s="88" t="s">
        <v>189</v>
      </c>
      <c r="M31" s="47" t="s">
        <v>190</v>
      </c>
      <c r="N31" s="79" t="s">
        <v>191</v>
      </c>
      <c r="O31" s="114" t="s">
        <v>192</v>
      </c>
      <c r="P31" s="114" t="s">
        <v>193</v>
      </c>
      <c r="Q31" s="79" t="s">
        <v>194</v>
      </c>
      <c r="R31" s="87" t="s">
        <v>195</v>
      </c>
      <c r="S31" s="88" t="str">
        <f>'System Specification'!$K$13</f>
        <v>Design includes Rooftop arrays?</v>
      </c>
      <c r="T31" s="88" t="str">
        <f>'Site Data'!$O$6</f>
        <v>Roof Area to be Replaced (if Rooftop array included in design) (sqft)</v>
      </c>
      <c r="U31" s="87" t="s">
        <v>196</v>
      </c>
      <c r="V31" s="88" t="s">
        <v>165</v>
      </c>
      <c r="W31" s="114" t="s">
        <v>197</v>
      </c>
      <c r="X31" s="47" t="s">
        <v>198</v>
      </c>
    </row>
    <row r="32" spans="1:24" x14ac:dyDescent="0.35">
      <c r="A32" s="44">
        <v>1</v>
      </c>
      <c r="B32" s="446" t="str">
        <f>INDEX(Site_Data_Table,MATCH($A32,'Site Data'!$A$6:$A$13,0),MATCH(B$31,Site_Data_Column_Names,0))</f>
        <v>Imperial County Courthouse</v>
      </c>
      <c r="C32" s="447"/>
      <c r="D32" s="103" t="str">
        <f>INDEX(Site_Data_Table,MATCH($A32,'Site Data'!$A$6:$A$13,0),MATCH(D$31,Site_Data_Column_Names,0))</f>
        <v>13-A1</v>
      </c>
      <c r="E32" s="103" t="str">
        <f>INDEX(Site_Data_Table,MATCH($A32,'Site Data'!$A$6:$A$13,0),MATCH(E$31,Site_Data_Column_Names,0))</f>
        <v>Yes</v>
      </c>
      <c r="F32" s="99">
        <f>INDEX(Prod_Yr_1,MATCH($A32,'System Specification'!$A$14:$A$20,0))</f>
        <v>0</v>
      </c>
      <c r="G32" s="100" t="str">
        <f>_xlfn.TEXTJOIN(" / ",1,INDEX('System Specification'!$O$14:$O$20,MATCH($A32,'System Specification'!$A$14:$A$20,0)),INDEX('System Specification'!$P$14:$P$20,MATCH($A32,'System Specification'!$A$14:$A$20,0)))</f>
        <v/>
      </c>
      <c r="H32" s="100" t="str">
        <f>INDEX(Site_Data_Table,MATCH($A32,'Site Data'!$A$6:$A$13,0),MATCH(H$31,Site_Data_Column_Names,0))</f>
        <v>IID</v>
      </c>
      <c r="I32" s="107" t="str">
        <f>INDEX(Site_Data_Table,MATCH($A32,'Site Data'!$A$6:$A$13,0),MATCH(I$31,Site_Data_Column_Names,0))</f>
        <v>SPPA</v>
      </c>
      <c r="J32" s="113">
        <f>INDEX(Site_Data_Table,MATCH($A32,'Site Data'!$A$6:$A$13,0),MATCH(J$31,Site_Data_Column_Names,0))</f>
        <v>20</v>
      </c>
      <c r="K32" s="112"/>
      <c r="L32" s="363"/>
      <c r="M32" s="364"/>
      <c r="N32" s="365"/>
      <c r="O32" s="366"/>
      <c r="P32" s="366"/>
      <c r="Q32" s="306">
        <v>0</v>
      </c>
      <c r="R32" s="367">
        <f t="shared" ref="R32:R38" si="0">IF(Q32&gt;0,6000+1500*Q32,0)</f>
        <v>0</v>
      </c>
      <c r="S32" s="368" t="str">
        <f>_xlfn.LET(_xlpm.val,INDEX('System Specification'!$K$14:$K$21,MATCH($A32,'System Specification'!$A$14:$A$21,0)),
IF(_xlpm.val="","",_xlpm.val))</f>
        <v>No</v>
      </c>
      <c r="T32" s="369">
        <f>IF($S32="No",0,INDEX(Site_Data_Table,MATCH($A32,'Site Data'!$A$6:$A$13,0),MATCH(T$31,Site_Data_Column_Names,0)))</f>
        <v>0</v>
      </c>
      <c r="U32" s="370">
        <f t="shared" ref="U32:U38" si="1">IF(T32="","",40*T32)</f>
        <v>0</v>
      </c>
      <c r="V32" s="371">
        <v>0</v>
      </c>
      <c r="W32" s="372">
        <v>15000</v>
      </c>
      <c r="X32" s="373">
        <f t="shared" ref="X32:X38" si="2">SUM(R32,U32:W32)</f>
        <v>15000</v>
      </c>
    </row>
    <row r="33" spans="1:24" x14ac:dyDescent="0.35">
      <c r="A33" s="44">
        <f t="shared" ref="A33:A38" si="3">A32+1</f>
        <v>2</v>
      </c>
      <c r="B33" s="446" t="str">
        <f>INDEX(Site_Data_Table,MATCH($A33,'Site Data'!$A$6:$A$13,0),MATCH(B$31,Site_Data_Column_Names,0))</f>
        <v>Pomona Courthouse South</v>
      </c>
      <c r="C33" s="447"/>
      <c r="D33" s="103" t="str">
        <f>INDEX(Site_Data_Table,MATCH($A33,'Site Data'!$A$6:$A$13,0),MATCH(D$31,Site_Data_Column_Names,0))</f>
        <v>19-W1</v>
      </c>
      <c r="E33" s="103" t="str">
        <f>INDEX(Site_Data_Table,MATCH($A33,'Site Data'!$A$6:$A$13,0),MATCH(E$31,Site_Data_Column_Names,0))</f>
        <v>Yes</v>
      </c>
      <c r="F33" s="99">
        <f>INDEX(Prod_Yr_1,MATCH($A33,'System Specification'!$A$14:$A$20,0))</f>
        <v>0</v>
      </c>
      <c r="G33" s="100" t="str">
        <f>_xlfn.TEXTJOIN(" / ",1,INDEX('System Specification'!$O$14:$O$20,MATCH($A33,'System Specification'!$A$14:$A$20,0)),INDEX('System Specification'!$P$14:$P$20,MATCH($A33,'System Specification'!$A$14:$A$20,0)))</f>
        <v/>
      </c>
      <c r="H33" s="100" t="str">
        <f>INDEX(Site_Data_Table,MATCH($A33,'Site Data'!$A$6:$A$13,0),MATCH(H$31,Site_Data_Column_Names,0))</f>
        <v>SCE</v>
      </c>
      <c r="I33" s="107" t="str">
        <f>INDEX(Site_Data_Table,MATCH($A33,'Site Data'!$A$6:$A$13,0),MATCH(I$31,Site_Data_Column_Names,0))</f>
        <v>SPPA</v>
      </c>
      <c r="J33" s="113">
        <f>INDEX(Site_Data_Table,MATCH($A33,'Site Data'!$A$6:$A$13,0),MATCH(J$31,Site_Data_Column_Names,0))</f>
        <v>20</v>
      </c>
      <c r="K33" s="112"/>
      <c r="L33" s="363"/>
      <c r="M33" s="364"/>
      <c r="N33" s="365"/>
      <c r="O33" s="366"/>
      <c r="P33" s="366"/>
      <c r="Q33" s="306">
        <v>4</v>
      </c>
      <c r="R33" s="367">
        <f t="shared" si="0"/>
        <v>12000</v>
      </c>
      <c r="S33" s="368" t="str">
        <f>_xlfn.LET(_xlpm.val,INDEX('System Specification'!$K$14:$K$21,MATCH($A33,'System Specification'!$A$14:$A$21,0)),
IF(_xlpm.val="","",_xlpm.val))</f>
        <v>No</v>
      </c>
      <c r="T33" s="369">
        <f>IF($S33="No",0,INDEX(Site_Data_Table,MATCH($A33,'Site Data'!$A$6:$A$13,0),MATCH(T$31,Site_Data_Column_Names,0)))</f>
        <v>0</v>
      </c>
      <c r="U33" s="370">
        <f t="shared" si="1"/>
        <v>0</v>
      </c>
      <c r="V33" s="371">
        <v>0</v>
      </c>
      <c r="W33" s="372">
        <v>15000</v>
      </c>
      <c r="X33" s="373">
        <f t="shared" si="2"/>
        <v>27000</v>
      </c>
    </row>
    <row r="34" spans="1:24" x14ac:dyDescent="0.35">
      <c r="A34" s="44">
        <f t="shared" si="3"/>
        <v>3</v>
      </c>
      <c r="B34" s="446" t="str">
        <f>INDEX(Site_Data_Table,MATCH($A34,'Site Data'!$A$6:$A$13,0),MATCH(B$31,Site_Data_Column_Names,0))</f>
        <v>Banning Justice Center</v>
      </c>
      <c r="C34" s="447"/>
      <c r="D34" s="103" t="str">
        <f>INDEX(Site_Data_Table,MATCH($A34,'Site Data'!$A$6:$A$13,0),MATCH(D$31,Site_Data_Column_Names,0))</f>
        <v>33-G4</v>
      </c>
      <c r="E34" s="103" t="str">
        <f>INDEX(Site_Data_Table,MATCH($A34,'Site Data'!$A$6:$A$13,0),MATCH(E$31,Site_Data_Column_Names,0))</f>
        <v>Yes</v>
      </c>
      <c r="F34" s="99">
        <f>INDEX(Prod_Yr_1,MATCH($A34,'System Specification'!$A$14:$A$20,0))</f>
        <v>0</v>
      </c>
      <c r="G34" s="100" t="str">
        <f>_xlfn.TEXTJOIN(" / ",1,INDEX('System Specification'!$O$14:$O$20,MATCH($A34,'System Specification'!$A$14:$A$20,0)),INDEX('System Specification'!$P$14:$P$20,MATCH($A34,'System Specification'!$A$14:$A$20,0)))</f>
        <v/>
      </c>
      <c r="H34" s="100" t="str">
        <f>INDEX(Site_Data_Table,MATCH($A34,'Site Data'!$A$6:$A$13,0),MATCH(H$31,Site_Data_Column_Names,0))</f>
        <v>City of Banning</v>
      </c>
      <c r="I34" s="107" t="str">
        <f>INDEX(Site_Data_Table,MATCH($A34,'Site Data'!$A$6:$A$13,0),MATCH(I$31,Site_Data_Column_Names,0))</f>
        <v>SEL</v>
      </c>
      <c r="J34" s="113">
        <f>INDEX(Site_Data_Table,MATCH($A34,'Site Data'!$A$6:$A$13,0),MATCH(J$31,Site_Data_Column_Names,0))</f>
        <v>20</v>
      </c>
      <c r="K34" s="214"/>
      <c r="L34" s="374"/>
      <c r="M34" s="375"/>
      <c r="N34" s="376"/>
      <c r="O34" s="377"/>
      <c r="P34" s="377"/>
      <c r="Q34" s="306">
        <v>3</v>
      </c>
      <c r="R34" s="367">
        <f t="shared" si="0"/>
        <v>10500</v>
      </c>
      <c r="S34" s="368" t="str">
        <f>_xlfn.LET(_xlpm.val,INDEX('System Specification'!$K$14:$K$21,MATCH($A34,'System Specification'!$A$14:$A$21,0)),
IF(_xlpm.val="","",_xlpm.val))</f>
        <v>No</v>
      </c>
      <c r="T34" s="369">
        <f>IF($S34="No",0,INDEX(Site_Data_Table,MATCH($A34,'Site Data'!$A$6:$A$13,0),MATCH(T$31,Site_Data_Column_Names,0)))</f>
        <v>0</v>
      </c>
      <c r="U34" s="370">
        <f t="shared" si="1"/>
        <v>0</v>
      </c>
      <c r="V34" s="371">
        <v>0</v>
      </c>
      <c r="W34" s="372">
        <v>15000</v>
      </c>
      <c r="X34" s="373">
        <f t="shared" si="2"/>
        <v>25500</v>
      </c>
    </row>
    <row r="35" spans="1:24" x14ac:dyDescent="0.35">
      <c r="A35" s="44">
        <f t="shared" si="3"/>
        <v>4</v>
      </c>
      <c r="B35" s="446" t="str">
        <f>INDEX(Site_Data_Table,MATCH($A35,'Site Data'!$A$6:$A$13,0),MATCH(B$31,Site_Data_Column_Names,0))</f>
        <v>San Bernardino Justice Center</v>
      </c>
      <c r="C35" s="447"/>
      <c r="D35" s="103" t="str">
        <f>INDEX(Site_Data_Table,MATCH($A35,'Site Data'!$A$6:$A$13,0),MATCH(D$31,Site_Data_Column_Names,0))</f>
        <v>36-R1</v>
      </c>
      <c r="E35" s="103" t="str">
        <f>INDEX(Site_Data_Table,MATCH($A35,'Site Data'!$A$6:$A$13,0),MATCH(E$31,Site_Data_Column_Names,0))</f>
        <v>Yes</v>
      </c>
      <c r="F35" s="99">
        <f>INDEX(Prod_Yr_1,MATCH($A35,'System Specification'!$A$14:$A$20,0))</f>
        <v>0</v>
      </c>
      <c r="G35" s="100" t="str">
        <f>_xlfn.TEXTJOIN(" / ",1,INDEX('System Specification'!$O$14:$O$20,MATCH($A35,'System Specification'!$A$14:$A$20,0)),INDEX('System Specification'!$P$14:$P$20,MATCH($A35,'System Specification'!$A$14:$A$20,0)))</f>
        <v/>
      </c>
      <c r="H35" s="100" t="str">
        <f>INDEX(Site_Data_Table,MATCH($A35,'Site Data'!$A$6:$A$13,0),MATCH(H$31,Site_Data_Column_Names,0))</f>
        <v>SCE</v>
      </c>
      <c r="I35" s="107" t="str">
        <f>INDEX(Site_Data_Table,MATCH($A35,'Site Data'!$A$6:$A$13,0),MATCH(I$31,Site_Data_Column_Names,0))</f>
        <v>SPPA</v>
      </c>
      <c r="J35" s="113">
        <f>INDEX(Site_Data_Table,MATCH($A35,'Site Data'!$A$6:$A$13,0),MATCH(J$31,Site_Data_Column_Names,0))</f>
        <v>20</v>
      </c>
      <c r="K35" s="112"/>
      <c r="L35" s="363"/>
      <c r="M35" s="364"/>
      <c r="N35" s="365"/>
      <c r="O35" s="366"/>
      <c r="P35" s="366"/>
      <c r="Q35" s="306">
        <v>2</v>
      </c>
      <c r="R35" s="367">
        <f t="shared" si="0"/>
        <v>9000</v>
      </c>
      <c r="S35" s="368" t="str">
        <f>_xlfn.LET(_xlpm.val,INDEX('System Specification'!$K$14:$K$21,MATCH($A35,'System Specification'!$A$14:$A$21,0)),
IF(_xlpm.val="","",_xlpm.val))</f>
        <v>No</v>
      </c>
      <c r="T35" s="369">
        <f>IF($S35="No",0,INDEX(Site_Data_Table,MATCH($A35,'Site Data'!$A$6:$A$13,0),MATCH(T$31,Site_Data_Column_Names,0)))</f>
        <v>0</v>
      </c>
      <c r="U35" s="370">
        <f t="shared" si="1"/>
        <v>0</v>
      </c>
      <c r="V35" s="371">
        <v>0</v>
      </c>
      <c r="W35" s="372">
        <v>15000</v>
      </c>
      <c r="X35" s="373">
        <f t="shared" si="2"/>
        <v>24000</v>
      </c>
    </row>
    <row r="36" spans="1:24" x14ac:dyDescent="0.35">
      <c r="A36" s="44">
        <f t="shared" si="3"/>
        <v>5</v>
      </c>
      <c r="B36" s="446" t="str">
        <f>INDEX(Site_Data_Table,MATCH($A36,'Site Data'!$A$6:$A$13,0),MATCH(B$31,Site_Data_Column_Names,0))</f>
        <v>Kearny Mesa Court</v>
      </c>
      <c r="C36" s="447"/>
      <c r="D36" s="103" t="str">
        <f>INDEX(Site_Data_Table,MATCH($A36,'Site Data'!$A$6:$A$13,0),MATCH(D$31,Site_Data_Column_Names,0))</f>
        <v>37-C1</v>
      </c>
      <c r="E36" s="103" t="str">
        <f>INDEX(Site_Data_Table,MATCH($A36,'Site Data'!$A$6:$A$13,0),MATCH(E$31,Site_Data_Column_Names,0))</f>
        <v>Yes</v>
      </c>
      <c r="F36" s="99">
        <f>INDEX(Prod_Yr_1,MATCH($A36,'System Specification'!$A$14:$A$20,0))</f>
        <v>0</v>
      </c>
      <c r="G36" s="100" t="str">
        <f>_xlfn.TEXTJOIN(" / ",1,INDEX('System Specification'!$O$14:$O$20,MATCH($A36,'System Specification'!$A$14:$A$20,0)),INDEX('System Specification'!$P$14:$P$20,MATCH($A36,'System Specification'!$A$14:$A$20,0)))</f>
        <v/>
      </c>
      <c r="H36" s="100" t="str">
        <f>INDEX(Site_Data_Table,MATCH($A36,'Site Data'!$A$6:$A$13,0),MATCH(H$31,Site_Data_Column_Names,0))</f>
        <v>SDG&amp;E / SDCP</v>
      </c>
      <c r="I36" s="107" t="str">
        <f>INDEX(Site_Data_Table,MATCH($A36,'Site Data'!$A$6:$A$13,0),MATCH(I$31,Site_Data_Column_Names,0))</f>
        <v>SPPA</v>
      </c>
      <c r="J36" s="113">
        <f>INDEX(Site_Data_Table,MATCH($A36,'Site Data'!$A$6:$A$13,0),MATCH(J$31,Site_Data_Column_Names,0))</f>
        <v>20</v>
      </c>
      <c r="K36" s="112"/>
      <c r="L36" s="363"/>
      <c r="M36" s="364"/>
      <c r="N36" s="365"/>
      <c r="O36" s="366"/>
      <c r="P36" s="366"/>
      <c r="Q36" s="306">
        <v>3</v>
      </c>
      <c r="R36" s="367">
        <f t="shared" si="0"/>
        <v>10500</v>
      </c>
      <c r="S36" s="368" t="str">
        <f>_xlfn.LET(_xlpm.val,INDEX('System Specification'!$K$14:$K$21,MATCH($A36,'System Specification'!$A$14:$A$21,0)),
IF(_xlpm.val="","",_xlpm.val))</f>
        <v/>
      </c>
      <c r="T36" s="369">
        <f>IF($S36="No",0,INDEX(Site_Data_Table,MATCH($A36,'Site Data'!$A$6:$A$13,0),MATCH(T$31,Site_Data_Column_Names,0)))</f>
        <v>0</v>
      </c>
      <c r="U36" s="370">
        <f t="shared" si="1"/>
        <v>0</v>
      </c>
      <c r="V36" s="371">
        <v>0</v>
      </c>
      <c r="W36" s="372">
        <v>15000</v>
      </c>
      <c r="X36" s="373">
        <f t="shared" si="2"/>
        <v>25500</v>
      </c>
    </row>
    <row r="37" spans="1:24" x14ac:dyDescent="0.35">
      <c r="A37" s="44">
        <f t="shared" si="3"/>
        <v>6</v>
      </c>
      <c r="B37" s="446" t="str">
        <f>INDEX(Site_Data_Table,MATCH($A37,'Site Data'!$A$6:$A$13,0),MATCH(B$31,Site_Data_Column_Names,0))</f>
        <v>East County Regional Center</v>
      </c>
      <c r="C37" s="447"/>
      <c r="D37" s="103" t="str">
        <f>INDEX(Site_Data_Table,MATCH($A37,'Site Data'!$A$6:$A$13,0),MATCH(D$31,Site_Data_Column_Names,0))</f>
        <v>37-I1</v>
      </c>
      <c r="E37" s="103" t="str">
        <f>INDEX(Site_Data_Table,MATCH($A37,'Site Data'!$A$6:$A$13,0),MATCH(E$31,Site_Data_Column_Names,0))</f>
        <v>Yes</v>
      </c>
      <c r="F37" s="99">
        <f>INDEX(Prod_Yr_1,MATCH($A37,'System Specification'!$A$14:$A$20,0))</f>
        <v>0</v>
      </c>
      <c r="G37" s="100" t="str">
        <f>_xlfn.TEXTJOIN(" / ",1,INDEX('System Specification'!$O$14:$O$20,MATCH($A37,'System Specification'!$A$14:$A$20,0)),INDEX('System Specification'!$P$14:$P$20,MATCH($A37,'System Specification'!$A$14:$A$20,0)))</f>
        <v/>
      </c>
      <c r="H37" s="100" t="str">
        <f>INDEX(Site_Data_Table,MATCH($A37,'Site Data'!$A$6:$A$13,0),MATCH(H$31,Site_Data_Column_Names,0))</f>
        <v>SDG&amp;E</v>
      </c>
      <c r="I37" s="100" t="str">
        <f>INDEX(Site_Data_Table,MATCH($A37,'Site Data'!$A$6:$A$13,0),MATCH(I$31,Site_Data_Column_Names,0))</f>
        <v>SPPA</v>
      </c>
      <c r="J37" s="113">
        <f>INDEX(Site_Data_Table,MATCH($A37,'Site Data'!$A$6:$A$13,0),MATCH(J$31,Site_Data_Column_Names,0))</f>
        <v>20</v>
      </c>
      <c r="K37" s="112"/>
      <c r="L37" s="363"/>
      <c r="M37" s="364"/>
      <c r="N37" s="365"/>
      <c r="O37" s="366"/>
      <c r="P37" s="366"/>
      <c r="Q37" s="306">
        <v>1</v>
      </c>
      <c r="R37" s="367">
        <f t="shared" si="0"/>
        <v>7500</v>
      </c>
      <c r="S37" s="368" t="str">
        <f>_xlfn.LET(_xlpm.val,INDEX('System Specification'!$K$14:$K$21,MATCH($A37,'System Specification'!$A$14:$A$21,0)),
IF(_xlpm.val="","",_xlpm.val))</f>
        <v>No</v>
      </c>
      <c r="T37" s="369">
        <f>IF($S37="No",0,INDEX(Site_Data_Table,MATCH($A37,'Site Data'!$A$6:$A$13,0),MATCH(T$31,Site_Data_Column_Names,0)))</f>
        <v>0</v>
      </c>
      <c r="U37" s="370">
        <f t="shared" si="1"/>
        <v>0</v>
      </c>
      <c r="V37" s="371">
        <v>0</v>
      </c>
      <c r="W37" s="372">
        <v>15000</v>
      </c>
      <c r="X37" s="373">
        <f t="shared" si="2"/>
        <v>22500</v>
      </c>
    </row>
    <row r="38" spans="1:24" ht="16" thickBot="1" x14ac:dyDescent="0.4">
      <c r="A38" s="45">
        <f t="shared" si="3"/>
        <v>7</v>
      </c>
      <c r="B38" s="457" t="str">
        <f>INDEX(Site_Data_Table,MATCH($A38,'Site Data'!$A$6:$A$13,0),MATCH(B$31,Site_Data_Column_Names,0))</f>
        <v>Santa Ana Courthouse</v>
      </c>
      <c r="C38" s="458"/>
      <c r="D38" s="127" t="str">
        <f>INDEX(Site_Data_Table,MATCH($A38,'Site Data'!$A$6:$A$13,0),MATCH(D$31,Site_Data_Column_Names,0))</f>
        <v>64-E1</v>
      </c>
      <c r="E38" s="127" t="str">
        <f>INDEX(Site_Data_Table,MATCH($A38,'Site Data'!$A$6:$A$13,0),MATCH(E$31,Site_Data_Column_Names,0))</f>
        <v>Yes</v>
      </c>
      <c r="F38" s="172">
        <f>INDEX(Prod_Yr_1,MATCH($A38,'System Specification'!$A$14:$A$20,0))</f>
        <v>0</v>
      </c>
      <c r="G38" s="173" t="str">
        <f>_xlfn.TEXTJOIN(" / ",1,INDEX('System Specification'!$O$14:$O$20,MATCH($A38,'System Specification'!$A$14:$A$20,0)),INDEX('System Specification'!$P$14:$P$20,MATCH($A38,'System Specification'!$A$14:$A$20,0)))</f>
        <v/>
      </c>
      <c r="H38" s="173" t="str">
        <f>INDEX(Site_Data_Table,MATCH($A38,'Site Data'!$A$6:$A$13,0),MATCH(H$31,Site_Data_Column_Names,0))</f>
        <v>SCE</v>
      </c>
      <c r="I38" s="173" t="str">
        <f>INDEX(Site_Data_Table,MATCH($A38,'Site Data'!$A$6:$A$13,0),MATCH(I$31,Site_Data_Column_Names,0))</f>
        <v>SPPA</v>
      </c>
      <c r="J38" s="174">
        <f>INDEX(Site_Data_Table,MATCH($A38,'Site Data'!$A$6:$A$13,0),MATCH(J$31,Site_Data_Column_Names,0))</f>
        <v>20</v>
      </c>
      <c r="K38" s="175"/>
      <c r="L38" s="378"/>
      <c r="M38" s="379"/>
      <c r="N38" s="380"/>
      <c r="O38" s="381"/>
      <c r="P38" s="381"/>
      <c r="Q38" s="307">
        <v>1</v>
      </c>
      <c r="R38" s="382">
        <f t="shared" si="0"/>
        <v>7500</v>
      </c>
      <c r="S38" s="383" t="str">
        <f>_xlfn.LET(_xlpm.val,INDEX('System Specification'!$K$14:$K$21,MATCH($A38,'System Specification'!$A$14:$A$21,0)),
IF(_xlpm.val="","",_xlpm.val))</f>
        <v/>
      </c>
      <c r="T38" s="384">
        <f>IF($S38="No",0,INDEX(Site_Data_Table,MATCH($A38,'Site Data'!$A$6:$A$13,0),MATCH(T$31,Site_Data_Column_Names,0)))</f>
        <v>0</v>
      </c>
      <c r="U38" s="385">
        <f t="shared" si="1"/>
        <v>0</v>
      </c>
      <c r="V38" s="386">
        <v>0</v>
      </c>
      <c r="W38" s="387">
        <v>15000</v>
      </c>
      <c r="X38" s="388">
        <f t="shared" si="2"/>
        <v>22500</v>
      </c>
    </row>
    <row r="39" spans="1:24" ht="16" thickBot="1" x14ac:dyDescent="0.4">
      <c r="A39" s="181"/>
      <c r="B39" s="181"/>
      <c r="C39" s="181"/>
      <c r="D39" s="181"/>
      <c r="E39" s="181"/>
      <c r="F39" s="196">
        <f>SUMIFS(F$32:F$38,$E$32:$E$38,"Yes")</f>
        <v>0</v>
      </c>
      <c r="G39" s="197"/>
      <c r="H39" s="197"/>
      <c r="I39" s="197"/>
      <c r="J39" s="198"/>
      <c r="K39" s="199" t="e" cm="1">
        <f t="array" ref="K39">SUMPRODUCT($F$32:$F$38,K$32:K$38,--($E$32:$E$38="Yes"))/SUMPRODUCT($F$32:$F$38*(K$32:K$38&gt;0),--($E$32:$E$38="Yes"))</f>
        <v>#DIV/0!</v>
      </c>
      <c r="L39" s="201" t="e" cm="1">
        <f t="array" ref="L39">SUMPRODUCT($F$32:$F$38,L$32:L$38,--($E$32:$E$38="Yes"))/SUMPRODUCT($F$32:$F$38*(L$32:L$38&gt;0),--($E$32:$E$38="Yes"))</f>
        <v>#DIV/0!</v>
      </c>
      <c r="M39" s="202" t="e" cm="1">
        <f t="array" ref="M39">SUMPRODUCT($F$32:$F$38,M$32:M$38,--($E$32:$E$38="Yes"))/SUMPRODUCT($F$32:$F$38*(M$32:M$38&gt;0),--($E$32:$E$38="Yes"))</f>
        <v>#DIV/0!</v>
      </c>
      <c r="N39" s="203">
        <f>SUMIFS(N$32:N$38,$E$32:$E$38,"Yes")</f>
        <v>0</v>
      </c>
      <c r="O39" s="204" t="e" cm="1">
        <f t="array" ref="O39">SUMPRODUCT($F$32:$F$38,O$32:O$38,--($E$32:$E$38="Yes"))/SUMPRODUCT($F$32:$F$38*(O$32:O$38&gt;0),--($E$32:$E$38="Yes"))</f>
        <v>#DIV/0!</v>
      </c>
      <c r="P39" s="204" t="e" cm="1">
        <f t="array" ref="P39">SUMPRODUCT($F$32:$F$38,P$32:P$38,--($E$32:$E$38="Yes"))/SUMPRODUCT($F$32:$F$38*(P$32:P$38&gt;0),--($E$32:$E$38="Yes"))</f>
        <v>#DIV/0!</v>
      </c>
      <c r="Q39" s="308">
        <f>SUM(Q32:Q38)</f>
        <v>14</v>
      </c>
      <c r="R39" s="206">
        <f>SUMIFS(R$32:R$38,$E$32:$E$38,"Yes")</f>
        <v>57000</v>
      </c>
      <c r="S39" s="212"/>
      <c r="T39" s="213">
        <f>SUMIFS(T$32:T$38,$E$32:$E$38,"Yes")</f>
        <v>0</v>
      </c>
      <c r="U39" s="206">
        <f>SUMIFS(U$32:U$38,$E$32:$E$38,"Yes")</f>
        <v>0</v>
      </c>
      <c r="V39" s="200">
        <f>SUMIFS(V$32:V$38,$E$32:$E$38,"Yes")</f>
        <v>0</v>
      </c>
      <c r="W39" s="200">
        <f>SUMIFS(W$32:W$38,$E$32:$E$38,"Yes")</f>
        <v>105000</v>
      </c>
      <c r="X39" s="205">
        <f>SUMIFS(X$32:X$38,$E$32:$E$38,"Yes")</f>
        <v>162000</v>
      </c>
    </row>
    <row r="40" spans="1:24" ht="12.75" customHeight="1" x14ac:dyDescent="0.65">
      <c r="A40" s="52"/>
      <c r="L40" s="116"/>
    </row>
  </sheetData>
  <sheetProtection algorithmName="SHA-512" hashValue="tQuNMVwxZ5IlZBbwt95YhYe3LvkonNwn43/R/hVQcHZRG6YPOtxOmT0IPmQtPQbHZfDYS6C8q7xlbOD1kaCmrQ==" saltValue="QHnM2OIzif0MYw1Ck/YCUQ==" spinCount="100000" sheet="1" formatColumns="0" formatRows="0"/>
  <mergeCells count="48">
    <mergeCell ref="Q30:X30"/>
    <mergeCell ref="B38:C38"/>
    <mergeCell ref="N30:P30"/>
    <mergeCell ref="I23:O23"/>
    <mergeCell ref="I24:O24"/>
    <mergeCell ref="A23:D23"/>
    <mergeCell ref="A24:D24"/>
    <mergeCell ref="A25:D25"/>
    <mergeCell ref="I26:O26"/>
    <mergeCell ref="A30:J30"/>
    <mergeCell ref="K30:M30"/>
    <mergeCell ref="B37:C37"/>
    <mergeCell ref="B35:C35"/>
    <mergeCell ref="B36:C36"/>
    <mergeCell ref="A26:D26"/>
    <mergeCell ref="B32:C32"/>
    <mergeCell ref="B33:C33"/>
    <mergeCell ref="B34:C34"/>
    <mergeCell ref="I11:O11"/>
    <mergeCell ref="A1:L1"/>
    <mergeCell ref="I10:O10"/>
    <mergeCell ref="B6:E6"/>
    <mergeCell ref="A10:D10"/>
    <mergeCell ref="A11:D11"/>
    <mergeCell ref="B31:C31"/>
    <mergeCell ref="A18:D18"/>
    <mergeCell ref="A19:D19"/>
    <mergeCell ref="A20:D20"/>
    <mergeCell ref="A21:D21"/>
    <mergeCell ref="A22:D22"/>
    <mergeCell ref="I25:O25"/>
    <mergeCell ref="I22:O22"/>
    <mergeCell ref="A12:D12"/>
    <mergeCell ref="I12:O12"/>
    <mergeCell ref="I13:O13"/>
    <mergeCell ref="I20:O20"/>
    <mergeCell ref="I21:O21"/>
    <mergeCell ref="A13:D13"/>
    <mergeCell ref="A14:D14"/>
    <mergeCell ref="A15:D15"/>
    <mergeCell ref="A16:D16"/>
    <mergeCell ref="A17:D17"/>
    <mergeCell ref="I14:O14"/>
    <mergeCell ref="I15:O15"/>
    <mergeCell ref="I19:O19"/>
    <mergeCell ref="I16:O16"/>
    <mergeCell ref="I17:O17"/>
    <mergeCell ref="I18:O18"/>
  </mergeCells>
  <conditionalFormatting sqref="A32:B38 D32:J38 S32:X38">
    <cfRule type="expression" dxfId="38" priority="7">
      <formula>($E32="No")</formula>
    </cfRule>
  </conditionalFormatting>
  <conditionalFormatting sqref="K32:M38">
    <cfRule type="expression" dxfId="37" priority="3">
      <formula>$I32="SEL"</formula>
    </cfRule>
  </conditionalFormatting>
  <conditionalFormatting sqref="K32:R38">
    <cfRule type="expression" dxfId="36" priority="4">
      <formula>($E32="No")</formula>
    </cfRule>
  </conditionalFormatting>
  <conditionalFormatting sqref="N32:R38">
    <cfRule type="expression" dxfId="35" priority="2">
      <formula>$I32="SPPA"</formula>
    </cfRule>
  </conditionalFormatting>
  <pageMargins left="0.5" right="0.5" top="0.5" bottom="0.75" header="0.3" footer="0.3"/>
  <pageSetup scale="40" orientation="portrait" r:id="rId1"/>
  <headerFooter>
    <oddFooter>&amp;L&amp;D&amp;R&amp;F | &amp;A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6D76-8E43-46DF-B7AC-44B412A8EDF6}">
  <sheetPr>
    <tabColor rgb="FFFFFF99"/>
  </sheetPr>
  <dimension ref="A1:X40"/>
  <sheetViews>
    <sheetView showGridLines="0" zoomScaleNormal="100" workbookViewId="0">
      <selection sqref="A1:L1"/>
    </sheetView>
  </sheetViews>
  <sheetFormatPr defaultColWidth="8.69140625" defaultRowHeight="15.5" x14ac:dyDescent="0.35"/>
  <cols>
    <col min="1" max="1" width="9.765625" customWidth="1"/>
    <col min="2" max="2" width="11.69140625" customWidth="1"/>
    <col min="3" max="3" width="15.53515625" customWidth="1"/>
    <col min="4" max="4" width="5.765625" bestFit="1" customWidth="1"/>
    <col min="5" max="5" width="5.765625" hidden="1" customWidth="1"/>
    <col min="6" max="7" width="13.23046875" customWidth="1"/>
    <col min="8" max="8" width="20.53515625" customWidth="1"/>
    <col min="9" max="10" width="9.53515625" customWidth="1"/>
    <col min="11" max="11" width="13.23046875" customWidth="1"/>
    <col min="12" max="12" width="11.69140625" customWidth="1"/>
    <col min="13" max="14" width="15.4609375" customWidth="1"/>
    <col min="15" max="15" width="12.07421875" customWidth="1"/>
    <col min="16" max="16" width="17.23046875" customWidth="1"/>
    <col min="17" max="24" width="12" customWidth="1"/>
    <col min="25" max="25" width="12.53515625" customWidth="1"/>
  </cols>
  <sheetData>
    <row r="1" spans="1:21" s="68" customFormat="1" ht="145" customHeight="1" x14ac:dyDescent="0.35">
      <c r="A1" s="438" t="s">
        <v>199</v>
      </c>
      <c r="B1" s="438"/>
      <c r="C1" s="438"/>
      <c r="D1" s="438"/>
      <c r="E1" s="438"/>
      <c r="F1" s="438"/>
      <c r="G1" s="438"/>
      <c r="H1" s="438"/>
      <c r="I1" s="438"/>
      <c r="J1" s="438"/>
      <c r="K1" s="438"/>
      <c r="L1" s="438"/>
      <c r="M1" s="48"/>
      <c r="N1" s="48"/>
      <c r="O1" s="48"/>
      <c r="P1" s="48"/>
      <c r="Q1" s="48"/>
      <c r="R1" s="48"/>
      <c r="S1" s="48"/>
      <c r="T1" s="48"/>
      <c r="U1" s="48"/>
    </row>
    <row r="2" spans="1:21" s="8" customFormat="1" ht="12.5" x14ac:dyDescent="0.25"/>
    <row r="3" spans="1:21" s="25" customFormat="1" ht="28.5" x14ac:dyDescent="0.65">
      <c r="A3" s="9" t="s">
        <v>200</v>
      </c>
      <c r="B3" s="1"/>
      <c r="C3" s="1"/>
      <c r="D3" s="1"/>
      <c r="E3" s="1"/>
      <c r="F3" s="1"/>
      <c r="G3" s="1"/>
      <c r="H3" s="1"/>
      <c r="I3" s="1"/>
      <c r="J3" s="1"/>
      <c r="K3" s="1"/>
      <c r="L3" s="1"/>
      <c r="M3" s="1"/>
      <c r="N3" s="1"/>
      <c r="O3" s="1"/>
      <c r="P3" s="1"/>
      <c r="Q3" s="1"/>
      <c r="R3" s="1"/>
      <c r="S3" s="1"/>
    </row>
    <row r="4" spans="1:21" s="25" customFormat="1" ht="21" x14ac:dyDescent="0.5">
      <c r="A4" s="6" t="str">
        <f>'Summary &amp; Signature'!A4</f>
        <v>Proposed Price Form</v>
      </c>
      <c r="B4" s="1"/>
      <c r="C4" s="7"/>
      <c r="D4" s="7"/>
      <c r="E4" s="7"/>
      <c r="F4" s="1"/>
      <c r="H4" s="1"/>
      <c r="I4" s="1"/>
      <c r="J4" s="1"/>
      <c r="K4" s="1"/>
      <c r="L4" s="1"/>
      <c r="M4" s="1"/>
      <c r="N4" s="1"/>
      <c r="O4" s="1"/>
      <c r="P4" s="1"/>
      <c r="Q4" s="1"/>
      <c r="R4" s="1"/>
      <c r="S4" s="1"/>
    </row>
    <row r="5" spans="1:21" s="25" customFormat="1" x14ac:dyDescent="0.35">
      <c r="A5" s="217" t="str">
        <f>Instructions!$B$9</f>
        <v>Region:</v>
      </c>
      <c r="B5" s="217" t="str">
        <f>Instructions!$C$9</f>
        <v>SRO2</v>
      </c>
      <c r="C5" s="218"/>
      <c r="D5" s="218"/>
      <c r="E5" s="218"/>
      <c r="F5" s="1"/>
      <c r="H5" s="1"/>
      <c r="I5" s="1"/>
      <c r="J5" s="1"/>
      <c r="K5" s="1"/>
      <c r="L5" s="1"/>
      <c r="M5" s="1"/>
      <c r="N5" s="1"/>
      <c r="O5" s="1"/>
      <c r="P5" s="1"/>
      <c r="Q5" s="1"/>
      <c r="R5" s="1"/>
      <c r="S5" s="1"/>
    </row>
    <row r="6" spans="1:21" s="25" customFormat="1" ht="18.75" customHeight="1" x14ac:dyDescent="0.35">
      <c r="A6" s="217" t="s">
        <v>4</v>
      </c>
      <c r="B6" s="450">
        <f>Vendor_Name</f>
        <v>0</v>
      </c>
      <c r="C6" s="450"/>
      <c r="D6" s="450"/>
      <c r="E6" s="450"/>
      <c r="F6" s="4"/>
      <c r="J6" s="1"/>
      <c r="K6" s="1"/>
    </row>
    <row r="7" spans="1:21" s="25" customFormat="1" ht="18.5" x14ac:dyDescent="0.45">
      <c r="A7" s="80"/>
      <c r="B7" s="80"/>
    </row>
    <row r="8" spans="1:21" s="25" customFormat="1" ht="30.5" x14ac:dyDescent="0.65">
      <c r="A8" s="52" t="s">
        <v>140</v>
      </c>
      <c r="B8" s="80"/>
    </row>
    <row r="9" spans="1:21" s="25" customFormat="1" ht="18.5" x14ac:dyDescent="0.45">
      <c r="A9" s="80"/>
      <c r="B9" s="80"/>
    </row>
    <row r="10" spans="1:21" s="25" customFormat="1" ht="29" x14ac:dyDescent="0.45">
      <c r="A10" s="451" t="s">
        <v>141</v>
      </c>
      <c r="B10" s="452"/>
      <c r="C10" s="452"/>
      <c r="D10" s="453"/>
      <c r="E10" s="318"/>
      <c r="F10" s="84" t="s">
        <v>142</v>
      </c>
      <c r="G10" s="85" t="s">
        <v>143</v>
      </c>
      <c r="H10" s="111" t="s">
        <v>144</v>
      </c>
      <c r="I10" s="448" t="s">
        <v>145</v>
      </c>
      <c r="J10" s="449"/>
      <c r="K10" s="449"/>
      <c r="L10" s="449"/>
      <c r="M10" s="449"/>
      <c r="N10" s="449"/>
      <c r="O10" s="449"/>
      <c r="U10" s="7"/>
    </row>
    <row r="11" spans="1:21" s="82" customFormat="1" ht="26.65" customHeight="1" x14ac:dyDescent="0.3">
      <c r="A11" s="440" t="s">
        <v>146</v>
      </c>
      <c r="B11" s="441"/>
      <c r="C11" s="441"/>
      <c r="D11" s="442"/>
      <c r="E11" s="317"/>
      <c r="F11" s="117" t="s">
        <v>147</v>
      </c>
      <c r="G11" s="118" t="s">
        <v>148</v>
      </c>
      <c r="H11" s="110" t="s">
        <v>49</v>
      </c>
      <c r="I11" s="444" t="s">
        <v>201</v>
      </c>
      <c r="J11" s="444"/>
      <c r="K11" s="444"/>
      <c r="L11" s="444"/>
      <c r="M11" s="444"/>
      <c r="N11" s="444"/>
      <c r="O11" s="444"/>
    </row>
    <row r="12" spans="1:21" s="82" customFormat="1" ht="13" x14ac:dyDescent="0.3">
      <c r="A12" s="440" t="s">
        <v>150</v>
      </c>
      <c r="B12" s="441"/>
      <c r="C12" s="441"/>
      <c r="D12" s="442"/>
      <c r="E12" s="317"/>
      <c r="F12" s="117" t="s">
        <v>147</v>
      </c>
      <c r="G12" s="118" t="s">
        <v>151</v>
      </c>
      <c r="H12" s="110" t="s">
        <v>49</v>
      </c>
      <c r="I12" s="443" t="s">
        <v>152</v>
      </c>
      <c r="J12" s="443"/>
      <c r="K12" s="443"/>
      <c r="L12" s="443"/>
      <c r="M12" s="443"/>
      <c r="N12" s="443"/>
      <c r="O12" s="443"/>
    </row>
    <row r="13" spans="1:21" s="82" customFormat="1" ht="26.5" customHeight="1" x14ac:dyDescent="0.3">
      <c r="A13" s="440" t="s">
        <v>153</v>
      </c>
      <c r="B13" s="441"/>
      <c r="C13" s="441"/>
      <c r="D13" s="442"/>
      <c r="E13" s="317"/>
      <c r="F13" s="117" t="s">
        <v>154</v>
      </c>
      <c r="G13" s="118" t="s">
        <v>148</v>
      </c>
      <c r="H13" s="110" t="s">
        <v>49</v>
      </c>
      <c r="I13" s="444" t="s">
        <v>155</v>
      </c>
      <c r="J13" s="444"/>
      <c r="K13" s="444"/>
      <c r="L13" s="444"/>
      <c r="M13" s="444"/>
      <c r="N13" s="444"/>
      <c r="O13" s="444"/>
    </row>
    <row r="14" spans="1:21" s="82" customFormat="1" ht="13.15" customHeight="1" x14ac:dyDescent="0.3">
      <c r="A14" s="440" t="s">
        <v>156</v>
      </c>
      <c r="B14" s="441"/>
      <c r="C14" s="441"/>
      <c r="D14" s="442"/>
      <c r="E14" s="317"/>
      <c r="F14" s="117" t="s">
        <v>154</v>
      </c>
      <c r="G14" s="118" t="s">
        <v>148</v>
      </c>
      <c r="H14" s="110" t="s">
        <v>49</v>
      </c>
      <c r="I14" s="444" t="s">
        <v>157</v>
      </c>
      <c r="J14" s="444"/>
      <c r="K14" s="444"/>
      <c r="L14" s="444"/>
      <c r="M14" s="444"/>
      <c r="N14" s="444"/>
      <c r="O14" s="444"/>
    </row>
    <row r="15" spans="1:21" s="82" customFormat="1" ht="13.15" customHeight="1" x14ac:dyDescent="0.3">
      <c r="A15" s="440" t="s">
        <v>158</v>
      </c>
      <c r="B15" s="441"/>
      <c r="C15" s="441"/>
      <c r="D15" s="442"/>
      <c r="E15" s="317"/>
      <c r="F15" s="117" t="s">
        <v>154</v>
      </c>
      <c r="G15" s="118" t="s">
        <v>148</v>
      </c>
      <c r="H15" s="110" t="s">
        <v>49</v>
      </c>
      <c r="I15" s="444" t="s">
        <v>157</v>
      </c>
      <c r="J15" s="444"/>
      <c r="K15" s="444"/>
      <c r="L15" s="444"/>
      <c r="M15" s="444"/>
      <c r="N15" s="444"/>
      <c r="O15" s="444"/>
    </row>
    <row r="16" spans="1:21" s="82" customFormat="1" ht="13.15" customHeight="1" x14ac:dyDescent="0.3">
      <c r="A16" s="440" t="s">
        <v>202</v>
      </c>
      <c r="B16" s="441"/>
      <c r="C16" s="441"/>
      <c r="D16" s="442"/>
      <c r="E16" s="317"/>
      <c r="F16" s="117" t="s">
        <v>147</v>
      </c>
      <c r="G16" s="119" t="s">
        <v>151</v>
      </c>
      <c r="H16" s="110" t="s">
        <v>49</v>
      </c>
      <c r="I16" s="444" t="s">
        <v>203</v>
      </c>
      <c r="J16" s="444"/>
      <c r="K16" s="444"/>
      <c r="L16" s="444"/>
      <c r="M16" s="444"/>
      <c r="N16" s="444"/>
      <c r="O16" s="444"/>
    </row>
    <row r="17" spans="1:24" s="82" customFormat="1" ht="13.15" customHeight="1" x14ac:dyDescent="0.3">
      <c r="A17" s="440" t="s">
        <v>204</v>
      </c>
      <c r="B17" s="441"/>
      <c r="C17" s="441"/>
      <c r="D17" s="442"/>
      <c r="E17" s="317"/>
      <c r="F17" s="117" t="s">
        <v>154</v>
      </c>
      <c r="G17" s="119" t="s">
        <v>45</v>
      </c>
      <c r="H17" s="110" t="s">
        <v>44</v>
      </c>
      <c r="I17" s="444" t="s">
        <v>205</v>
      </c>
      <c r="J17" s="444"/>
      <c r="K17" s="444"/>
      <c r="L17" s="444"/>
      <c r="M17" s="444"/>
      <c r="N17" s="444"/>
      <c r="O17" s="444"/>
    </row>
    <row r="18" spans="1:24" s="82" customFormat="1" ht="13.15" customHeight="1" x14ac:dyDescent="0.3">
      <c r="A18" s="440" t="s">
        <v>163</v>
      </c>
      <c r="B18" s="441"/>
      <c r="C18" s="441"/>
      <c r="D18" s="442"/>
      <c r="E18" s="317"/>
      <c r="F18" s="117" t="s">
        <v>147</v>
      </c>
      <c r="G18" s="119" t="s">
        <v>151</v>
      </c>
      <c r="H18" s="110" t="s">
        <v>49</v>
      </c>
      <c r="I18" s="444" t="s">
        <v>164</v>
      </c>
      <c r="J18" s="444"/>
      <c r="K18" s="444"/>
      <c r="L18" s="444"/>
      <c r="M18" s="444"/>
      <c r="N18" s="444"/>
      <c r="O18" s="444"/>
    </row>
    <row r="19" spans="1:24" s="82" customFormat="1" ht="27.75" customHeight="1" x14ac:dyDescent="0.3">
      <c r="A19" s="440" t="s">
        <v>165</v>
      </c>
      <c r="B19" s="441"/>
      <c r="C19" s="441"/>
      <c r="D19" s="442"/>
      <c r="E19" s="317"/>
      <c r="F19" s="117" t="s">
        <v>147</v>
      </c>
      <c r="G19" s="118" t="s">
        <v>148</v>
      </c>
      <c r="H19" s="110" t="s">
        <v>49</v>
      </c>
      <c r="I19" s="444" t="s">
        <v>166</v>
      </c>
      <c r="J19" s="444"/>
      <c r="K19" s="444"/>
      <c r="L19" s="444"/>
      <c r="M19" s="444"/>
      <c r="N19" s="444"/>
      <c r="O19" s="444"/>
    </row>
    <row r="20" spans="1:24" s="82" customFormat="1" ht="13.15" customHeight="1" x14ac:dyDescent="0.3">
      <c r="A20" s="440" t="s">
        <v>167</v>
      </c>
      <c r="B20" s="441"/>
      <c r="C20" s="441"/>
      <c r="D20" s="442"/>
      <c r="E20" s="317"/>
      <c r="F20" s="117" t="s">
        <v>154</v>
      </c>
      <c r="G20" s="119" t="s">
        <v>45</v>
      </c>
      <c r="H20" s="110" t="s">
        <v>44</v>
      </c>
      <c r="I20" s="444" t="s">
        <v>168</v>
      </c>
      <c r="J20" s="444"/>
      <c r="K20" s="444"/>
      <c r="L20" s="444"/>
      <c r="M20" s="444"/>
      <c r="N20" s="444"/>
      <c r="O20" s="444"/>
    </row>
    <row r="21" spans="1:24" s="83" customFormat="1" ht="12.75" customHeight="1" x14ac:dyDescent="0.35">
      <c r="A21" s="440" t="s">
        <v>169</v>
      </c>
      <c r="B21" s="441"/>
      <c r="C21" s="441"/>
      <c r="D21" s="442"/>
      <c r="E21" s="317"/>
      <c r="F21" s="117" t="s">
        <v>147</v>
      </c>
      <c r="G21" s="117" t="s">
        <v>151</v>
      </c>
      <c r="H21" s="108" t="s">
        <v>49</v>
      </c>
      <c r="I21" s="445" t="s">
        <v>170</v>
      </c>
      <c r="J21" s="445"/>
      <c r="K21" s="445"/>
      <c r="L21" s="445"/>
      <c r="M21" s="445"/>
      <c r="N21" s="445"/>
      <c r="O21" s="445"/>
    </row>
    <row r="22" spans="1:24" s="83" customFormat="1" ht="13.9" customHeight="1" x14ac:dyDescent="0.35">
      <c r="A22" s="440" t="s">
        <v>171</v>
      </c>
      <c r="B22" s="441"/>
      <c r="C22" s="441"/>
      <c r="D22" s="442"/>
      <c r="E22" s="317"/>
      <c r="F22" s="117" t="s">
        <v>147</v>
      </c>
      <c r="G22" s="117" t="s">
        <v>151</v>
      </c>
      <c r="H22" s="108" t="s">
        <v>49</v>
      </c>
      <c r="I22" s="443" t="s">
        <v>172</v>
      </c>
      <c r="J22" s="443"/>
      <c r="K22" s="443"/>
      <c r="L22" s="443"/>
      <c r="M22" s="443"/>
      <c r="N22" s="443"/>
      <c r="O22" s="443"/>
    </row>
    <row r="23" spans="1:24" s="82" customFormat="1" ht="15" customHeight="1" x14ac:dyDescent="0.3">
      <c r="A23" s="440" t="s">
        <v>173</v>
      </c>
      <c r="B23" s="441"/>
      <c r="C23" s="441"/>
      <c r="D23" s="442"/>
      <c r="E23" s="317"/>
      <c r="F23" s="117" t="s">
        <v>147</v>
      </c>
      <c r="G23" s="117" t="s">
        <v>151</v>
      </c>
      <c r="H23" s="108" t="s">
        <v>49</v>
      </c>
      <c r="I23" s="443" t="s">
        <v>174</v>
      </c>
      <c r="J23" s="443"/>
      <c r="K23" s="443"/>
      <c r="L23" s="443"/>
      <c r="M23" s="443"/>
      <c r="N23" s="443"/>
      <c r="O23" s="443"/>
    </row>
    <row r="24" spans="1:24" s="82" customFormat="1" ht="15" customHeight="1" x14ac:dyDescent="0.3">
      <c r="A24" s="440" t="s">
        <v>175</v>
      </c>
      <c r="B24" s="441"/>
      <c r="C24" s="441"/>
      <c r="D24" s="442"/>
      <c r="E24" s="317"/>
      <c r="F24" s="117" t="s">
        <v>147</v>
      </c>
      <c r="G24" s="118" t="s">
        <v>148</v>
      </c>
      <c r="H24" s="108" t="s">
        <v>49</v>
      </c>
      <c r="I24" s="443" t="s">
        <v>176</v>
      </c>
      <c r="J24" s="443"/>
      <c r="K24" s="443"/>
      <c r="L24" s="443"/>
      <c r="M24" s="443"/>
      <c r="N24" s="443"/>
      <c r="O24" s="443"/>
    </row>
    <row r="25" spans="1:24" s="82" customFormat="1" ht="15" customHeight="1" x14ac:dyDescent="0.3">
      <c r="A25" s="440" t="s">
        <v>177</v>
      </c>
      <c r="B25" s="441"/>
      <c r="C25" s="441"/>
      <c r="D25" s="442"/>
      <c r="E25" s="317"/>
      <c r="F25" s="117" t="s">
        <v>147</v>
      </c>
      <c r="G25" s="117" t="s">
        <v>151</v>
      </c>
      <c r="H25" s="108" t="s">
        <v>49</v>
      </c>
      <c r="I25" s="443" t="s">
        <v>178</v>
      </c>
      <c r="J25" s="443"/>
      <c r="K25" s="443"/>
      <c r="L25" s="443"/>
      <c r="M25" s="443"/>
      <c r="N25" s="443"/>
      <c r="O25" s="443"/>
    </row>
    <row r="26" spans="1:24" s="25" customFormat="1" ht="36.65" customHeight="1" x14ac:dyDescent="0.45">
      <c r="A26" s="463" t="s">
        <v>179</v>
      </c>
      <c r="B26" s="464"/>
      <c r="C26" s="464"/>
      <c r="D26" s="465"/>
      <c r="E26" s="319"/>
      <c r="F26" s="81"/>
      <c r="G26" s="86"/>
      <c r="H26" s="109"/>
      <c r="I26" s="459" t="s">
        <v>180</v>
      </c>
      <c r="J26" s="459"/>
      <c r="K26" s="459"/>
      <c r="L26" s="459"/>
      <c r="M26" s="459"/>
      <c r="N26" s="459"/>
      <c r="O26" s="459"/>
      <c r="U26" s="7"/>
    </row>
    <row r="28" spans="1:24" ht="30.5" x14ac:dyDescent="0.65">
      <c r="A28" s="52" t="s">
        <v>206</v>
      </c>
    </row>
    <row r="29" spans="1:24" ht="15" customHeight="1" thickBot="1" x14ac:dyDescent="0.7">
      <c r="A29" s="52"/>
    </row>
    <row r="30" spans="1:24" ht="21.5" thickBot="1" x14ac:dyDescent="0.4">
      <c r="A30" s="460" t="s">
        <v>182</v>
      </c>
      <c r="B30" s="461"/>
      <c r="C30" s="461"/>
      <c r="D30" s="461"/>
      <c r="E30" s="461"/>
      <c r="F30" s="461"/>
      <c r="G30" s="461"/>
      <c r="H30" s="461"/>
      <c r="I30" s="461"/>
      <c r="J30" s="462"/>
      <c r="K30" s="454" t="s">
        <v>183</v>
      </c>
      <c r="L30" s="455"/>
      <c r="M30" s="456"/>
      <c r="N30" s="454" t="s">
        <v>184</v>
      </c>
      <c r="O30" s="455"/>
      <c r="P30" s="455"/>
      <c r="Q30" s="454" t="s">
        <v>185</v>
      </c>
      <c r="R30" s="455"/>
      <c r="S30" s="455"/>
      <c r="T30" s="455"/>
      <c r="U30" s="455"/>
      <c r="V30" s="455"/>
      <c r="W30" s="455"/>
      <c r="X30" s="456"/>
    </row>
    <row r="31" spans="1:24" ht="131" thickBot="1" x14ac:dyDescent="0.4">
      <c r="A31" s="324" t="str">
        <f>'Site Data'!A6</f>
        <v>Site Number</v>
      </c>
      <c r="B31" s="416" t="str">
        <f>'Site Data'!B6</f>
        <v>Site Name</v>
      </c>
      <c r="C31" s="427"/>
      <c r="D31" s="321" t="str">
        <f>'Site Data'!C6</f>
        <v>Site ID</v>
      </c>
      <c r="E31" s="321" t="str">
        <f>'Site Data'!AA6</f>
        <v>Include</v>
      </c>
      <c r="F31" s="321" t="s">
        <v>186</v>
      </c>
      <c r="G31" s="313" t="s">
        <v>187</v>
      </c>
      <c r="H31" s="313" t="str">
        <f>'Site Data'!$E$6</f>
        <v>Service Provider</v>
      </c>
      <c r="I31" s="313" t="s">
        <v>26</v>
      </c>
      <c r="J31" s="325" t="str">
        <f>'Site Data'!$S$6</f>
        <v>SPPA/SEL Term (yrs)</v>
      </c>
      <c r="K31" s="79" t="s">
        <v>188</v>
      </c>
      <c r="L31" s="88" t="s">
        <v>189</v>
      </c>
      <c r="M31" s="47" t="s">
        <v>190</v>
      </c>
      <c r="N31" s="79" t="s">
        <v>191</v>
      </c>
      <c r="O31" s="114" t="s">
        <v>192</v>
      </c>
      <c r="P31" s="114" t="s">
        <v>193</v>
      </c>
      <c r="Q31" s="79" t="s">
        <v>194</v>
      </c>
      <c r="R31" s="87" t="s">
        <v>195</v>
      </c>
      <c r="S31" s="88" t="str">
        <f>'System Specification'!$K$13</f>
        <v>Design includes Rooftop arrays?</v>
      </c>
      <c r="T31" s="88" t="str">
        <f>'Site Data'!$O$6</f>
        <v>Roof Area to be Replaced (if Rooftop array included in design) (sqft)</v>
      </c>
      <c r="U31" s="88" t="s">
        <v>196</v>
      </c>
      <c r="V31" s="88" t="s">
        <v>165</v>
      </c>
      <c r="W31" s="88" t="s">
        <v>197</v>
      </c>
      <c r="X31" s="47" t="s">
        <v>198</v>
      </c>
    </row>
    <row r="32" spans="1:24" x14ac:dyDescent="0.35">
      <c r="A32" s="44">
        <v>1</v>
      </c>
      <c r="B32" s="446" t="str">
        <f>INDEX(Site_Data_Table,MATCH($A32,'Site Data'!$A$6:$A$13,0),MATCH(B$31,Site_Data_Column_Names,0))</f>
        <v>Imperial County Courthouse</v>
      </c>
      <c r="C32" s="447"/>
      <c r="D32" s="103" t="str">
        <f>INDEX(Site_Data_Table,MATCH($A32,'Site Data'!$A$6:$A$13,0),MATCH(D$31,Site_Data_Column_Names,0))</f>
        <v>13-A1</v>
      </c>
      <c r="E32" s="103" t="str">
        <f>INDEX(Site_Data_Table,MATCH($A32,'Site Data'!$A$6:$A$13,0),MATCH(E$31,Site_Data_Column_Names,0))</f>
        <v>Yes</v>
      </c>
      <c r="F32" s="99">
        <f>INDEX(Prod_Yr_1,MATCH($A32,'System Specification'!$A$14:$A$20,0))</f>
        <v>0</v>
      </c>
      <c r="G32" s="100" t="str">
        <f>_xlfn.TEXTJOIN(" / ",1,INDEX('System Specification'!$O$14:$O$20,MATCH($A32,'System Specification'!$A$14:$A$20,0)),INDEX('System Specification'!$P$14:$P$20,MATCH($A32,'System Specification'!$A$14:$A$20,0)))</f>
        <v/>
      </c>
      <c r="H32" s="100" t="str">
        <f>INDEX(Site_Data_Table,MATCH($A32,'Site Data'!$A$6:$A$13,0),MATCH(H$31,Site_Data_Column_Names,0))</f>
        <v>IID</v>
      </c>
      <c r="I32" s="107" t="str">
        <f>INDEX(Site_Data_Table,MATCH($A32,'Site Data'!$A$6:$A$13,0),MATCH(I$31,Site_Data_Column_Names,0))</f>
        <v>SPPA</v>
      </c>
      <c r="J32" s="113">
        <f>INDEX(Site_Data_Table,MATCH($A32,'Site Data'!$A$6:$A$13,0),MATCH(J$31,Site_Data_Column_Names,0))</f>
        <v>20</v>
      </c>
      <c r="K32" s="112"/>
      <c r="L32" s="363"/>
      <c r="M32" s="364"/>
      <c r="N32" s="365"/>
      <c r="O32" s="366"/>
      <c r="P32" s="366"/>
      <c r="Q32" s="389">
        <f>INDEX('Microgrid Proposal'!$Q$32:$Q$38,MATCH($A32,'Microgrid Proposal'!$A$32:$A$38,0))</f>
        <v>0</v>
      </c>
      <c r="R32" s="367">
        <f>INDEX('Microgrid Proposal'!$R$32:$R$38,MATCH($A32,'Microgrid Proposal'!$A$32:$A$38,0))</f>
        <v>0</v>
      </c>
      <c r="S32" s="368" t="str">
        <f>_xlfn.LET(_xlpm.val,INDEX('System Specification'!$K$14:$K$21,MATCH($A32,'System Specification'!$A$14:$A$21,0)),
IF(_xlpm.val="","",_xlpm.val))</f>
        <v>No</v>
      </c>
      <c r="T32" s="369">
        <f>IF($S32="No",0,INDEX(Site_Data_Table,MATCH($A32,'Site Data'!$A$6:$A$13,0),MATCH(T$31,Site_Data_Column_Names,0)))</f>
        <v>0</v>
      </c>
      <c r="U32" s="371">
        <f t="shared" ref="U32:U38" si="0">IF(T32="","",40*T32)</f>
        <v>0</v>
      </c>
      <c r="V32" s="371">
        <f>INDEX('Microgrid Proposal'!$V$32:$V$38,MATCH($A32,'Microgrid Proposal'!$A$32:$A$38,0))</f>
        <v>0</v>
      </c>
      <c r="W32" s="371">
        <v>15000</v>
      </c>
      <c r="X32" s="373">
        <f t="shared" ref="X32:X38" si="1">SUM(R32,U32:W32)</f>
        <v>15000</v>
      </c>
    </row>
    <row r="33" spans="1:24" x14ac:dyDescent="0.35">
      <c r="A33" s="44">
        <f t="shared" ref="A33:A38" si="2">A32+1</f>
        <v>2</v>
      </c>
      <c r="B33" s="446" t="str">
        <f>INDEX(Site_Data_Table,MATCH($A33,'Site Data'!$A$6:$A$13,0),MATCH(B$31,Site_Data_Column_Names,0))</f>
        <v>Pomona Courthouse South</v>
      </c>
      <c r="C33" s="447"/>
      <c r="D33" s="103" t="str">
        <f>INDEX(Site_Data_Table,MATCH($A33,'Site Data'!$A$6:$A$13,0),MATCH(D$31,Site_Data_Column_Names,0))</f>
        <v>19-W1</v>
      </c>
      <c r="E33" s="103" t="str">
        <f>INDEX(Site_Data_Table,MATCH($A33,'Site Data'!$A$6:$A$13,0),MATCH(E$31,Site_Data_Column_Names,0))</f>
        <v>Yes</v>
      </c>
      <c r="F33" s="99">
        <f>INDEX(Prod_Yr_1,MATCH($A33,'System Specification'!$A$14:$A$20,0))</f>
        <v>0</v>
      </c>
      <c r="G33" s="100" t="str">
        <f>_xlfn.TEXTJOIN(" / ",1,INDEX('System Specification'!$O$14:$O$20,MATCH($A33,'System Specification'!$A$14:$A$20,0)),INDEX('System Specification'!$P$14:$P$20,MATCH($A33,'System Specification'!$A$14:$A$20,0)))</f>
        <v/>
      </c>
      <c r="H33" s="100" t="str">
        <f>INDEX(Site_Data_Table,MATCH($A33,'Site Data'!$A$6:$A$13,0),MATCH(H$31,Site_Data_Column_Names,0))</f>
        <v>SCE</v>
      </c>
      <c r="I33" s="107" t="str">
        <f>INDEX(Site_Data_Table,MATCH($A33,'Site Data'!$A$6:$A$13,0),MATCH(I$31,Site_Data_Column_Names,0))</f>
        <v>SPPA</v>
      </c>
      <c r="J33" s="113">
        <f>INDEX(Site_Data_Table,MATCH($A33,'Site Data'!$A$6:$A$13,0),MATCH(J$31,Site_Data_Column_Names,0))</f>
        <v>20</v>
      </c>
      <c r="K33" s="112"/>
      <c r="L33" s="363"/>
      <c r="M33" s="364"/>
      <c r="N33" s="365"/>
      <c r="O33" s="366"/>
      <c r="P33" s="366"/>
      <c r="Q33" s="389">
        <f>INDEX('Microgrid Proposal'!$Q$32:$Q$38,MATCH($A33,'Microgrid Proposal'!$A$32:$A$38,0))</f>
        <v>4</v>
      </c>
      <c r="R33" s="367">
        <f>INDEX('Microgrid Proposal'!$R$32:$R$38,MATCH($A33,'Microgrid Proposal'!$A$32:$A$38,0))</f>
        <v>12000</v>
      </c>
      <c r="S33" s="368" t="str">
        <f>_xlfn.LET(_xlpm.val,INDEX('System Specification'!$K$14:$K$21,MATCH($A33,'System Specification'!$A$14:$A$21,0)),
IF(_xlpm.val="","",_xlpm.val))</f>
        <v>No</v>
      </c>
      <c r="T33" s="369">
        <f>IF($S33="No",0,INDEX(Site_Data_Table,MATCH($A33,'Site Data'!$A$6:$A$13,0),MATCH(T$31,Site_Data_Column_Names,0)))</f>
        <v>0</v>
      </c>
      <c r="U33" s="371">
        <f t="shared" si="0"/>
        <v>0</v>
      </c>
      <c r="V33" s="371">
        <f>INDEX('Microgrid Proposal'!$V$32:$V$38,MATCH($A33,'Microgrid Proposal'!$A$32:$A$38,0))</f>
        <v>0</v>
      </c>
      <c r="W33" s="371">
        <v>15000</v>
      </c>
      <c r="X33" s="373">
        <f t="shared" si="1"/>
        <v>27000</v>
      </c>
    </row>
    <row r="34" spans="1:24" x14ac:dyDescent="0.35">
      <c r="A34" s="44">
        <f t="shared" si="2"/>
        <v>3</v>
      </c>
      <c r="B34" s="446" t="str">
        <f>INDEX(Site_Data_Table,MATCH($A34,'Site Data'!$A$6:$A$13,0),MATCH(B$31,Site_Data_Column_Names,0))</f>
        <v>Banning Justice Center</v>
      </c>
      <c r="C34" s="447"/>
      <c r="D34" s="103" t="str">
        <f>INDEX(Site_Data_Table,MATCH($A34,'Site Data'!$A$6:$A$13,0),MATCH(D$31,Site_Data_Column_Names,0))</f>
        <v>33-G4</v>
      </c>
      <c r="E34" s="103" t="str">
        <f>INDEX(Site_Data_Table,MATCH($A34,'Site Data'!$A$6:$A$13,0),MATCH(E$31,Site_Data_Column_Names,0))</f>
        <v>Yes</v>
      </c>
      <c r="F34" s="99">
        <f>INDEX(Prod_Yr_1,MATCH($A34,'System Specification'!$A$14:$A$20,0))</f>
        <v>0</v>
      </c>
      <c r="G34" s="100" t="str">
        <f>_xlfn.TEXTJOIN(" / ",1,INDEX('System Specification'!$O$14:$O$20,MATCH($A34,'System Specification'!$A$14:$A$20,0)),INDEX('System Specification'!$P$14:$P$20,MATCH($A34,'System Specification'!$A$14:$A$20,0)))</f>
        <v/>
      </c>
      <c r="H34" s="100" t="str">
        <f>INDEX(Site_Data_Table,MATCH($A34,'Site Data'!$A$6:$A$13,0),MATCH(H$31,Site_Data_Column_Names,0))</f>
        <v>City of Banning</v>
      </c>
      <c r="I34" s="107" t="str">
        <f>INDEX(Site_Data_Table,MATCH($A34,'Site Data'!$A$6:$A$13,0),MATCH(I$31,Site_Data_Column_Names,0))</f>
        <v>SEL</v>
      </c>
      <c r="J34" s="113">
        <f>INDEX(Site_Data_Table,MATCH($A34,'Site Data'!$A$6:$A$13,0),MATCH(J$31,Site_Data_Column_Names,0))</f>
        <v>20</v>
      </c>
      <c r="K34" s="214"/>
      <c r="L34" s="374"/>
      <c r="M34" s="375"/>
      <c r="N34" s="376"/>
      <c r="O34" s="377"/>
      <c r="P34" s="377"/>
      <c r="Q34" s="389">
        <f>INDEX('Microgrid Proposal'!$Q$32:$Q$38,MATCH($A34,'Microgrid Proposal'!$A$32:$A$38,0))</f>
        <v>3</v>
      </c>
      <c r="R34" s="367">
        <f>INDEX('Microgrid Proposal'!$R$32:$R$38,MATCH($A34,'Microgrid Proposal'!$A$32:$A$38,0))</f>
        <v>10500</v>
      </c>
      <c r="S34" s="368" t="str">
        <f>_xlfn.LET(_xlpm.val,INDEX('System Specification'!$K$14:$K$21,MATCH($A34,'System Specification'!$A$14:$A$21,0)),
IF(_xlpm.val="","",_xlpm.val))</f>
        <v>No</v>
      </c>
      <c r="T34" s="369">
        <f>IF($S34="No",0,INDEX(Site_Data_Table,MATCH($A34,'Site Data'!$A$6:$A$13,0),MATCH(T$31,Site_Data_Column_Names,0)))</f>
        <v>0</v>
      </c>
      <c r="U34" s="371">
        <f t="shared" si="0"/>
        <v>0</v>
      </c>
      <c r="V34" s="371">
        <f>INDEX('Microgrid Proposal'!$V$32:$V$38,MATCH($A34,'Microgrid Proposal'!$A$32:$A$38,0))</f>
        <v>0</v>
      </c>
      <c r="W34" s="371">
        <v>15000</v>
      </c>
      <c r="X34" s="373">
        <f t="shared" si="1"/>
        <v>25500</v>
      </c>
    </row>
    <row r="35" spans="1:24" x14ac:dyDescent="0.35">
      <c r="A35" s="44">
        <f t="shared" si="2"/>
        <v>4</v>
      </c>
      <c r="B35" s="446" t="str">
        <f>INDEX(Site_Data_Table,MATCH($A35,'Site Data'!$A$6:$A$13,0),MATCH(B$31,Site_Data_Column_Names,0))</f>
        <v>San Bernardino Justice Center</v>
      </c>
      <c r="C35" s="447"/>
      <c r="D35" s="103" t="str">
        <f>INDEX(Site_Data_Table,MATCH($A35,'Site Data'!$A$6:$A$13,0),MATCH(D$31,Site_Data_Column_Names,0))</f>
        <v>36-R1</v>
      </c>
      <c r="E35" s="103" t="str">
        <f>INDEX(Site_Data_Table,MATCH($A35,'Site Data'!$A$6:$A$13,0),MATCH(E$31,Site_Data_Column_Names,0))</f>
        <v>Yes</v>
      </c>
      <c r="F35" s="99">
        <f>INDEX(Prod_Yr_1,MATCH($A35,'System Specification'!$A$14:$A$20,0))</f>
        <v>0</v>
      </c>
      <c r="G35" s="100" t="str">
        <f>_xlfn.TEXTJOIN(" / ",1,INDEX('System Specification'!$O$14:$O$20,MATCH($A35,'System Specification'!$A$14:$A$20,0)),INDEX('System Specification'!$P$14:$P$20,MATCH($A35,'System Specification'!$A$14:$A$20,0)))</f>
        <v/>
      </c>
      <c r="H35" s="100" t="str">
        <f>INDEX(Site_Data_Table,MATCH($A35,'Site Data'!$A$6:$A$13,0),MATCH(H$31,Site_Data_Column_Names,0))</f>
        <v>SCE</v>
      </c>
      <c r="I35" s="107" t="str">
        <f>INDEX(Site_Data_Table,MATCH($A35,'Site Data'!$A$6:$A$13,0),MATCH(I$31,Site_Data_Column_Names,0))</f>
        <v>SPPA</v>
      </c>
      <c r="J35" s="113">
        <f>INDEX(Site_Data_Table,MATCH($A35,'Site Data'!$A$6:$A$13,0),MATCH(J$31,Site_Data_Column_Names,0))</f>
        <v>20</v>
      </c>
      <c r="K35" s="112"/>
      <c r="L35" s="363"/>
      <c r="M35" s="364"/>
      <c r="N35" s="365"/>
      <c r="O35" s="366"/>
      <c r="P35" s="366"/>
      <c r="Q35" s="389">
        <f>INDEX('Microgrid Proposal'!$Q$32:$Q$38,MATCH($A35,'Microgrid Proposal'!$A$32:$A$38,0))</f>
        <v>2</v>
      </c>
      <c r="R35" s="367">
        <f>INDEX('Microgrid Proposal'!$R$32:$R$38,MATCH($A35,'Microgrid Proposal'!$A$32:$A$38,0))</f>
        <v>9000</v>
      </c>
      <c r="S35" s="368" t="str">
        <f>_xlfn.LET(_xlpm.val,INDEX('System Specification'!$K$14:$K$21,MATCH($A35,'System Specification'!$A$14:$A$21,0)),
IF(_xlpm.val="","",_xlpm.val))</f>
        <v>No</v>
      </c>
      <c r="T35" s="369">
        <f>IF($S35="No",0,INDEX(Site_Data_Table,MATCH($A35,'Site Data'!$A$6:$A$13,0),MATCH(T$31,Site_Data_Column_Names,0)))</f>
        <v>0</v>
      </c>
      <c r="U35" s="371">
        <f t="shared" si="0"/>
        <v>0</v>
      </c>
      <c r="V35" s="371">
        <f>INDEX('Microgrid Proposal'!$V$32:$V$38,MATCH($A35,'Microgrid Proposal'!$A$32:$A$38,0))</f>
        <v>0</v>
      </c>
      <c r="W35" s="371">
        <v>15000</v>
      </c>
      <c r="X35" s="373">
        <f t="shared" si="1"/>
        <v>24000</v>
      </c>
    </row>
    <row r="36" spans="1:24" x14ac:dyDescent="0.35">
      <c r="A36" s="44">
        <f t="shared" si="2"/>
        <v>5</v>
      </c>
      <c r="B36" s="446" t="str">
        <f>INDEX(Site_Data_Table,MATCH($A36,'Site Data'!$A$6:$A$13,0),MATCH(B$31,Site_Data_Column_Names,0))</f>
        <v>Kearny Mesa Court</v>
      </c>
      <c r="C36" s="447"/>
      <c r="D36" s="103" t="str">
        <f>INDEX(Site_Data_Table,MATCH($A36,'Site Data'!$A$6:$A$13,0),MATCH(D$31,Site_Data_Column_Names,0))</f>
        <v>37-C1</v>
      </c>
      <c r="E36" s="103" t="str">
        <f>INDEX(Site_Data_Table,MATCH($A36,'Site Data'!$A$6:$A$13,0),MATCH(E$31,Site_Data_Column_Names,0))</f>
        <v>Yes</v>
      </c>
      <c r="F36" s="99">
        <f>INDEX(Prod_Yr_1,MATCH($A36,'System Specification'!$A$14:$A$20,0))</f>
        <v>0</v>
      </c>
      <c r="G36" s="100" t="str">
        <f>_xlfn.TEXTJOIN(" / ",1,INDEX('System Specification'!$O$14:$O$20,MATCH($A36,'System Specification'!$A$14:$A$20,0)),INDEX('System Specification'!$P$14:$P$20,MATCH($A36,'System Specification'!$A$14:$A$20,0)))</f>
        <v/>
      </c>
      <c r="H36" s="100" t="str">
        <f>INDEX(Site_Data_Table,MATCH($A36,'Site Data'!$A$6:$A$13,0),MATCH(H$31,Site_Data_Column_Names,0))</f>
        <v>SDG&amp;E / SDCP</v>
      </c>
      <c r="I36" s="107" t="str">
        <f>INDEX(Site_Data_Table,MATCH($A36,'Site Data'!$A$6:$A$13,0),MATCH(I$31,Site_Data_Column_Names,0))</f>
        <v>SPPA</v>
      </c>
      <c r="J36" s="113">
        <f>INDEX(Site_Data_Table,MATCH($A36,'Site Data'!$A$6:$A$13,0),MATCH(J$31,Site_Data_Column_Names,0))</f>
        <v>20</v>
      </c>
      <c r="K36" s="112"/>
      <c r="L36" s="363"/>
      <c r="M36" s="364"/>
      <c r="N36" s="365"/>
      <c r="O36" s="366"/>
      <c r="P36" s="366"/>
      <c r="Q36" s="389">
        <f>INDEX('Microgrid Proposal'!$Q$32:$Q$38,MATCH($A36,'Microgrid Proposal'!$A$32:$A$38,0))</f>
        <v>3</v>
      </c>
      <c r="R36" s="367">
        <f>INDEX('Microgrid Proposal'!$R$32:$R$38,MATCH($A36,'Microgrid Proposal'!$A$32:$A$38,0))</f>
        <v>10500</v>
      </c>
      <c r="S36" s="368" t="str">
        <f>_xlfn.LET(_xlpm.val,INDEX('System Specification'!$K$14:$K$21,MATCH($A36,'System Specification'!$A$14:$A$21,0)),
IF(_xlpm.val="","",_xlpm.val))</f>
        <v/>
      </c>
      <c r="T36" s="369">
        <f>IF($S36="No",0,INDEX(Site_Data_Table,MATCH($A36,'Site Data'!$A$6:$A$13,0),MATCH(T$31,Site_Data_Column_Names,0)))</f>
        <v>0</v>
      </c>
      <c r="U36" s="371">
        <f t="shared" si="0"/>
        <v>0</v>
      </c>
      <c r="V36" s="371">
        <f>INDEX('Microgrid Proposal'!$V$32:$V$38,MATCH($A36,'Microgrid Proposal'!$A$32:$A$38,0))</f>
        <v>0</v>
      </c>
      <c r="W36" s="371">
        <v>15000</v>
      </c>
      <c r="X36" s="373">
        <f t="shared" si="1"/>
        <v>25500</v>
      </c>
    </row>
    <row r="37" spans="1:24" x14ac:dyDescent="0.35">
      <c r="A37" s="44">
        <f t="shared" si="2"/>
        <v>6</v>
      </c>
      <c r="B37" s="446" t="str">
        <f>INDEX(Site_Data_Table,MATCH($A37,'Site Data'!$A$6:$A$13,0),MATCH(B$31,Site_Data_Column_Names,0))</f>
        <v>East County Regional Center</v>
      </c>
      <c r="C37" s="447"/>
      <c r="D37" s="103" t="str">
        <f>INDEX(Site_Data_Table,MATCH($A37,'Site Data'!$A$6:$A$13,0),MATCH(D$31,Site_Data_Column_Names,0))</f>
        <v>37-I1</v>
      </c>
      <c r="E37" s="103" t="str">
        <f>INDEX(Site_Data_Table,MATCH($A37,'Site Data'!$A$6:$A$13,0),MATCH(E$31,Site_Data_Column_Names,0))</f>
        <v>Yes</v>
      </c>
      <c r="F37" s="99">
        <f>INDEX(Prod_Yr_1,MATCH($A37,'System Specification'!$A$14:$A$20,0))</f>
        <v>0</v>
      </c>
      <c r="G37" s="100" t="str">
        <f>_xlfn.TEXTJOIN(" / ",1,INDEX('System Specification'!$O$14:$O$20,MATCH($A37,'System Specification'!$A$14:$A$20,0)),INDEX('System Specification'!$P$14:$P$20,MATCH($A37,'System Specification'!$A$14:$A$20,0)))</f>
        <v/>
      </c>
      <c r="H37" s="100" t="str">
        <f>INDEX(Site_Data_Table,MATCH($A37,'Site Data'!$A$6:$A$13,0),MATCH(H$31,Site_Data_Column_Names,0))</f>
        <v>SDG&amp;E</v>
      </c>
      <c r="I37" s="100" t="str">
        <f>INDEX(Site_Data_Table,MATCH($A37,'Site Data'!$A$6:$A$13,0),MATCH(I$31,Site_Data_Column_Names,0))</f>
        <v>SPPA</v>
      </c>
      <c r="J37" s="113">
        <f>INDEX(Site_Data_Table,MATCH($A37,'Site Data'!$A$6:$A$13,0),MATCH(J$31,Site_Data_Column_Names,0))</f>
        <v>20</v>
      </c>
      <c r="K37" s="112"/>
      <c r="L37" s="363"/>
      <c r="M37" s="364"/>
      <c r="N37" s="365"/>
      <c r="O37" s="366"/>
      <c r="P37" s="366"/>
      <c r="Q37" s="389">
        <f>INDEX('Microgrid Proposal'!$Q$32:$Q$38,MATCH($A37,'Microgrid Proposal'!$A$32:$A$38,0))</f>
        <v>1</v>
      </c>
      <c r="R37" s="367">
        <f>INDEX('Microgrid Proposal'!$R$32:$R$38,MATCH($A37,'Microgrid Proposal'!$A$32:$A$38,0))</f>
        <v>7500</v>
      </c>
      <c r="S37" s="368" t="str">
        <f>_xlfn.LET(_xlpm.val,INDEX('System Specification'!$K$14:$K$21,MATCH($A37,'System Specification'!$A$14:$A$21,0)),
IF(_xlpm.val="","",_xlpm.val))</f>
        <v>No</v>
      </c>
      <c r="T37" s="369">
        <f>IF($S37="No",0,INDEX(Site_Data_Table,MATCH($A37,'Site Data'!$A$6:$A$13,0),MATCH(T$31,Site_Data_Column_Names,0)))</f>
        <v>0</v>
      </c>
      <c r="U37" s="371">
        <f t="shared" si="0"/>
        <v>0</v>
      </c>
      <c r="V37" s="371">
        <f>INDEX('Microgrid Proposal'!$V$32:$V$38,MATCH($A37,'Microgrid Proposal'!$A$32:$A$38,0))</f>
        <v>0</v>
      </c>
      <c r="W37" s="371">
        <v>15000</v>
      </c>
      <c r="X37" s="373">
        <f t="shared" si="1"/>
        <v>22500</v>
      </c>
    </row>
    <row r="38" spans="1:24" ht="16" thickBot="1" x14ac:dyDescent="0.4">
      <c r="A38" s="45">
        <f t="shared" si="2"/>
        <v>7</v>
      </c>
      <c r="B38" s="466" t="str">
        <f>INDEX(Site_Data_Table,MATCH($A38,'Site Data'!$A$6:$A$13,0),MATCH(B$31,Site_Data_Column_Names,0))</f>
        <v>Santa Ana Courthouse</v>
      </c>
      <c r="C38" s="467"/>
      <c r="D38" s="127" t="str">
        <f>INDEX(Site_Data_Table,MATCH($A38,'Site Data'!$A$6:$A$13,0),MATCH(D$31,Site_Data_Column_Names,0))</f>
        <v>64-E1</v>
      </c>
      <c r="E38" s="127" t="str">
        <f>INDEX(Site_Data_Table,MATCH($A38,'Site Data'!$A$6:$A$13,0),MATCH(E$31,Site_Data_Column_Names,0))</f>
        <v>Yes</v>
      </c>
      <c r="F38" s="172">
        <f>INDEX(Prod_Yr_1,MATCH($A38,'System Specification'!$A$14:$A$20,0))</f>
        <v>0</v>
      </c>
      <c r="G38" s="173" t="str">
        <f>_xlfn.TEXTJOIN(" / ",1,INDEX('System Specification'!$O$14:$O$20,MATCH($A38,'System Specification'!$A$14:$A$20,0)),INDEX('System Specification'!$P$14:$P$20,MATCH($A38,'System Specification'!$A$14:$A$20,0)))</f>
        <v/>
      </c>
      <c r="H38" s="173" t="str">
        <f>INDEX(Site_Data_Table,MATCH($A38,'Site Data'!$A$6:$A$13,0),MATCH(H$31,Site_Data_Column_Names,0))</f>
        <v>SCE</v>
      </c>
      <c r="I38" s="173" t="str">
        <f>INDEX(Site_Data_Table,MATCH($A38,'Site Data'!$A$6:$A$13,0),MATCH(I$31,Site_Data_Column_Names,0))</f>
        <v>SPPA</v>
      </c>
      <c r="J38" s="174">
        <f>INDEX(Site_Data_Table,MATCH($A38,'Site Data'!$A$6:$A$13,0),MATCH(J$31,Site_Data_Column_Names,0))</f>
        <v>20</v>
      </c>
      <c r="K38" s="175"/>
      <c r="L38" s="378"/>
      <c r="M38" s="379"/>
      <c r="N38" s="380"/>
      <c r="O38" s="381"/>
      <c r="P38" s="381"/>
      <c r="Q38" s="390">
        <f>INDEX('Microgrid Proposal'!$Q$32:$Q$38,MATCH($A38,'Microgrid Proposal'!$A$32:$A$38,0))</f>
        <v>1</v>
      </c>
      <c r="R38" s="382">
        <f>INDEX('Microgrid Proposal'!$R$32:$R$38,MATCH($A38,'Microgrid Proposal'!$A$32:$A$38,0))</f>
        <v>7500</v>
      </c>
      <c r="S38" s="383" t="str">
        <f>_xlfn.LET(_xlpm.val,INDEX('System Specification'!$K$14:$K$21,MATCH($A38,'System Specification'!$A$14:$A$21,0)),
IF(_xlpm.val="","",_xlpm.val))</f>
        <v/>
      </c>
      <c r="T38" s="384">
        <f>IF($S38="No",0,INDEX(Site_Data_Table,MATCH($A38,'Site Data'!$A$6:$A$13,0),MATCH(T$31,Site_Data_Column_Names,0)))</f>
        <v>0</v>
      </c>
      <c r="U38" s="386">
        <f t="shared" si="0"/>
        <v>0</v>
      </c>
      <c r="V38" s="386">
        <f>INDEX('Microgrid Proposal'!$V$32:$V$38,MATCH($A38,'Microgrid Proposal'!$A$32:$A$38,0))</f>
        <v>0</v>
      </c>
      <c r="W38" s="386">
        <v>15000</v>
      </c>
      <c r="X38" s="388">
        <f t="shared" si="1"/>
        <v>22500</v>
      </c>
    </row>
    <row r="39" spans="1:24" ht="16" thickBot="1" x14ac:dyDescent="0.4">
      <c r="A39" s="181"/>
      <c r="B39" s="181"/>
      <c r="C39" s="181"/>
      <c r="D39" s="181"/>
      <c r="E39" s="181"/>
      <c r="F39" s="196">
        <f>SUMIFS(F$32:F$38,$E$32:$E$38,"Yes")</f>
        <v>0</v>
      </c>
      <c r="G39" s="197"/>
      <c r="H39" s="197"/>
      <c r="I39" s="197"/>
      <c r="J39" s="198"/>
      <c r="K39" s="199" t="e" cm="1">
        <f t="array" ref="K39">SUMPRODUCT($F$32:$F$38,K$32:K$38,--($E$32:$E$38="Yes"))/SUMPRODUCT($F$32:$F$38*(K$32:K$38&gt;0),--($E$32:$E$38="Yes"))</f>
        <v>#DIV/0!</v>
      </c>
      <c r="L39" s="201" t="e" cm="1">
        <f t="array" ref="L39">SUMPRODUCT($F$32:$F$38,L$32:L$38,--($E$32:$E$38="Yes"))/SUMPRODUCT($F$32:$F$38*(L$32:L$38&gt;0),--($E$32:$E$38="Yes"))</f>
        <v>#DIV/0!</v>
      </c>
      <c r="M39" s="202" t="e" cm="1">
        <f t="array" ref="M39">SUMPRODUCT($F$32:$F$38,M$32:M$38,--($E$32:$E$38="Yes"))/SUMPRODUCT($F$32:$F$38*(M$32:M$38&gt;0),--($E$32:$E$38="Yes"))</f>
        <v>#DIV/0!</v>
      </c>
      <c r="N39" s="203">
        <f>SUMIFS(N$32:N$38,$E$32:$E$38,"Yes")</f>
        <v>0</v>
      </c>
      <c r="O39" s="204" t="e" cm="1">
        <f t="array" ref="O39">SUMPRODUCT($F$32:$F$38,O$32:O$38,--($E$32:$E$38="Yes"))/SUMPRODUCT($F$32:$F$38*(O$32:O$38&gt;0),--($E$32:$E$38="Yes"))</f>
        <v>#DIV/0!</v>
      </c>
      <c r="P39" s="204" t="e" cm="1">
        <f t="array" ref="P39">SUMPRODUCT($F$32:$F$38,P$32:P$38,--($E$32:$E$38="Yes"))/SUMPRODUCT($F$32:$F$38*(P$32:P$38&gt;0),--($E$32:$E$38="Yes"))</f>
        <v>#DIV/0!</v>
      </c>
      <c r="Q39" s="308">
        <f>SUM(Q32:Q38)</f>
        <v>14</v>
      </c>
      <c r="R39" s="200">
        <f>SUMIFS(R$32:R$38,$E$32:$E$38,"Yes")</f>
        <v>57000</v>
      </c>
      <c r="S39" s="212"/>
      <c r="T39" s="213">
        <f>SUMIFS(T$32:T$38,$E$32:$E$38,"Yes")</f>
        <v>0</v>
      </c>
      <c r="U39" s="200">
        <f>SUMIFS(U$32:U$38,$E$32:$E$38,"Yes")</f>
        <v>0</v>
      </c>
      <c r="V39" s="200">
        <f>SUMIFS(V$32:V$38,$E$32:$E$38,"Yes")</f>
        <v>0</v>
      </c>
      <c r="W39" s="200">
        <f>SUMIFS(W$32:W$38,$E$32:$E$38,"Yes")</f>
        <v>105000</v>
      </c>
      <c r="X39" s="205">
        <f>SUMIFS(X$32:X$38,$E$32:$E$38,"Yes")</f>
        <v>162000</v>
      </c>
    </row>
    <row r="40" spans="1:24" ht="12.75" customHeight="1" x14ac:dyDescent="0.65">
      <c r="A40" s="52"/>
      <c r="L40" s="116"/>
    </row>
  </sheetData>
  <sheetProtection algorithmName="SHA-512" hashValue="vPRUV2H2fk7GDHbGK5QDpycbeAma4Ab1yQTpEgTmfWevFIodLZCMjMFMkbRE9tKhnmwlSQVAqnSGAZgmlk3GMg==" saltValue="ZmblV9+JDy4zY6OBv31m8g==" spinCount="100000" sheet="1" formatColumns="0" formatRows="0"/>
  <mergeCells count="48">
    <mergeCell ref="B38:C38"/>
    <mergeCell ref="B34:C34"/>
    <mergeCell ref="B35:C35"/>
    <mergeCell ref="B36:C36"/>
    <mergeCell ref="B32:C32"/>
    <mergeCell ref="B33:C33"/>
    <mergeCell ref="N30:P30"/>
    <mergeCell ref="B31:C31"/>
    <mergeCell ref="A30:J30"/>
    <mergeCell ref="K30:M30"/>
    <mergeCell ref="B37:C37"/>
    <mergeCell ref="I24:O24"/>
    <mergeCell ref="A25:D25"/>
    <mergeCell ref="I25:O25"/>
    <mergeCell ref="A26:D26"/>
    <mergeCell ref="I26:O26"/>
    <mergeCell ref="A1:L1"/>
    <mergeCell ref="B6:E6"/>
    <mergeCell ref="A10:D10"/>
    <mergeCell ref="I10:O10"/>
    <mergeCell ref="A13:D13"/>
    <mergeCell ref="I13:O13"/>
    <mergeCell ref="A12:D12"/>
    <mergeCell ref="I12:O12"/>
    <mergeCell ref="A11:D11"/>
    <mergeCell ref="I11:O11"/>
    <mergeCell ref="A14:D14"/>
    <mergeCell ref="I14:O14"/>
    <mergeCell ref="A15:D15"/>
    <mergeCell ref="I15:O15"/>
    <mergeCell ref="A16:D16"/>
    <mergeCell ref="I16:O16"/>
    <mergeCell ref="Q30:X30"/>
    <mergeCell ref="A17:D17"/>
    <mergeCell ref="I17:O17"/>
    <mergeCell ref="A18:D18"/>
    <mergeCell ref="I18:O18"/>
    <mergeCell ref="A19:D19"/>
    <mergeCell ref="I19:O19"/>
    <mergeCell ref="A20:D20"/>
    <mergeCell ref="I20:O20"/>
    <mergeCell ref="A21:D21"/>
    <mergeCell ref="I21:O21"/>
    <mergeCell ref="A22:D22"/>
    <mergeCell ref="I22:O22"/>
    <mergeCell ref="A23:D23"/>
    <mergeCell ref="I23:O23"/>
    <mergeCell ref="A24:D24"/>
  </mergeCells>
  <conditionalFormatting sqref="A32:B38 D32:H38 J32:X38">
    <cfRule type="expression" dxfId="34" priority="13">
      <formula>($E32="No")</formula>
    </cfRule>
  </conditionalFormatting>
  <conditionalFormatting sqref="I32:I38">
    <cfRule type="expression" dxfId="33" priority="7">
      <formula>($E32="No")</formula>
    </cfRule>
  </conditionalFormatting>
  <conditionalFormatting sqref="K32:M38">
    <cfRule type="expression" dxfId="32" priority="9">
      <formula>$I32="SEL"</formula>
    </cfRule>
  </conditionalFormatting>
  <conditionalFormatting sqref="N32:R38">
    <cfRule type="expression" dxfId="31" priority="3">
      <formula>$I32="SPPA"</formula>
    </cfRule>
  </conditionalFormatting>
  <pageMargins left="0.5" right="0.5" top="0.5" bottom="0.75" header="0.3" footer="0.3"/>
  <pageSetup scale="40" orientation="portrait" r:id="rId1"/>
  <headerFooter>
    <oddFooter>&amp;L&amp;D&amp;R&amp;F | &amp;A |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ABF04-B8BB-4091-B634-6E7691F5D96C}">
  <sheetPr>
    <tabColor rgb="FFFFFF99"/>
  </sheetPr>
  <dimension ref="A1:W40"/>
  <sheetViews>
    <sheetView showGridLines="0" zoomScaleNormal="100" workbookViewId="0">
      <selection sqref="A1:L1"/>
    </sheetView>
  </sheetViews>
  <sheetFormatPr defaultColWidth="8.69140625" defaultRowHeight="15.5" x14ac:dyDescent="0.35"/>
  <cols>
    <col min="1" max="1" width="9.765625" customWidth="1"/>
    <col min="2" max="2" width="11.69140625" customWidth="1"/>
    <col min="3" max="3" width="15.53515625" customWidth="1"/>
    <col min="4" max="4" width="5.765625" customWidth="1"/>
    <col min="5" max="5" width="5.765625" hidden="1" customWidth="1"/>
    <col min="6" max="6" width="13.23046875" customWidth="1"/>
    <col min="7" max="7" width="20.53515625" customWidth="1"/>
    <col min="8" max="9" width="9.53515625" customWidth="1"/>
    <col min="10" max="10" width="15.53515625" customWidth="1"/>
    <col min="11" max="11" width="11.69140625" customWidth="1"/>
    <col min="12" max="13" width="15.4609375" customWidth="1"/>
    <col min="14" max="14" width="12.07421875" customWidth="1"/>
    <col min="15" max="15" width="17.23046875" customWidth="1"/>
    <col min="16" max="22" width="12" customWidth="1"/>
    <col min="23" max="23" width="12.07421875" customWidth="1"/>
    <col min="24" max="24" width="11.765625" customWidth="1"/>
  </cols>
  <sheetData>
    <row r="1" spans="1:21" s="68" customFormat="1" ht="145" customHeight="1" x14ac:dyDescent="0.35">
      <c r="A1" s="438" t="s">
        <v>207</v>
      </c>
      <c r="B1" s="438"/>
      <c r="C1" s="438"/>
      <c r="D1" s="438"/>
      <c r="E1" s="438"/>
      <c r="F1" s="438"/>
      <c r="G1" s="438"/>
      <c r="H1" s="438"/>
      <c r="I1" s="438"/>
      <c r="J1" s="438"/>
      <c r="K1" s="438"/>
      <c r="L1" s="438"/>
      <c r="M1" s="48"/>
      <c r="N1" s="48"/>
      <c r="O1" s="48"/>
      <c r="P1" s="48"/>
      <c r="Q1" s="48"/>
      <c r="R1" s="48"/>
      <c r="S1" s="48"/>
      <c r="T1" s="48"/>
      <c r="U1" s="48"/>
    </row>
    <row r="2" spans="1:21" s="8" customFormat="1" ht="12.5" x14ac:dyDescent="0.25"/>
    <row r="3" spans="1:21" s="25" customFormat="1" ht="28.5" x14ac:dyDescent="0.65">
      <c r="A3" s="9" t="s">
        <v>208</v>
      </c>
      <c r="B3" s="1"/>
      <c r="C3" s="1"/>
      <c r="D3" s="1"/>
      <c r="E3" s="1"/>
      <c r="F3" s="1"/>
      <c r="G3" s="1"/>
      <c r="H3" s="1"/>
      <c r="I3" s="1"/>
      <c r="J3" s="1"/>
      <c r="K3" s="1"/>
      <c r="L3" s="1"/>
      <c r="M3" s="1"/>
      <c r="N3" s="1"/>
      <c r="O3" s="1"/>
      <c r="P3" s="1"/>
      <c r="Q3" s="1"/>
      <c r="R3" s="1"/>
      <c r="S3" s="1"/>
    </row>
    <row r="4" spans="1:21" s="25" customFormat="1" ht="21" x14ac:dyDescent="0.5">
      <c r="A4" s="6" t="str">
        <f>'Summary &amp; Signature'!A4</f>
        <v>Proposed Price Form</v>
      </c>
      <c r="B4" s="1"/>
      <c r="C4" s="7"/>
      <c r="D4" s="7"/>
      <c r="E4" s="7"/>
      <c r="F4" s="1"/>
      <c r="H4" s="1"/>
      <c r="I4" s="1"/>
      <c r="J4" s="1"/>
      <c r="K4" s="1"/>
      <c r="L4" s="1"/>
      <c r="M4" s="1"/>
      <c r="N4" s="1"/>
      <c r="O4" s="1"/>
      <c r="P4" s="1"/>
      <c r="Q4" s="1"/>
      <c r="R4" s="1"/>
      <c r="S4" s="1"/>
    </row>
    <row r="5" spans="1:21" s="25" customFormat="1" x14ac:dyDescent="0.35">
      <c r="A5" s="217" t="str">
        <f>Instructions!$B$9</f>
        <v>Region:</v>
      </c>
      <c r="B5" s="217" t="str">
        <f>Instructions!$C$9</f>
        <v>SRO2</v>
      </c>
      <c r="C5" s="218"/>
      <c r="D5" s="218"/>
      <c r="E5" s="218"/>
      <c r="F5" s="1"/>
      <c r="H5" s="1"/>
      <c r="I5" s="1"/>
      <c r="J5" s="1"/>
      <c r="K5" s="1"/>
      <c r="L5" s="1"/>
      <c r="M5" s="1"/>
      <c r="N5" s="1"/>
      <c r="O5" s="1"/>
      <c r="P5" s="1"/>
      <c r="Q5" s="1"/>
      <c r="R5" s="1"/>
      <c r="S5" s="1"/>
    </row>
    <row r="6" spans="1:21" s="25" customFormat="1" ht="18.75" customHeight="1" x14ac:dyDescent="0.35">
      <c r="A6" s="217" t="s">
        <v>4</v>
      </c>
      <c r="B6" s="450">
        <f>Vendor_Name</f>
        <v>0</v>
      </c>
      <c r="C6" s="450"/>
      <c r="D6" s="450"/>
      <c r="E6" s="450"/>
      <c r="F6" s="4"/>
      <c r="J6" s="1"/>
      <c r="K6" s="1"/>
    </row>
    <row r="7" spans="1:21" s="25" customFormat="1" ht="18.5" x14ac:dyDescent="0.45">
      <c r="A7" s="80"/>
      <c r="B7" s="80"/>
    </row>
    <row r="8" spans="1:21" s="25" customFormat="1" ht="30.5" x14ac:dyDescent="0.65">
      <c r="A8" s="52" t="s">
        <v>140</v>
      </c>
      <c r="B8" s="80"/>
    </row>
    <row r="9" spans="1:21" s="25" customFormat="1" ht="18.5" x14ac:dyDescent="0.45">
      <c r="A9" s="80"/>
      <c r="B9" s="80"/>
    </row>
    <row r="10" spans="1:21" s="25" customFormat="1" ht="43.5" x14ac:dyDescent="0.45">
      <c r="A10" s="451" t="s">
        <v>141</v>
      </c>
      <c r="B10" s="452"/>
      <c r="C10" s="452"/>
      <c r="D10" s="453"/>
      <c r="E10" s="318"/>
      <c r="F10" s="84" t="s">
        <v>142</v>
      </c>
      <c r="G10" s="85" t="s">
        <v>143</v>
      </c>
      <c r="H10" s="111" t="s">
        <v>144</v>
      </c>
      <c r="I10" s="448" t="s">
        <v>145</v>
      </c>
      <c r="J10" s="449"/>
      <c r="K10" s="449"/>
      <c r="L10" s="449"/>
      <c r="M10" s="449"/>
      <c r="N10" s="449"/>
      <c r="O10" s="449"/>
      <c r="U10" s="7"/>
    </row>
    <row r="11" spans="1:21" s="82" customFormat="1" ht="26.65" customHeight="1" x14ac:dyDescent="0.3">
      <c r="A11" s="440" t="s">
        <v>146</v>
      </c>
      <c r="B11" s="441"/>
      <c r="C11" s="441"/>
      <c r="D11" s="442"/>
      <c r="E11" s="317"/>
      <c r="F11" s="117" t="s">
        <v>147</v>
      </c>
      <c r="G11" s="118" t="s">
        <v>148</v>
      </c>
      <c r="H11" s="110" t="s">
        <v>49</v>
      </c>
      <c r="I11" s="444" t="s">
        <v>201</v>
      </c>
      <c r="J11" s="444"/>
      <c r="K11" s="444"/>
      <c r="L11" s="444"/>
      <c r="M11" s="444"/>
      <c r="N11" s="444"/>
      <c r="O11" s="444"/>
    </row>
    <row r="12" spans="1:21" s="82" customFormat="1" ht="13" x14ac:dyDescent="0.3">
      <c r="A12" s="440" t="s">
        <v>150</v>
      </c>
      <c r="B12" s="441"/>
      <c r="C12" s="441"/>
      <c r="D12" s="442"/>
      <c r="E12" s="317"/>
      <c r="F12" s="117" t="s">
        <v>147</v>
      </c>
      <c r="G12" s="118" t="s">
        <v>148</v>
      </c>
      <c r="H12" s="110" t="s">
        <v>49</v>
      </c>
      <c r="I12" s="443" t="s">
        <v>152</v>
      </c>
      <c r="J12" s="443"/>
      <c r="K12" s="443"/>
      <c r="L12" s="443"/>
      <c r="M12" s="443"/>
      <c r="N12" s="443"/>
      <c r="O12" s="443"/>
    </row>
    <row r="13" spans="1:21" s="82" customFormat="1" ht="26.5" customHeight="1" x14ac:dyDescent="0.3">
      <c r="A13" s="440" t="s">
        <v>153</v>
      </c>
      <c r="B13" s="441"/>
      <c r="C13" s="441"/>
      <c r="D13" s="442"/>
      <c r="E13" s="317"/>
      <c r="F13" s="117" t="s">
        <v>154</v>
      </c>
      <c r="G13" s="118" t="s">
        <v>148</v>
      </c>
      <c r="H13" s="110" t="s">
        <v>49</v>
      </c>
      <c r="I13" s="444" t="s">
        <v>155</v>
      </c>
      <c r="J13" s="444"/>
      <c r="K13" s="444"/>
      <c r="L13" s="444"/>
      <c r="M13" s="444"/>
      <c r="N13" s="444"/>
      <c r="O13" s="444"/>
    </row>
    <row r="14" spans="1:21" s="82" customFormat="1" ht="13.15" customHeight="1" x14ac:dyDescent="0.3">
      <c r="A14" s="440" t="s">
        <v>156</v>
      </c>
      <c r="B14" s="441"/>
      <c r="C14" s="441"/>
      <c r="D14" s="442"/>
      <c r="E14" s="317"/>
      <c r="F14" s="117" t="s">
        <v>154</v>
      </c>
      <c r="G14" s="118" t="s">
        <v>148</v>
      </c>
      <c r="H14" s="110" t="s">
        <v>49</v>
      </c>
      <c r="I14" s="444" t="s">
        <v>157</v>
      </c>
      <c r="J14" s="444"/>
      <c r="K14" s="444"/>
      <c r="L14" s="444"/>
      <c r="M14" s="444"/>
      <c r="N14" s="444"/>
      <c r="O14" s="444"/>
    </row>
    <row r="15" spans="1:21" s="82" customFormat="1" ht="13.15" customHeight="1" x14ac:dyDescent="0.3">
      <c r="A15" s="440" t="s">
        <v>158</v>
      </c>
      <c r="B15" s="441"/>
      <c r="C15" s="441"/>
      <c r="D15" s="442"/>
      <c r="E15" s="317"/>
      <c r="F15" s="117" t="s">
        <v>154</v>
      </c>
      <c r="G15" s="118" t="s">
        <v>148</v>
      </c>
      <c r="H15" s="110" t="s">
        <v>49</v>
      </c>
      <c r="I15" s="444" t="s">
        <v>157</v>
      </c>
      <c r="J15" s="444"/>
      <c r="K15" s="444"/>
      <c r="L15" s="444"/>
      <c r="M15" s="444"/>
      <c r="N15" s="444"/>
      <c r="O15" s="444"/>
    </row>
    <row r="16" spans="1:21" s="82" customFormat="1" ht="13.15" customHeight="1" x14ac:dyDescent="0.3">
      <c r="A16" s="440" t="s">
        <v>202</v>
      </c>
      <c r="B16" s="441"/>
      <c r="C16" s="441"/>
      <c r="D16" s="442"/>
      <c r="E16" s="317"/>
      <c r="F16" s="117" t="s">
        <v>147</v>
      </c>
      <c r="G16" s="119" t="s">
        <v>151</v>
      </c>
      <c r="H16" s="110" t="s">
        <v>49</v>
      </c>
      <c r="I16" s="444" t="s">
        <v>203</v>
      </c>
      <c r="J16" s="444"/>
      <c r="K16" s="444"/>
      <c r="L16" s="444"/>
      <c r="M16" s="444"/>
      <c r="N16" s="444"/>
      <c r="O16" s="444"/>
    </row>
    <row r="17" spans="1:23" s="82" customFormat="1" ht="13.15" customHeight="1" x14ac:dyDescent="0.3">
      <c r="A17" s="440" t="s">
        <v>204</v>
      </c>
      <c r="B17" s="441"/>
      <c r="C17" s="441"/>
      <c r="D17" s="442"/>
      <c r="E17" s="317"/>
      <c r="F17" s="117" t="s">
        <v>154</v>
      </c>
      <c r="G17" s="119" t="s">
        <v>45</v>
      </c>
      <c r="H17" s="110" t="s">
        <v>44</v>
      </c>
      <c r="I17" s="444" t="s">
        <v>205</v>
      </c>
      <c r="J17" s="444"/>
      <c r="K17" s="444"/>
      <c r="L17" s="444"/>
      <c r="M17" s="444"/>
      <c r="N17" s="444"/>
      <c r="O17" s="444"/>
    </row>
    <row r="18" spans="1:23" s="82" customFormat="1" ht="13.15" customHeight="1" x14ac:dyDescent="0.3">
      <c r="A18" s="440" t="s">
        <v>163</v>
      </c>
      <c r="B18" s="441"/>
      <c r="C18" s="441"/>
      <c r="D18" s="442"/>
      <c r="E18" s="317"/>
      <c r="F18" s="117" t="s">
        <v>147</v>
      </c>
      <c r="G18" s="119" t="s">
        <v>151</v>
      </c>
      <c r="H18" s="110" t="s">
        <v>49</v>
      </c>
      <c r="I18" s="444" t="s">
        <v>164</v>
      </c>
      <c r="J18" s="444"/>
      <c r="K18" s="444"/>
      <c r="L18" s="444"/>
      <c r="M18" s="444"/>
      <c r="N18" s="444"/>
      <c r="O18" s="444"/>
    </row>
    <row r="19" spans="1:23" s="82" customFormat="1" ht="27.75" customHeight="1" x14ac:dyDescent="0.3">
      <c r="A19" s="440" t="s">
        <v>165</v>
      </c>
      <c r="B19" s="441"/>
      <c r="C19" s="441"/>
      <c r="D19" s="442"/>
      <c r="E19" s="317"/>
      <c r="F19" s="117" t="s">
        <v>147</v>
      </c>
      <c r="G19" s="118" t="s">
        <v>148</v>
      </c>
      <c r="H19" s="110" t="s">
        <v>49</v>
      </c>
      <c r="I19" s="444" t="s">
        <v>166</v>
      </c>
      <c r="J19" s="444"/>
      <c r="K19" s="444"/>
      <c r="L19" s="444"/>
      <c r="M19" s="444"/>
      <c r="N19" s="444"/>
      <c r="O19" s="444"/>
    </row>
    <row r="20" spans="1:23" s="82" customFormat="1" ht="13.15" customHeight="1" x14ac:dyDescent="0.3">
      <c r="A20" s="440" t="s">
        <v>167</v>
      </c>
      <c r="B20" s="441"/>
      <c r="C20" s="441"/>
      <c r="D20" s="442"/>
      <c r="E20" s="317"/>
      <c r="F20" s="117" t="s">
        <v>154</v>
      </c>
      <c r="G20" s="119" t="s">
        <v>45</v>
      </c>
      <c r="H20" s="110" t="s">
        <v>44</v>
      </c>
      <c r="I20" s="444" t="s">
        <v>168</v>
      </c>
      <c r="J20" s="444"/>
      <c r="K20" s="444"/>
      <c r="L20" s="444"/>
      <c r="M20" s="444"/>
      <c r="N20" s="444"/>
      <c r="O20" s="444"/>
    </row>
    <row r="21" spans="1:23" s="83" customFormat="1" ht="13" customHeight="1" x14ac:dyDescent="0.35">
      <c r="A21" s="440" t="s">
        <v>169</v>
      </c>
      <c r="B21" s="441"/>
      <c r="C21" s="441"/>
      <c r="D21" s="442"/>
      <c r="E21" s="317"/>
      <c r="F21" s="117" t="s">
        <v>147</v>
      </c>
      <c r="G21" s="117" t="s">
        <v>151</v>
      </c>
      <c r="H21" s="108" t="s">
        <v>49</v>
      </c>
      <c r="I21" s="445" t="s">
        <v>170</v>
      </c>
      <c r="J21" s="445"/>
      <c r="K21" s="445"/>
      <c r="L21" s="445"/>
      <c r="M21" s="445"/>
      <c r="N21" s="445"/>
      <c r="O21" s="445"/>
    </row>
    <row r="22" spans="1:23" s="83" customFormat="1" ht="13.9" customHeight="1" x14ac:dyDescent="0.35">
      <c r="A22" s="440" t="s">
        <v>171</v>
      </c>
      <c r="B22" s="441"/>
      <c r="C22" s="441"/>
      <c r="D22" s="442"/>
      <c r="E22" s="317"/>
      <c r="F22" s="117" t="s">
        <v>147</v>
      </c>
      <c r="G22" s="117" t="s">
        <v>151</v>
      </c>
      <c r="H22" s="108" t="s">
        <v>49</v>
      </c>
      <c r="I22" s="443" t="s">
        <v>172</v>
      </c>
      <c r="J22" s="443"/>
      <c r="K22" s="443"/>
      <c r="L22" s="443"/>
      <c r="M22" s="443"/>
      <c r="N22" s="443"/>
      <c r="O22" s="443"/>
    </row>
    <row r="23" spans="1:23" s="82" customFormat="1" ht="15" customHeight="1" x14ac:dyDescent="0.3">
      <c r="A23" s="440" t="s">
        <v>173</v>
      </c>
      <c r="B23" s="441"/>
      <c r="C23" s="441"/>
      <c r="D23" s="442"/>
      <c r="E23" s="317"/>
      <c r="F23" s="117" t="s">
        <v>147</v>
      </c>
      <c r="G23" s="117" t="s">
        <v>151</v>
      </c>
      <c r="H23" s="108" t="s">
        <v>49</v>
      </c>
      <c r="I23" s="443" t="s">
        <v>174</v>
      </c>
      <c r="J23" s="443"/>
      <c r="K23" s="443"/>
      <c r="L23" s="443"/>
      <c r="M23" s="443"/>
      <c r="N23" s="443"/>
      <c r="O23" s="443"/>
    </row>
    <row r="24" spans="1:23" s="82" customFormat="1" ht="15" customHeight="1" x14ac:dyDescent="0.3">
      <c r="A24" s="440" t="s">
        <v>175</v>
      </c>
      <c r="B24" s="441"/>
      <c r="C24" s="441"/>
      <c r="D24" s="442"/>
      <c r="E24" s="317"/>
      <c r="F24" s="117" t="s">
        <v>147</v>
      </c>
      <c r="G24" s="118" t="s">
        <v>148</v>
      </c>
      <c r="H24" s="108" t="s">
        <v>49</v>
      </c>
      <c r="I24" s="443" t="s">
        <v>176</v>
      </c>
      <c r="J24" s="443"/>
      <c r="K24" s="443"/>
      <c r="L24" s="443"/>
      <c r="M24" s="443"/>
      <c r="N24" s="443"/>
      <c r="O24" s="443"/>
    </row>
    <row r="25" spans="1:23" s="82" customFormat="1" ht="15" customHeight="1" x14ac:dyDescent="0.3">
      <c r="A25" s="440" t="s">
        <v>177</v>
      </c>
      <c r="B25" s="441"/>
      <c r="C25" s="441"/>
      <c r="D25" s="442"/>
      <c r="E25" s="317"/>
      <c r="F25" s="117" t="s">
        <v>147</v>
      </c>
      <c r="G25" s="117" t="s">
        <v>151</v>
      </c>
      <c r="H25" s="108" t="s">
        <v>49</v>
      </c>
      <c r="I25" s="443" t="s">
        <v>178</v>
      </c>
      <c r="J25" s="443"/>
      <c r="K25" s="443"/>
      <c r="L25" s="443"/>
      <c r="M25" s="443"/>
      <c r="N25" s="443"/>
      <c r="O25" s="443"/>
    </row>
    <row r="26" spans="1:23" s="25" customFormat="1" ht="25.15" customHeight="1" x14ac:dyDescent="0.45">
      <c r="A26" s="463" t="s">
        <v>179</v>
      </c>
      <c r="B26" s="464"/>
      <c r="C26" s="464"/>
      <c r="D26" s="465"/>
      <c r="E26" s="319"/>
      <c r="F26" s="81"/>
      <c r="G26" s="86"/>
      <c r="H26" s="109"/>
      <c r="I26" s="459" t="s">
        <v>180</v>
      </c>
      <c r="J26" s="459"/>
      <c r="K26" s="459"/>
      <c r="L26" s="459"/>
      <c r="M26" s="459"/>
      <c r="N26" s="459"/>
      <c r="O26" s="459"/>
      <c r="U26" s="7"/>
    </row>
    <row r="28" spans="1:23" ht="30.5" x14ac:dyDescent="0.65">
      <c r="A28" s="52" t="s">
        <v>209</v>
      </c>
    </row>
    <row r="29" spans="1:23" ht="15" customHeight="1" thickBot="1" x14ac:dyDescent="0.7">
      <c r="A29" s="52"/>
    </row>
    <row r="30" spans="1:23" ht="21.5" thickBot="1" x14ac:dyDescent="0.4">
      <c r="A30" s="460" t="s">
        <v>182</v>
      </c>
      <c r="B30" s="461"/>
      <c r="C30" s="461"/>
      <c r="D30" s="461"/>
      <c r="E30" s="461"/>
      <c r="F30" s="461"/>
      <c r="G30" s="461"/>
      <c r="H30" s="461"/>
      <c r="I30" s="462"/>
      <c r="J30" s="454" t="s">
        <v>183</v>
      </c>
      <c r="K30" s="455"/>
      <c r="L30" s="456"/>
      <c r="M30" s="454" t="s">
        <v>184</v>
      </c>
      <c r="N30" s="455"/>
      <c r="O30" s="455"/>
      <c r="P30" s="454" t="s">
        <v>185</v>
      </c>
      <c r="Q30" s="455"/>
      <c r="R30" s="455"/>
      <c r="S30" s="455"/>
      <c r="T30" s="455"/>
      <c r="U30" s="455"/>
      <c r="V30" s="455"/>
      <c r="W30" s="456"/>
    </row>
    <row r="31" spans="1:23" ht="131" thickBot="1" x14ac:dyDescent="0.4">
      <c r="A31" s="324" t="str">
        <f>'Site Data'!A6</f>
        <v>Site Number</v>
      </c>
      <c r="B31" s="416" t="str">
        <f>'Site Data'!B6</f>
        <v>Site Name</v>
      </c>
      <c r="C31" s="427"/>
      <c r="D31" s="321" t="str">
        <f>'Site Data'!C6</f>
        <v>Site ID</v>
      </c>
      <c r="E31" s="321" t="str">
        <f>'Site Data'!AA6</f>
        <v>Include</v>
      </c>
      <c r="F31" s="321" t="s">
        <v>186</v>
      </c>
      <c r="G31" s="313" t="str">
        <f>'Site Data'!$E$6</f>
        <v>Service Provider</v>
      </c>
      <c r="H31" s="313" t="s">
        <v>26</v>
      </c>
      <c r="I31" s="325" t="str">
        <f>'Site Data'!$S$6</f>
        <v>SPPA/SEL Term (yrs)</v>
      </c>
      <c r="J31" s="79" t="s">
        <v>188</v>
      </c>
      <c r="K31" s="88" t="s">
        <v>189</v>
      </c>
      <c r="L31" s="47" t="s">
        <v>190</v>
      </c>
      <c r="M31" s="79" t="s">
        <v>191</v>
      </c>
      <c r="N31" s="114" t="s">
        <v>192</v>
      </c>
      <c r="O31" s="114" t="s">
        <v>193</v>
      </c>
      <c r="P31" s="79" t="s">
        <v>194</v>
      </c>
      <c r="Q31" s="87" t="s">
        <v>195</v>
      </c>
      <c r="R31" s="88" t="str">
        <f>'System Specification'!K13</f>
        <v>Design includes Rooftop arrays?</v>
      </c>
      <c r="S31" s="88" t="str">
        <f>'Site Data'!$O$6</f>
        <v>Roof Area to be Replaced (if Rooftop array included in design) (sqft)</v>
      </c>
      <c r="T31" s="88" t="s">
        <v>196</v>
      </c>
      <c r="U31" s="88" t="s">
        <v>165</v>
      </c>
      <c r="V31" s="88" t="s">
        <v>197</v>
      </c>
      <c r="W31" s="47" t="s">
        <v>198</v>
      </c>
    </row>
    <row r="32" spans="1:23" x14ac:dyDescent="0.35">
      <c r="A32" s="44">
        <v>1</v>
      </c>
      <c r="B32" s="446" t="str">
        <f>INDEX(Site_Data_Table,MATCH($A32,'Site Data'!$A$6:$A$13,0),MATCH(B$31,Site_Data_Column_Names,0))</f>
        <v>Imperial County Courthouse</v>
      </c>
      <c r="C32" s="447"/>
      <c r="D32" s="103" t="str">
        <f>INDEX(Site_Data_Table,MATCH($A32,'Site Data'!$A$6:$A$13,0),MATCH(D$31,Site_Data_Column_Names,0))</f>
        <v>13-A1</v>
      </c>
      <c r="E32" s="103" t="str">
        <f>INDEX(Site_Data_Table,MATCH($A32,'Site Data'!$A$6:$A$13,0),MATCH(E$31,Site_Data_Column_Names,0))</f>
        <v>Yes</v>
      </c>
      <c r="F32" s="99">
        <f>INDEX(Prod_Yr_1_PV_Only,MATCH($A32,'System Specification'!$A$14:$A$20,0))</f>
        <v>0</v>
      </c>
      <c r="G32" s="100" t="str">
        <f>INDEX(Site_Data_Table,MATCH($A32,'Site Data'!$A$6:$A$13,0),MATCH(G$31,Site_Data_Column_Names,0))</f>
        <v>IID</v>
      </c>
      <c r="H32" s="107" t="str">
        <f>INDEX(Site_Data_Table,MATCH($A32,'Site Data'!$A$6:$A$13,0),MATCH(H$31,Site_Data_Column_Names,0))</f>
        <v>SPPA</v>
      </c>
      <c r="I32" s="113">
        <f>INDEX(Site_Data_Table,MATCH($A32,'Site Data'!$A$6:$A$13,0),MATCH(I$31,Site_Data_Column_Names,0))</f>
        <v>20</v>
      </c>
      <c r="J32" s="112"/>
      <c r="K32" s="363"/>
      <c r="L32" s="364"/>
      <c r="M32" s="365"/>
      <c r="N32" s="366"/>
      <c r="O32" s="366"/>
      <c r="P32" s="389">
        <f>INDEX('Microgrid Proposal'!$Q$32:$Q$38,MATCH($A32,'Microgrid Proposal'!$A$32:$A$38,0))</f>
        <v>0</v>
      </c>
      <c r="Q32" s="367">
        <f>INDEX('Microgrid Proposal'!$R$32:$R$38,MATCH($A32,'Microgrid Proposal'!$A$32:$A$38,0))</f>
        <v>0</v>
      </c>
      <c r="R32" s="368" t="str">
        <f>_xlfn.LET(_xlpm.val,INDEX('System Specification'!$G$14:$G$21,MATCH($A32,'System Specification'!$A$14:$A$21,0)),
IF(_xlpm.val="","",_xlpm.val))</f>
        <v>No</v>
      </c>
      <c r="S32" s="369">
        <f>IF($R32="No",0,INDEX(Site_Data_Table,MATCH($A32,'Site Data'!$A$6:$A$13,0),MATCH(S$31,Site_Data_Column_Names,0)))</f>
        <v>0</v>
      </c>
      <c r="T32" s="371">
        <f t="shared" ref="T32:T38" si="0">IF(S32="","",40*S32)</f>
        <v>0</v>
      </c>
      <c r="U32" s="371">
        <f>INDEX('Microgrid Proposal'!$V$32:$V$38,MATCH($A32,'Microgrid Proposal'!$A$32:$A$38,0))</f>
        <v>0</v>
      </c>
      <c r="V32" s="371">
        <v>15000</v>
      </c>
      <c r="W32" s="373">
        <f t="shared" ref="W32:W38" si="1">SUM(Q32,T32:V32)</f>
        <v>15000</v>
      </c>
    </row>
    <row r="33" spans="1:23" x14ac:dyDescent="0.35">
      <c r="A33" s="44">
        <f t="shared" ref="A33:A38" si="2">A32+1</f>
        <v>2</v>
      </c>
      <c r="B33" s="446" t="str">
        <f>INDEX(Site_Data_Table,MATCH($A33,'Site Data'!$A$6:$A$13,0),MATCH(B$31,Site_Data_Column_Names,0))</f>
        <v>Pomona Courthouse South</v>
      </c>
      <c r="C33" s="447"/>
      <c r="D33" s="103" t="str">
        <f>INDEX(Site_Data_Table,MATCH($A33,'Site Data'!$A$6:$A$13,0),MATCH(D$31,Site_Data_Column_Names,0))</f>
        <v>19-W1</v>
      </c>
      <c r="E33" s="103" t="str">
        <f>INDEX(Site_Data_Table,MATCH($A33,'Site Data'!$A$6:$A$13,0),MATCH(E$31,Site_Data_Column_Names,0))</f>
        <v>Yes</v>
      </c>
      <c r="F33" s="99">
        <f>INDEX(Prod_Yr_1_PV_Only,MATCH($A33,'System Specification'!$A$14:$A$20,0))</f>
        <v>0</v>
      </c>
      <c r="G33" s="100" t="str">
        <f>INDEX(Site_Data_Table,MATCH($A33,'Site Data'!$A$6:$A$13,0),MATCH(G$31,Site_Data_Column_Names,0))</f>
        <v>SCE</v>
      </c>
      <c r="H33" s="107" t="str">
        <f>INDEX(Site_Data_Table,MATCH($A33,'Site Data'!$A$6:$A$13,0),MATCH(H$31,Site_Data_Column_Names,0))</f>
        <v>SPPA</v>
      </c>
      <c r="I33" s="113">
        <f>INDEX(Site_Data_Table,MATCH($A33,'Site Data'!$A$6:$A$13,0),MATCH(I$31,Site_Data_Column_Names,0))</f>
        <v>20</v>
      </c>
      <c r="J33" s="112"/>
      <c r="K33" s="363"/>
      <c r="L33" s="364"/>
      <c r="M33" s="365"/>
      <c r="N33" s="366"/>
      <c r="O33" s="366"/>
      <c r="P33" s="389">
        <f>INDEX('Microgrid Proposal'!$Q$32:$Q$38,MATCH($A33,'Microgrid Proposal'!$A$32:$A$38,0))</f>
        <v>4</v>
      </c>
      <c r="Q33" s="367">
        <f>INDEX('Microgrid Proposal'!$R$32:$R$38,MATCH($A33,'Microgrid Proposal'!$A$32:$A$38,0))</f>
        <v>12000</v>
      </c>
      <c r="R33" s="368" t="str">
        <f>_xlfn.LET(_xlpm.val,INDEX('System Specification'!$G$14:$G$21,MATCH($A33,'System Specification'!$A$14:$A$21,0)),
IF(_xlpm.val="","",_xlpm.val))</f>
        <v>No</v>
      </c>
      <c r="S33" s="369">
        <f>IF($R33="No",0,INDEX(Site_Data_Table,MATCH($A33,'Site Data'!$A$6:$A$13,0),MATCH(S$31,Site_Data_Column_Names,0)))</f>
        <v>0</v>
      </c>
      <c r="T33" s="371">
        <f t="shared" si="0"/>
        <v>0</v>
      </c>
      <c r="U33" s="371">
        <f>INDEX('Microgrid Proposal'!$V$32:$V$38,MATCH($A33,'Microgrid Proposal'!$A$32:$A$38,0))</f>
        <v>0</v>
      </c>
      <c r="V33" s="371">
        <v>15000</v>
      </c>
      <c r="W33" s="373">
        <f t="shared" si="1"/>
        <v>27000</v>
      </c>
    </row>
    <row r="34" spans="1:23" x14ac:dyDescent="0.35">
      <c r="A34" s="44">
        <f t="shared" si="2"/>
        <v>3</v>
      </c>
      <c r="B34" s="446" t="str">
        <f>INDEX(Site_Data_Table,MATCH($A34,'Site Data'!$A$6:$A$13,0),MATCH(B$31,Site_Data_Column_Names,0))</f>
        <v>Banning Justice Center</v>
      </c>
      <c r="C34" s="447"/>
      <c r="D34" s="103" t="str">
        <f>INDEX(Site_Data_Table,MATCH($A34,'Site Data'!$A$6:$A$13,0),MATCH(D$31,Site_Data_Column_Names,0))</f>
        <v>33-G4</v>
      </c>
      <c r="E34" s="103" t="str">
        <f>INDEX(Site_Data_Table,MATCH($A34,'Site Data'!$A$6:$A$13,0),MATCH(E$31,Site_Data_Column_Names,0))</f>
        <v>Yes</v>
      </c>
      <c r="F34" s="99">
        <f>INDEX(Prod_Yr_1_PV_Only,MATCH($A34,'System Specification'!$A$14:$A$20,0))</f>
        <v>0</v>
      </c>
      <c r="G34" s="100" t="str">
        <f>INDEX(Site_Data_Table,MATCH($A34,'Site Data'!$A$6:$A$13,0),MATCH(G$31,Site_Data_Column_Names,0))</f>
        <v>City of Banning</v>
      </c>
      <c r="H34" s="107" t="str">
        <f>INDEX(Site_Data_Table,MATCH($A34,'Site Data'!$A$6:$A$13,0),MATCH(H$31,Site_Data_Column_Names,0))</f>
        <v>SEL</v>
      </c>
      <c r="I34" s="113">
        <f>INDEX(Site_Data_Table,MATCH($A34,'Site Data'!$A$6:$A$13,0),MATCH(I$31,Site_Data_Column_Names,0))</f>
        <v>20</v>
      </c>
      <c r="J34" s="214"/>
      <c r="K34" s="374"/>
      <c r="L34" s="375"/>
      <c r="M34" s="376"/>
      <c r="N34" s="377"/>
      <c r="O34" s="377"/>
      <c r="P34" s="389">
        <f>INDEX('Microgrid Proposal'!$Q$32:$Q$38,MATCH($A34,'Microgrid Proposal'!$A$32:$A$38,0))</f>
        <v>3</v>
      </c>
      <c r="Q34" s="367">
        <f>INDEX('Microgrid Proposal'!$R$32:$R$38,MATCH($A34,'Microgrid Proposal'!$A$32:$A$38,0))</f>
        <v>10500</v>
      </c>
      <c r="R34" s="368" t="str">
        <f>_xlfn.LET(_xlpm.val,INDEX('System Specification'!$G$14:$G$21,MATCH($A34,'System Specification'!$A$14:$A$21,0)),
IF(_xlpm.val="","",_xlpm.val))</f>
        <v>No</v>
      </c>
      <c r="S34" s="369">
        <f>IF($R34="No",0,INDEX(Site_Data_Table,MATCH($A34,'Site Data'!$A$6:$A$13,0),MATCH(S$31,Site_Data_Column_Names,0)))</f>
        <v>0</v>
      </c>
      <c r="T34" s="371">
        <f t="shared" si="0"/>
        <v>0</v>
      </c>
      <c r="U34" s="371">
        <f>INDEX('Microgrid Proposal'!$V$32:$V$38,MATCH($A34,'Microgrid Proposal'!$A$32:$A$38,0))</f>
        <v>0</v>
      </c>
      <c r="V34" s="371">
        <v>15000</v>
      </c>
      <c r="W34" s="373">
        <f t="shared" si="1"/>
        <v>25500</v>
      </c>
    </row>
    <row r="35" spans="1:23" x14ac:dyDescent="0.35">
      <c r="A35" s="44">
        <f t="shared" si="2"/>
        <v>4</v>
      </c>
      <c r="B35" s="446" t="str">
        <f>INDEX(Site_Data_Table,MATCH($A35,'Site Data'!$A$6:$A$13,0),MATCH(B$31,Site_Data_Column_Names,0))</f>
        <v>San Bernardino Justice Center</v>
      </c>
      <c r="C35" s="447"/>
      <c r="D35" s="103" t="str">
        <f>INDEX(Site_Data_Table,MATCH($A35,'Site Data'!$A$6:$A$13,0),MATCH(D$31,Site_Data_Column_Names,0))</f>
        <v>36-R1</v>
      </c>
      <c r="E35" s="103" t="str">
        <f>INDEX(Site_Data_Table,MATCH($A35,'Site Data'!$A$6:$A$13,0),MATCH(E$31,Site_Data_Column_Names,0))</f>
        <v>Yes</v>
      </c>
      <c r="F35" s="99">
        <f>INDEX(Prod_Yr_1_PV_Only,MATCH($A35,'System Specification'!$A$14:$A$20,0))</f>
        <v>0</v>
      </c>
      <c r="G35" s="100" t="str">
        <f>INDEX(Site_Data_Table,MATCH($A35,'Site Data'!$A$6:$A$13,0),MATCH(G$31,Site_Data_Column_Names,0))</f>
        <v>SCE</v>
      </c>
      <c r="H35" s="107" t="str">
        <f>INDEX(Site_Data_Table,MATCH($A35,'Site Data'!$A$6:$A$13,0),MATCH(H$31,Site_Data_Column_Names,0))</f>
        <v>SPPA</v>
      </c>
      <c r="I35" s="113">
        <f>INDEX(Site_Data_Table,MATCH($A35,'Site Data'!$A$6:$A$13,0),MATCH(I$31,Site_Data_Column_Names,0))</f>
        <v>20</v>
      </c>
      <c r="J35" s="112"/>
      <c r="K35" s="363"/>
      <c r="L35" s="364"/>
      <c r="M35" s="365"/>
      <c r="N35" s="366"/>
      <c r="O35" s="366"/>
      <c r="P35" s="389">
        <f>INDEX('Microgrid Proposal'!$Q$32:$Q$38,MATCH($A35,'Microgrid Proposal'!$A$32:$A$38,0))</f>
        <v>2</v>
      </c>
      <c r="Q35" s="367">
        <f>INDEX('Microgrid Proposal'!$R$32:$R$38,MATCH($A35,'Microgrid Proposal'!$A$32:$A$38,0))</f>
        <v>9000</v>
      </c>
      <c r="R35" s="368" t="str">
        <f>_xlfn.LET(_xlpm.val,INDEX('System Specification'!$G$14:$G$21,MATCH($A35,'System Specification'!$A$14:$A$21,0)),
IF(_xlpm.val="","",_xlpm.val))</f>
        <v>No</v>
      </c>
      <c r="S35" s="369">
        <f>IF($R35="No",0,INDEX(Site_Data_Table,MATCH($A35,'Site Data'!$A$6:$A$13,0),MATCH(S$31,Site_Data_Column_Names,0)))</f>
        <v>0</v>
      </c>
      <c r="T35" s="371">
        <f t="shared" si="0"/>
        <v>0</v>
      </c>
      <c r="U35" s="371">
        <f>INDEX('Microgrid Proposal'!$V$32:$V$38,MATCH($A35,'Microgrid Proposal'!$A$32:$A$38,0))</f>
        <v>0</v>
      </c>
      <c r="V35" s="371">
        <v>15000</v>
      </c>
      <c r="W35" s="373">
        <f t="shared" si="1"/>
        <v>24000</v>
      </c>
    </row>
    <row r="36" spans="1:23" x14ac:dyDescent="0.35">
      <c r="A36" s="44">
        <f t="shared" si="2"/>
        <v>5</v>
      </c>
      <c r="B36" s="446" t="str">
        <f>INDEX(Site_Data_Table,MATCH($A36,'Site Data'!$A$6:$A$13,0),MATCH(B$31,Site_Data_Column_Names,0))</f>
        <v>Kearny Mesa Court</v>
      </c>
      <c r="C36" s="447"/>
      <c r="D36" s="103" t="str">
        <f>INDEX(Site_Data_Table,MATCH($A36,'Site Data'!$A$6:$A$13,0),MATCH(D$31,Site_Data_Column_Names,0))</f>
        <v>37-C1</v>
      </c>
      <c r="E36" s="103" t="str">
        <f>INDEX(Site_Data_Table,MATCH($A36,'Site Data'!$A$6:$A$13,0),MATCH(E$31,Site_Data_Column_Names,0))</f>
        <v>Yes</v>
      </c>
      <c r="F36" s="99">
        <f>INDEX(Prod_Yr_1_PV_Only,MATCH($A36,'System Specification'!$A$14:$A$20,0))</f>
        <v>0</v>
      </c>
      <c r="G36" s="100" t="str">
        <f>INDEX(Site_Data_Table,MATCH($A36,'Site Data'!$A$6:$A$13,0),MATCH(G$31,Site_Data_Column_Names,0))</f>
        <v>SDG&amp;E / SDCP</v>
      </c>
      <c r="H36" s="107" t="str">
        <f>INDEX(Site_Data_Table,MATCH($A36,'Site Data'!$A$6:$A$13,0),MATCH(H$31,Site_Data_Column_Names,0))</f>
        <v>SPPA</v>
      </c>
      <c r="I36" s="113">
        <f>INDEX(Site_Data_Table,MATCH($A36,'Site Data'!$A$6:$A$13,0),MATCH(I$31,Site_Data_Column_Names,0))</f>
        <v>20</v>
      </c>
      <c r="J36" s="112"/>
      <c r="K36" s="363"/>
      <c r="L36" s="364"/>
      <c r="M36" s="365"/>
      <c r="N36" s="366"/>
      <c r="O36" s="366"/>
      <c r="P36" s="389">
        <f>INDEX('Microgrid Proposal'!$Q$32:$Q$38,MATCH($A36,'Microgrid Proposal'!$A$32:$A$38,0))</f>
        <v>3</v>
      </c>
      <c r="Q36" s="367">
        <f>INDEX('Microgrid Proposal'!$R$32:$R$38,MATCH($A36,'Microgrid Proposal'!$A$32:$A$38,0))</f>
        <v>10500</v>
      </c>
      <c r="R36" s="368" t="str">
        <f>_xlfn.LET(_xlpm.val,INDEX('System Specification'!$G$14:$G$21,MATCH($A36,'System Specification'!$A$14:$A$21,0)),
IF(_xlpm.val="","",_xlpm.val))</f>
        <v/>
      </c>
      <c r="S36" s="369">
        <f>IF($R36="No",0,INDEX(Site_Data_Table,MATCH($A36,'Site Data'!$A$6:$A$13,0),MATCH(S$31,Site_Data_Column_Names,0)))</f>
        <v>0</v>
      </c>
      <c r="T36" s="371">
        <f t="shared" si="0"/>
        <v>0</v>
      </c>
      <c r="U36" s="371">
        <f>INDEX('Microgrid Proposal'!$V$32:$V$38,MATCH($A36,'Microgrid Proposal'!$A$32:$A$38,0))</f>
        <v>0</v>
      </c>
      <c r="V36" s="371">
        <v>15000</v>
      </c>
      <c r="W36" s="373">
        <f t="shared" si="1"/>
        <v>25500</v>
      </c>
    </row>
    <row r="37" spans="1:23" x14ac:dyDescent="0.35">
      <c r="A37" s="44">
        <f t="shared" si="2"/>
        <v>6</v>
      </c>
      <c r="B37" s="446" t="str">
        <f>INDEX(Site_Data_Table,MATCH($A37,'Site Data'!$A$6:$A$13,0),MATCH(B$31,Site_Data_Column_Names,0))</f>
        <v>East County Regional Center</v>
      </c>
      <c r="C37" s="447"/>
      <c r="D37" s="103" t="str">
        <f>INDEX(Site_Data_Table,MATCH($A37,'Site Data'!$A$6:$A$13,0),MATCH(D$31,Site_Data_Column_Names,0))</f>
        <v>37-I1</v>
      </c>
      <c r="E37" s="103" t="str">
        <f>INDEX(Site_Data_Table,MATCH($A37,'Site Data'!$A$6:$A$13,0),MATCH(E$31,Site_Data_Column_Names,0))</f>
        <v>Yes</v>
      </c>
      <c r="F37" s="99">
        <f>INDEX(Prod_Yr_1_PV_Only,MATCH($A37,'System Specification'!$A$14:$A$20,0))</f>
        <v>0</v>
      </c>
      <c r="G37" s="100" t="str">
        <f>INDEX(Site_Data_Table,MATCH($A37,'Site Data'!$A$6:$A$13,0),MATCH(G$31,Site_Data_Column_Names,0))</f>
        <v>SDG&amp;E</v>
      </c>
      <c r="H37" s="100" t="str">
        <f>INDEX(Site_Data_Table,MATCH($A37,'Site Data'!$A$6:$A$13,0),MATCH(H$31,Site_Data_Column_Names,0))</f>
        <v>SPPA</v>
      </c>
      <c r="I37" s="113">
        <f>INDEX(Site_Data_Table,MATCH($A37,'Site Data'!$A$6:$A$13,0),MATCH(I$31,Site_Data_Column_Names,0))</f>
        <v>20</v>
      </c>
      <c r="J37" s="112"/>
      <c r="K37" s="363"/>
      <c r="L37" s="364"/>
      <c r="M37" s="365"/>
      <c r="N37" s="366"/>
      <c r="O37" s="366"/>
      <c r="P37" s="389">
        <f>INDEX('Microgrid Proposal'!$Q$32:$Q$38,MATCH($A37,'Microgrid Proposal'!$A$32:$A$38,0))</f>
        <v>1</v>
      </c>
      <c r="Q37" s="367">
        <f>INDEX('Microgrid Proposal'!$R$32:$R$38,MATCH($A37,'Microgrid Proposal'!$A$32:$A$38,0))</f>
        <v>7500</v>
      </c>
      <c r="R37" s="368" t="str">
        <f>_xlfn.LET(_xlpm.val,INDEX('System Specification'!$G$14:$G$21,MATCH($A37,'System Specification'!$A$14:$A$21,0)),
IF(_xlpm.val="","",_xlpm.val))</f>
        <v>No</v>
      </c>
      <c r="S37" s="369">
        <f>IF($R37="No",0,INDEX(Site_Data_Table,MATCH($A37,'Site Data'!$A$6:$A$13,0),MATCH(S$31,Site_Data_Column_Names,0)))</f>
        <v>0</v>
      </c>
      <c r="T37" s="371">
        <f t="shared" si="0"/>
        <v>0</v>
      </c>
      <c r="U37" s="371">
        <f>INDEX('Microgrid Proposal'!$V$32:$V$38,MATCH($A37,'Microgrid Proposal'!$A$32:$A$38,0))</f>
        <v>0</v>
      </c>
      <c r="V37" s="371">
        <v>15000</v>
      </c>
      <c r="W37" s="373">
        <f t="shared" si="1"/>
        <v>22500</v>
      </c>
    </row>
    <row r="38" spans="1:23" ht="16" thickBot="1" x14ac:dyDescent="0.4">
      <c r="A38" s="45">
        <f t="shared" si="2"/>
        <v>7</v>
      </c>
      <c r="B38" s="466" t="str">
        <f>INDEX(Site_Data_Table,MATCH($A38,'Site Data'!$A$6:$A$13,0),MATCH(B$31,Site_Data_Column_Names,0))</f>
        <v>Santa Ana Courthouse</v>
      </c>
      <c r="C38" s="467"/>
      <c r="D38" s="127" t="str">
        <f>INDEX(Site_Data_Table,MATCH($A38,'Site Data'!$A$6:$A$13,0),MATCH(D$31,Site_Data_Column_Names,0))</f>
        <v>64-E1</v>
      </c>
      <c r="E38" s="127" t="str">
        <f>INDEX(Site_Data_Table,MATCH($A38,'Site Data'!$A$6:$A$13,0),MATCH(E$31,Site_Data_Column_Names,0))</f>
        <v>Yes</v>
      </c>
      <c r="F38" s="172">
        <f>INDEX(Prod_Yr_1_PV_Only,MATCH($A38,'System Specification'!$A$14:$A$20,0))</f>
        <v>0</v>
      </c>
      <c r="G38" s="173" t="str">
        <f>INDEX(Site_Data_Table,MATCH($A38,'Site Data'!$A$6:$A$13,0),MATCH(G$31,Site_Data_Column_Names,0))</f>
        <v>SCE</v>
      </c>
      <c r="H38" s="173" t="str">
        <f>INDEX(Site_Data_Table,MATCH($A38,'Site Data'!$A$6:$A$13,0),MATCH(H$31,Site_Data_Column_Names,0))</f>
        <v>SPPA</v>
      </c>
      <c r="I38" s="174">
        <f>INDEX(Site_Data_Table,MATCH($A38,'Site Data'!$A$6:$A$13,0),MATCH(I$31,Site_Data_Column_Names,0))</f>
        <v>20</v>
      </c>
      <c r="J38" s="175"/>
      <c r="K38" s="378"/>
      <c r="L38" s="379"/>
      <c r="M38" s="380"/>
      <c r="N38" s="381"/>
      <c r="O38" s="381"/>
      <c r="P38" s="390">
        <f>INDEX('Microgrid Proposal'!$Q$32:$Q$38,MATCH($A38,'Microgrid Proposal'!$A$32:$A$38,0))</f>
        <v>1</v>
      </c>
      <c r="Q38" s="382">
        <f>INDEX('Microgrid Proposal'!$R$32:$R$38,MATCH($A38,'Microgrid Proposal'!$A$32:$A$38,0))</f>
        <v>7500</v>
      </c>
      <c r="R38" s="383" t="str">
        <f>_xlfn.LET(_xlpm.val,INDEX('System Specification'!$G$14:$G$21,MATCH($A38,'System Specification'!$A$14:$A$21,0)),
IF(_xlpm.val="","",_xlpm.val))</f>
        <v/>
      </c>
      <c r="S38" s="384">
        <f>IF($R38="No",0,INDEX(Site_Data_Table,MATCH($A38,'Site Data'!$A$6:$A$13,0),MATCH(S$31,Site_Data_Column_Names,0)))</f>
        <v>0</v>
      </c>
      <c r="T38" s="386">
        <f t="shared" si="0"/>
        <v>0</v>
      </c>
      <c r="U38" s="386">
        <f>INDEX('Microgrid Proposal'!$V$32:$V$38,MATCH($A38,'Microgrid Proposal'!$A$32:$A$38,0))</f>
        <v>0</v>
      </c>
      <c r="V38" s="386">
        <v>15000</v>
      </c>
      <c r="W38" s="388">
        <f t="shared" si="1"/>
        <v>22500</v>
      </c>
    </row>
    <row r="39" spans="1:23" ht="16" thickBot="1" x14ac:dyDescent="0.4">
      <c r="A39" s="181"/>
      <c r="B39" s="181"/>
      <c r="C39" s="181"/>
      <c r="D39" s="181"/>
      <c r="E39" s="181"/>
      <c r="F39" s="196">
        <f>SUMIFS(F$32:F$38,$E$32:$E$38,"Yes")</f>
        <v>0</v>
      </c>
      <c r="G39" s="197"/>
      <c r="H39" s="197"/>
      <c r="I39" s="198"/>
      <c r="J39" s="199" t="e" cm="1">
        <f t="array" ref="J39">SUMPRODUCT($F$32:$F$38,J$32:J$38,--($E$32:$E$38="Yes"))/SUMPRODUCT($F$32:$F$38*(J$32:J$38&gt;0),--($E$32:$E$38="Yes"))</f>
        <v>#DIV/0!</v>
      </c>
      <c r="K39" s="201" t="e" cm="1">
        <f t="array" ref="K39">SUMPRODUCT($F$32:$F$38,K$32:K$38,--($E$32:$E$38="Yes"))/SUMPRODUCT($F$32:$F$38*(K$32:K$38&gt;0),--($E$32:$E$38="Yes"))</f>
        <v>#DIV/0!</v>
      </c>
      <c r="L39" s="202" t="e" cm="1">
        <f t="array" ref="L39">SUMPRODUCT($F$32:$F$38,L$32:L$38,--($E$32:$E$38="Yes"))/SUMPRODUCT($F$32:$F$38*(L$32:L$38&gt;0),--($E$32:$E$38="Yes"))</f>
        <v>#DIV/0!</v>
      </c>
      <c r="M39" s="203">
        <f>SUMIFS(M$32:M$38,$E$32:$E$38,"Yes")</f>
        <v>0</v>
      </c>
      <c r="N39" s="204" t="e" cm="1">
        <f t="array" ref="N39">SUMPRODUCT($F$32:$F$38,N$32:N$38,--($E$32:$E$38="Yes"))/SUMPRODUCT($F$32:$F$38*(N$32:N$38&gt;0),--($E$32:$E$38="Yes"))</f>
        <v>#DIV/0!</v>
      </c>
      <c r="O39" s="204" t="e" cm="1">
        <f t="array" ref="O39">SUMPRODUCT($F$32:$F$38,O$32:O$38,--($E$32:$E$38="Yes"))/SUMPRODUCT($F$32:$F$38*(O$32:O$38&gt;0),--($E$32:$E$38="Yes"))</f>
        <v>#DIV/0!</v>
      </c>
      <c r="P39" s="308">
        <f>SUM(P32:P38)</f>
        <v>14</v>
      </c>
      <c r="Q39" s="200">
        <f>SUMIFS(Q$32:Q$38,$E$32:$E$38,"Yes")</f>
        <v>57000</v>
      </c>
      <c r="R39" s="212"/>
      <c r="S39" s="213">
        <f>SUMIFS(S$32:S$38,$E$32:$E$38,"Yes")</f>
        <v>0</v>
      </c>
      <c r="T39" s="200">
        <f>SUMIFS(T$32:T$38,$E$32:$E$38,"Yes")</f>
        <v>0</v>
      </c>
      <c r="U39" s="200">
        <f>SUMIFS(U$32:U$38,$E$32:$E$38,"Yes")</f>
        <v>0</v>
      </c>
      <c r="V39" s="200">
        <f>SUMIFS(V$32:V$38,$E$32:$E$38,"Yes")</f>
        <v>105000</v>
      </c>
      <c r="W39" s="205">
        <f>SUMIFS(W$32:W$38,$E$32:$E$38,"Yes")</f>
        <v>162000</v>
      </c>
    </row>
    <row r="40" spans="1:23" ht="12.75" customHeight="1" x14ac:dyDescent="0.65">
      <c r="A40" s="52"/>
    </row>
  </sheetData>
  <sheetProtection algorithmName="SHA-512" hashValue="1SOnqwyJaTYjN84Y4QYVI9FaNfG829/35q4+RJy3HgkPYo1hJY06Qs/iZnssYmu3oD6tUpbWUUNdXlYxgVmXIg==" saltValue="ILpbjEOQ8yBjfPS3hvkTOA==" spinCount="100000" sheet="1" formatColumns="0" formatRows="0"/>
  <mergeCells count="48">
    <mergeCell ref="B31:C31"/>
    <mergeCell ref="B37:C37"/>
    <mergeCell ref="B38:C38"/>
    <mergeCell ref="B34:C34"/>
    <mergeCell ref="B35:C35"/>
    <mergeCell ref="B36:C36"/>
    <mergeCell ref="B32:C32"/>
    <mergeCell ref="B33:C33"/>
    <mergeCell ref="M30:O30"/>
    <mergeCell ref="I20:O20"/>
    <mergeCell ref="I21:O21"/>
    <mergeCell ref="I22:O22"/>
    <mergeCell ref="A30:I30"/>
    <mergeCell ref="J30:L30"/>
    <mergeCell ref="I23:O23"/>
    <mergeCell ref="I24:O24"/>
    <mergeCell ref="I25:O25"/>
    <mergeCell ref="I26:O26"/>
    <mergeCell ref="A23:D23"/>
    <mergeCell ref="A24:D24"/>
    <mergeCell ref="A25:D25"/>
    <mergeCell ref="A26:D26"/>
    <mergeCell ref="A18:D18"/>
    <mergeCell ref="A19:D19"/>
    <mergeCell ref="A20:D20"/>
    <mergeCell ref="A21:D21"/>
    <mergeCell ref="A22:D22"/>
    <mergeCell ref="A13:D13"/>
    <mergeCell ref="A14:D14"/>
    <mergeCell ref="A15:D15"/>
    <mergeCell ref="A16:D16"/>
    <mergeCell ref="A17:D17"/>
    <mergeCell ref="P30:W30"/>
    <mergeCell ref="A1:L1"/>
    <mergeCell ref="A12:D12"/>
    <mergeCell ref="I12:O12"/>
    <mergeCell ref="I18:O18"/>
    <mergeCell ref="I19:O19"/>
    <mergeCell ref="I13:O13"/>
    <mergeCell ref="I14:O14"/>
    <mergeCell ref="I15:O15"/>
    <mergeCell ref="I16:O16"/>
    <mergeCell ref="I17:O17"/>
    <mergeCell ref="A11:D11"/>
    <mergeCell ref="B6:E6"/>
    <mergeCell ref="A10:D10"/>
    <mergeCell ref="I10:O10"/>
    <mergeCell ref="I11:O11"/>
  </mergeCells>
  <conditionalFormatting sqref="A32:B38 D32:G38 I32:W38">
    <cfRule type="expression" dxfId="30" priority="12">
      <formula>($E32="No")</formula>
    </cfRule>
  </conditionalFormatting>
  <conditionalFormatting sqref="H32:H38">
    <cfRule type="expression" dxfId="29" priority="7">
      <formula>($E32="No")</formula>
    </cfRule>
  </conditionalFormatting>
  <conditionalFormatting sqref="J32:L38">
    <cfRule type="expression" dxfId="28" priority="9">
      <formula>$H32="SEL"</formula>
    </cfRule>
  </conditionalFormatting>
  <conditionalFormatting sqref="M32:O38">
    <cfRule type="expression" dxfId="27" priority="8">
      <formula>$H32="SPPA"</formula>
    </cfRule>
  </conditionalFormatting>
  <conditionalFormatting sqref="P32:Q38">
    <cfRule type="expression" dxfId="26" priority="1">
      <formula>$I32="SPPA"</formula>
    </cfRule>
  </conditionalFormatting>
  <pageMargins left="0.5" right="0.5" top="0.5" bottom="0.75" header="0.3" footer="0.3"/>
  <pageSetup scale="40" orientation="portrait" r:id="rId1"/>
  <headerFooter>
    <oddFooter>&amp;L&amp;D&amp;R&amp;F | &amp;A | &amp;P</oddFooter>
  </headerFooter>
  <ignoredErrors>
    <ignoredError sqref="F32:F38"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AEE0A-F00E-4968-8367-68C67CFFB192}">
  <sheetPr>
    <tabColor rgb="FFFFFF99"/>
  </sheetPr>
  <dimension ref="A1:K87"/>
  <sheetViews>
    <sheetView showGridLines="0" zoomScaleNormal="100" workbookViewId="0">
      <selection sqref="A1:J1"/>
    </sheetView>
  </sheetViews>
  <sheetFormatPr defaultColWidth="8.765625" defaultRowHeight="15.5" outlineLevelRow="1" x14ac:dyDescent="0.35"/>
  <cols>
    <col min="1" max="1" width="9.53515625" style="55" customWidth="1"/>
    <col min="2" max="34" width="11.07421875" style="55" customWidth="1"/>
    <col min="35" max="16384" width="8.765625" style="55"/>
  </cols>
  <sheetData>
    <row r="1" spans="1:11" s="28" customFormat="1" ht="48" customHeight="1" x14ac:dyDescent="0.35">
      <c r="A1" s="438" t="s">
        <v>210</v>
      </c>
      <c r="B1" s="438"/>
      <c r="C1" s="438"/>
      <c r="D1" s="438"/>
      <c r="E1" s="438"/>
      <c r="F1" s="438"/>
      <c r="G1" s="438"/>
      <c r="H1" s="438"/>
      <c r="I1" s="438"/>
      <c r="J1" s="438"/>
    </row>
    <row r="3" spans="1:11" ht="28.5" x14ac:dyDescent="0.65">
      <c r="A3" s="56" t="s">
        <v>211</v>
      </c>
    </row>
    <row r="4" spans="1:11" ht="21" x14ac:dyDescent="0.5">
      <c r="A4" s="6" t="str">
        <f>Instructions!B7</f>
        <v>Proposed Price Form</v>
      </c>
      <c r="B4" s="58"/>
      <c r="C4" s="59"/>
      <c r="D4" s="60"/>
      <c r="E4" s="60"/>
      <c r="F4" s="60"/>
      <c r="G4" s="60"/>
      <c r="H4" s="60"/>
      <c r="I4" s="60"/>
      <c r="J4" s="60"/>
      <c r="K4" s="60"/>
    </row>
    <row r="5" spans="1:11" x14ac:dyDescent="0.35">
      <c r="A5" s="53" t="str">
        <f>Instructions!$B$9</f>
        <v>Region:</v>
      </c>
      <c r="B5" s="53" t="str">
        <f>Instructions!$C$9</f>
        <v>SRO2</v>
      </c>
      <c r="C5" s="61"/>
      <c r="D5" s="54"/>
      <c r="E5" s="60"/>
      <c r="F5" s="60"/>
      <c r="G5" s="60"/>
      <c r="H5" s="60"/>
      <c r="I5" s="60"/>
      <c r="J5" s="60"/>
      <c r="K5" s="60"/>
    </row>
    <row r="6" spans="1:11" x14ac:dyDescent="0.35">
      <c r="A6" s="3" t="s">
        <v>4</v>
      </c>
      <c r="B6" s="439">
        <f>Vendor_Name</f>
        <v>0</v>
      </c>
      <c r="C6" s="439"/>
      <c r="D6" s="60"/>
      <c r="E6" s="60"/>
      <c r="F6" s="60"/>
      <c r="G6" s="60"/>
      <c r="H6" s="60"/>
      <c r="I6" s="60"/>
      <c r="J6" s="60"/>
    </row>
    <row r="7" spans="1:11" x14ac:dyDescent="0.35">
      <c r="A7" s="62"/>
      <c r="B7" s="63"/>
      <c r="C7" s="60"/>
      <c r="D7" s="60"/>
      <c r="E7" s="60"/>
      <c r="F7" s="60"/>
      <c r="G7" s="60"/>
      <c r="H7" s="60"/>
      <c r="I7" s="60"/>
      <c r="J7" s="60"/>
      <c r="K7" s="60"/>
    </row>
    <row r="8" spans="1:11" ht="25.5" thickBot="1" x14ac:dyDescent="0.4">
      <c r="A8" s="64" t="s">
        <v>212</v>
      </c>
      <c r="B8" s="60"/>
      <c r="C8" s="60"/>
      <c r="D8" s="60"/>
    </row>
    <row r="9" spans="1:11" ht="44" thickBot="1" x14ac:dyDescent="0.4">
      <c r="A9" s="228" t="s">
        <v>134</v>
      </c>
      <c r="B9" s="288" t="str">
        <f>INDEX(Site_Data_Table,MATCH(B$10,'Site Data'!$C$6:$C$13,0),MATCH("Site Name",Site_Data_Column_Names,0))</f>
        <v>Imperial County Courthouse</v>
      </c>
      <c r="C9" s="288" t="str">
        <f>INDEX(Site_Data_Table,MATCH(C$10,'Site Data'!$C$6:$C$13,0),MATCH("Site Name",Site_Data_Column_Names,0))</f>
        <v>Pomona Courthouse South</v>
      </c>
      <c r="D9" s="288" t="str">
        <f>INDEX(Site_Data_Table,MATCH(D$10,'Site Data'!$C$6:$C$13,0),MATCH("Site Name",Site_Data_Column_Names,0))</f>
        <v>Banning Justice Center</v>
      </c>
      <c r="E9" s="288" t="str">
        <f>INDEX(Site_Data_Table,MATCH(E$10,'Site Data'!$C$6:$C$13,0),MATCH("Site Name",Site_Data_Column_Names,0))</f>
        <v>San Bernardino Justice Center</v>
      </c>
      <c r="F9" s="288" t="str">
        <f>INDEX(Site_Data_Table,MATCH(F$10,'Site Data'!$C$6:$C$13,0),MATCH("Site Name",Site_Data_Column_Names,0))</f>
        <v>Kearny Mesa Court</v>
      </c>
      <c r="G9" s="288" t="str">
        <f>INDEX(Site_Data_Table,MATCH(G$10,'Site Data'!$C$6:$C$13,0),MATCH("Site Name",Site_Data_Column_Names,0))</f>
        <v>East County Regional Center</v>
      </c>
      <c r="H9" s="288" t="str">
        <f>INDEX(Site_Data_Table,MATCH(H$10,'Site Data'!$C$6:$C$13,0),MATCH("Site Name",Site_Data_Column_Names,0))</f>
        <v>Santa Ana Courthouse</v>
      </c>
      <c r="I9" s="232"/>
    </row>
    <row r="10" spans="1:11" ht="16" hidden="1" outlineLevel="1" thickBot="1" x14ac:dyDescent="0.4">
      <c r="A10" s="229" t="s">
        <v>11</v>
      </c>
      <c r="B10" s="287" t="str" cm="1">
        <f t="array" ref="B10:H10">TRANSPOSE('System Specification'!$D$14:$D$20)</f>
        <v>13-A1</v>
      </c>
      <c r="C10" s="135" t="str">
        <v>19-W1</v>
      </c>
      <c r="D10" s="135" t="str">
        <v>33-G4</v>
      </c>
      <c r="E10" s="135" t="str">
        <v>36-R1</v>
      </c>
      <c r="F10" s="135" t="str">
        <v>37-C1</v>
      </c>
      <c r="G10" s="135" t="str">
        <v>37-I1</v>
      </c>
      <c r="H10" s="135" t="str">
        <v>64-E1</v>
      </c>
      <c r="I10" s="232"/>
    </row>
    <row r="11" spans="1:11" ht="16" hidden="1" outlineLevel="1" thickBot="1" x14ac:dyDescent="0.4">
      <c r="A11" s="229" t="str">
        <f>'Site Data'!$R$6</f>
        <v>SPPA or SEL</v>
      </c>
      <c r="B11" s="287" t="str">
        <f>INDEX(Site_Data_Table,MATCH(B$10,'Site Data'!$C$6:$C$13,0),MATCH($A11,Site_Data_Column_Names,0))</f>
        <v>SPPA</v>
      </c>
      <c r="C11" s="287" t="str">
        <f>INDEX(Site_Data_Table,MATCH(C$10,'Site Data'!$C$6:$C$13,0),MATCH($A11,Site_Data_Column_Names,0))</f>
        <v>SPPA</v>
      </c>
      <c r="D11" s="287" t="str">
        <f>INDEX(Site_Data_Table,MATCH(D$10,'Site Data'!$C$6:$C$13,0),MATCH($A11,Site_Data_Column_Names,0))</f>
        <v>SEL</v>
      </c>
      <c r="E11" s="287" t="str">
        <f>INDEX(Site_Data_Table,MATCH(E$10,'Site Data'!$C$6:$C$13,0),MATCH($A11,Site_Data_Column_Names,0))</f>
        <v>SPPA</v>
      </c>
      <c r="F11" s="287" t="str">
        <f>INDEX(Site_Data_Table,MATCH(F$10,'Site Data'!$C$6:$C$13,0),MATCH($A11,Site_Data_Column_Names,0))</f>
        <v>SPPA</v>
      </c>
      <c r="G11" s="287" t="str">
        <f>INDEX(Site_Data_Table,MATCH(G$10,'Site Data'!$C$6:$C$13,0),MATCH($A11,Site_Data_Column_Names,0))</f>
        <v>SPPA</v>
      </c>
      <c r="H11" s="287" t="str">
        <f>INDEX(Site_Data_Table,MATCH(H$10,'Site Data'!$C$6:$C$13,0),MATCH($A11,Site_Data_Column_Names,0))</f>
        <v>SPPA</v>
      </c>
      <c r="I11" s="232"/>
    </row>
    <row r="12" spans="1:11" ht="26.5" hidden="1" outlineLevel="1" thickBot="1" x14ac:dyDescent="0.4">
      <c r="A12" s="229" t="str">
        <f>'Site Data'!$S$6</f>
        <v>SPPA/SEL Term (yrs)</v>
      </c>
      <c r="B12" s="287">
        <f>INDEX(Site_Data_Table,MATCH(B$10,'Site Data'!$C$6:$C$13,0),MATCH($A12,Site_Data_Column_Names,0))</f>
        <v>20</v>
      </c>
      <c r="C12" s="287">
        <f>INDEX(Site_Data_Table,MATCH(C$10,'Site Data'!$C$6:$C$13,0),MATCH($A12,Site_Data_Column_Names,0))</f>
        <v>20</v>
      </c>
      <c r="D12" s="287">
        <f>INDEX(Site_Data_Table,MATCH(D$10,'Site Data'!$C$6:$C$13,0),MATCH($A12,Site_Data_Column_Names,0))</f>
        <v>20</v>
      </c>
      <c r="E12" s="287">
        <f>INDEX(Site_Data_Table,MATCH(E$10,'Site Data'!$C$6:$C$13,0),MATCH($A12,Site_Data_Column_Names,0))</f>
        <v>20</v>
      </c>
      <c r="F12" s="287">
        <f>INDEX(Site_Data_Table,MATCH(F$10,'Site Data'!$C$6:$C$13,0),MATCH($A12,Site_Data_Column_Names,0))</f>
        <v>20</v>
      </c>
      <c r="G12" s="287">
        <f>INDEX(Site_Data_Table,MATCH(G$10,'Site Data'!$C$6:$C$13,0),MATCH($A12,Site_Data_Column_Names,0))</f>
        <v>20</v>
      </c>
      <c r="H12" s="287">
        <f>INDEX(Site_Data_Table,MATCH(H$10,'Site Data'!$C$6:$C$13,0),MATCH($A12,Site_Data_Column_Names,0))</f>
        <v>20</v>
      </c>
      <c r="I12" s="232"/>
    </row>
    <row r="13" spans="1:11" ht="16" hidden="1" outlineLevel="1" thickBot="1" x14ac:dyDescent="0.4">
      <c r="A13" s="230" t="str">
        <f>'Site Data'!$AA$6</f>
        <v>Include</v>
      </c>
      <c r="B13" s="231" t="str">
        <f>INDEX(Site_Data_Table,MATCH(B$10,'Site Data'!$C$6:$C$13,0),MATCH($A13,Site_Data_Column_Names,0))</f>
        <v>Yes</v>
      </c>
      <c r="C13" s="231" t="str">
        <f>INDEX(Site_Data_Table,MATCH(C$10,'Site Data'!$C$6:$C$13,0),MATCH($A13,Site_Data_Column_Names,0))</f>
        <v>Yes</v>
      </c>
      <c r="D13" s="231" t="str">
        <f>INDEX(Site_Data_Table,MATCH(D$10,'Site Data'!$C$6:$C$13,0),MATCH($A13,Site_Data_Column_Names,0))</f>
        <v>Yes</v>
      </c>
      <c r="E13" s="231" t="str">
        <f>INDEX(Site_Data_Table,MATCH(E$10,'Site Data'!$C$6:$C$13,0),MATCH($A13,Site_Data_Column_Names,0))</f>
        <v>Yes</v>
      </c>
      <c r="F13" s="231" t="str">
        <f>INDEX(Site_Data_Table,MATCH(F$10,'Site Data'!$C$6:$C$13,0),MATCH($A13,Site_Data_Column_Names,0))</f>
        <v>Yes</v>
      </c>
      <c r="G13" s="231" t="str">
        <f>INDEX(Site_Data_Table,MATCH(G$10,'Site Data'!$C$6:$C$13,0),MATCH($A13,Site_Data_Column_Names,0))</f>
        <v>Yes</v>
      </c>
      <c r="H13" s="231" t="str">
        <f>INDEX(Site_Data_Table,MATCH(H$10,'Site Data'!$C$6:$C$13,0),MATCH($A13,Site_Data_Column_Names,0))</f>
        <v>Yes</v>
      </c>
      <c r="I13" s="232"/>
    </row>
    <row r="14" spans="1:11" collapsed="1" x14ac:dyDescent="0.35">
      <c r="A14" s="223">
        <v>1</v>
      </c>
      <c r="B14" s="224"/>
      <c r="C14" s="224"/>
      <c r="D14" s="224"/>
      <c r="E14" s="224"/>
      <c r="F14" s="224"/>
      <c r="G14" s="224"/>
      <c r="H14" s="224"/>
      <c r="I14" s="232"/>
    </row>
    <row r="15" spans="1:11" x14ac:dyDescent="0.35">
      <c r="A15" s="225">
        <v>2</v>
      </c>
      <c r="B15" s="222"/>
      <c r="C15" s="222"/>
      <c r="D15" s="222"/>
      <c r="E15" s="222"/>
      <c r="F15" s="222"/>
      <c r="G15" s="222"/>
      <c r="H15" s="222"/>
      <c r="I15" s="232"/>
    </row>
    <row r="16" spans="1:11" x14ac:dyDescent="0.35">
      <c r="A16" s="225">
        <v>3</v>
      </c>
      <c r="B16" s="222"/>
      <c r="C16" s="222"/>
      <c r="D16" s="222"/>
      <c r="E16" s="222"/>
      <c r="F16" s="222"/>
      <c r="G16" s="222"/>
      <c r="H16" s="222"/>
      <c r="I16" s="232"/>
    </row>
    <row r="17" spans="1:9" x14ac:dyDescent="0.35">
      <c r="A17" s="225">
        <v>4</v>
      </c>
      <c r="B17" s="222"/>
      <c r="C17" s="222"/>
      <c r="D17" s="222"/>
      <c r="E17" s="222"/>
      <c r="F17" s="222"/>
      <c r="G17" s="222"/>
      <c r="H17" s="222"/>
      <c r="I17" s="232"/>
    </row>
    <row r="18" spans="1:9" x14ac:dyDescent="0.35">
      <c r="A18" s="225">
        <v>5</v>
      </c>
      <c r="B18" s="222"/>
      <c r="C18" s="222"/>
      <c r="D18" s="222"/>
      <c r="E18" s="222"/>
      <c r="F18" s="222"/>
      <c r="G18" s="222"/>
      <c r="H18" s="222"/>
      <c r="I18" s="232"/>
    </row>
    <row r="19" spans="1:9" x14ac:dyDescent="0.35">
      <c r="A19" s="225">
        <v>6</v>
      </c>
      <c r="B19" s="222"/>
      <c r="C19" s="222"/>
      <c r="D19" s="222"/>
      <c r="E19" s="222"/>
      <c r="F19" s="222"/>
      <c r="G19" s="222"/>
      <c r="H19" s="222"/>
      <c r="I19" s="232"/>
    </row>
    <row r="20" spans="1:9" x14ac:dyDescent="0.35">
      <c r="A20" s="225">
        <v>7</v>
      </c>
      <c r="B20" s="222"/>
      <c r="C20" s="222"/>
      <c r="D20" s="222"/>
      <c r="E20" s="222"/>
      <c r="F20" s="222"/>
      <c r="G20" s="222"/>
      <c r="H20" s="222"/>
      <c r="I20" s="232"/>
    </row>
    <row r="21" spans="1:9" x14ac:dyDescent="0.35">
      <c r="A21" s="225">
        <v>8</v>
      </c>
      <c r="B21" s="222"/>
      <c r="C21" s="222"/>
      <c r="D21" s="222"/>
      <c r="E21" s="222"/>
      <c r="F21" s="222"/>
      <c r="G21" s="222"/>
      <c r="H21" s="222"/>
      <c r="I21" s="232"/>
    </row>
    <row r="22" spans="1:9" x14ac:dyDescent="0.35">
      <c r="A22" s="225">
        <v>9</v>
      </c>
      <c r="B22" s="222"/>
      <c r="C22" s="222"/>
      <c r="D22" s="222"/>
      <c r="E22" s="222"/>
      <c r="F22" s="222"/>
      <c r="G22" s="222"/>
      <c r="H22" s="222"/>
      <c r="I22" s="232"/>
    </row>
    <row r="23" spans="1:9" x14ac:dyDescent="0.35">
      <c r="A23" s="225">
        <v>10</v>
      </c>
      <c r="B23" s="222"/>
      <c r="C23" s="222"/>
      <c r="D23" s="222"/>
      <c r="E23" s="222"/>
      <c r="F23" s="222"/>
      <c r="G23" s="222"/>
      <c r="H23" s="222"/>
      <c r="I23" s="232"/>
    </row>
    <row r="24" spans="1:9" x14ac:dyDescent="0.35">
      <c r="A24" s="225">
        <v>11</v>
      </c>
      <c r="B24" s="222"/>
      <c r="C24" s="222"/>
      <c r="D24" s="222"/>
      <c r="E24" s="222"/>
      <c r="F24" s="222"/>
      <c r="G24" s="222"/>
      <c r="H24" s="222"/>
      <c r="I24" s="232"/>
    </row>
    <row r="25" spans="1:9" x14ac:dyDescent="0.35">
      <c r="A25" s="225">
        <v>12</v>
      </c>
      <c r="B25" s="222"/>
      <c r="C25" s="222"/>
      <c r="D25" s="222"/>
      <c r="E25" s="222"/>
      <c r="F25" s="222"/>
      <c r="G25" s="222"/>
      <c r="H25" s="222"/>
      <c r="I25" s="232"/>
    </row>
    <row r="26" spans="1:9" x14ac:dyDescent="0.35">
      <c r="A26" s="225">
        <v>13</v>
      </c>
      <c r="B26" s="222"/>
      <c r="C26" s="222"/>
      <c r="D26" s="222"/>
      <c r="E26" s="222"/>
      <c r="F26" s="222"/>
      <c r="G26" s="222"/>
      <c r="H26" s="222"/>
      <c r="I26" s="232"/>
    </row>
    <row r="27" spans="1:9" x14ac:dyDescent="0.35">
      <c r="A27" s="225">
        <v>14</v>
      </c>
      <c r="B27" s="222"/>
      <c r="C27" s="222"/>
      <c r="D27" s="222"/>
      <c r="E27" s="222"/>
      <c r="F27" s="222"/>
      <c r="G27" s="222"/>
      <c r="H27" s="222"/>
      <c r="I27" s="232"/>
    </row>
    <row r="28" spans="1:9" x14ac:dyDescent="0.35">
      <c r="A28" s="225">
        <v>15</v>
      </c>
      <c r="B28" s="222"/>
      <c r="C28" s="222"/>
      <c r="D28" s="222"/>
      <c r="E28" s="222"/>
      <c r="F28" s="222"/>
      <c r="G28" s="222"/>
      <c r="H28" s="222"/>
      <c r="I28" s="232"/>
    </row>
    <row r="29" spans="1:9" x14ac:dyDescent="0.35">
      <c r="A29" s="225">
        <v>16</v>
      </c>
      <c r="B29" s="222"/>
      <c r="C29" s="222"/>
      <c r="D29" s="222"/>
      <c r="E29" s="222"/>
      <c r="F29" s="222"/>
      <c r="G29" s="222"/>
      <c r="H29" s="222"/>
      <c r="I29" s="232"/>
    </row>
    <row r="30" spans="1:9" x14ac:dyDescent="0.35">
      <c r="A30" s="225">
        <v>17</v>
      </c>
      <c r="B30" s="222"/>
      <c r="C30" s="222"/>
      <c r="D30" s="222"/>
      <c r="E30" s="222"/>
      <c r="F30" s="222"/>
      <c r="G30" s="222"/>
      <c r="H30" s="222"/>
      <c r="I30" s="232"/>
    </row>
    <row r="31" spans="1:9" x14ac:dyDescent="0.35">
      <c r="A31" s="225">
        <v>18</v>
      </c>
      <c r="B31" s="222"/>
      <c r="C31" s="222"/>
      <c r="D31" s="222"/>
      <c r="E31" s="222"/>
      <c r="F31" s="222"/>
      <c r="G31" s="222"/>
      <c r="H31" s="222"/>
      <c r="I31" s="232"/>
    </row>
    <row r="32" spans="1:9" x14ac:dyDescent="0.35">
      <c r="A32" s="225">
        <v>19</v>
      </c>
      <c r="B32" s="222"/>
      <c r="C32" s="222"/>
      <c r="D32" s="222"/>
      <c r="E32" s="222"/>
      <c r="F32" s="222"/>
      <c r="G32" s="222"/>
      <c r="H32" s="222"/>
      <c r="I32" s="232"/>
    </row>
    <row r="33" spans="1:9" ht="16" thickBot="1" x14ac:dyDescent="0.4">
      <c r="A33" s="226">
        <v>20</v>
      </c>
      <c r="B33" s="227"/>
      <c r="C33" s="227"/>
      <c r="D33" s="227"/>
      <c r="E33" s="227"/>
      <c r="F33" s="227"/>
      <c r="G33" s="227"/>
      <c r="H33" s="227"/>
      <c r="I33" s="232"/>
    </row>
    <row r="35" spans="1:9" ht="25.5" thickBot="1" x14ac:dyDescent="0.4">
      <c r="A35" s="64" t="s">
        <v>213</v>
      </c>
      <c r="B35" s="60"/>
      <c r="C35" s="60"/>
      <c r="D35" s="60"/>
    </row>
    <row r="36" spans="1:9" ht="44" thickBot="1" x14ac:dyDescent="0.4">
      <c r="A36" s="228" t="s">
        <v>134</v>
      </c>
      <c r="B36" s="288" t="str">
        <f>INDEX(Site_Data_Table,MATCH(B$37,'Site Data'!$C$6:$C$13,0),MATCH("Site Name",Site_Data_Column_Names,0))</f>
        <v>Imperial County Courthouse</v>
      </c>
      <c r="C36" s="288" t="str">
        <f>INDEX(Site_Data_Table,MATCH(C$37,'Site Data'!$C$6:$C$13,0),MATCH("Site Name",Site_Data_Column_Names,0))</f>
        <v>Pomona Courthouse South</v>
      </c>
      <c r="D36" s="288" t="str">
        <f>INDEX(Site_Data_Table,MATCH(D$37,'Site Data'!$C$6:$C$13,0),MATCH("Site Name",Site_Data_Column_Names,0))</f>
        <v>Banning Justice Center</v>
      </c>
      <c r="E36" s="288" t="str">
        <f>INDEX(Site_Data_Table,MATCH(E$37,'Site Data'!$C$6:$C$13,0),MATCH("Site Name",Site_Data_Column_Names,0))</f>
        <v>San Bernardino Justice Center</v>
      </c>
      <c r="F36" s="288" t="str">
        <f>INDEX(Site_Data_Table,MATCH(F$37,'Site Data'!$C$6:$C$13,0),MATCH("Site Name",Site_Data_Column_Names,0))</f>
        <v>Kearny Mesa Court</v>
      </c>
      <c r="G36" s="288" t="str">
        <f>INDEX(Site_Data_Table,MATCH(G$37,'Site Data'!$C$6:$C$13,0),MATCH("Site Name",Site_Data_Column_Names,0))</f>
        <v>East County Regional Center</v>
      </c>
      <c r="H36" s="288" t="str">
        <f>INDEX(Site_Data_Table,MATCH(H$37,'Site Data'!$C$6:$C$13,0),MATCH("Site Name",Site_Data_Column_Names,0))</f>
        <v>Santa Ana Courthouse</v>
      </c>
      <c r="I36" s="232"/>
    </row>
    <row r="37" spans="1:9" ht="16" hidden="1" outlineLevel="1" thickBot="1" x14ac:dyDescent="0.4">
      <c r="A37" s="229" t="s">
        <v>11</v>
      </c>
      <c r="B37" s="287" t="str" cm="1">
        <f t="array" ref="B37:H37">TRANSPOSE('System Specification'!$D$14:$D$20)</f>
        <v>13-A1</v>
      </c>
      <c r="C37" s="135" t="str">
        <v>19-W1</v>
      </c>
      <c r="D37" s="135" t="str">
        <v>33-G4</v>
      </c>
      <c r="E37" s="135" t="str">
        <v>36-R1</v>
      </c>
      <c r="F37" s="135" t="str">
        <v>37-C1</v>
      </c>
      <c r="G37" s="135" t="str">
        <v>37-I1</v>
      </c>
      <c r="H37" s="135" t="str">
        <v>64-E1</v>
      </c>
      <c r="I37" s="232"/>
    </row>
    <row r="38" spans="1:9" ht="16" hidden="1" outlineLevel="1" thickBot="1" x14ac:dyDescent="0.4">
      <c r="A38" s="229" t="str">
        <f>'Site Data'!$R$6</f>
        <v>SPPA or SEL</v>
      </c>
      <c r="B38" s="287" t="str">
        <f>INDEX(Site_Data_Table,MATCH(B$37,'Site Data'!$C$6:$C$13,0),MATCH($A38,Site_Data_Column_Names,0))</f>
        <v>SPPA</v>
      </c>
      <c r="C38" s="287" t="str">
        <f>INDEX(Site_Data_Table,MATCH(C$37,'Site Data'!$C$6:$C$13,0),MATCH($A38,Site_Data_Column_Names,0))</f>
        <v>SPPA</v>
      </c>
      <c r="D38" s="287" t="str">
        <f>INDEX(Site_Data_Table,MATCH(D$37,'Site Data'!$C$6:$C$13,0),MATCH($A38,Site_Data_Column_Names,0))</f>
        <v>SEL</v>
      </c>
      <c r="E38" s="287" t="str">
        <f>INDEX(Site_Data_Table,MATCH(E$37,'Site Data'!$C$6:$C$13,0),MATCH($A38,Site_Data_Column_Names,0))</f>
        <v>SPPA</v>
      </c>
      <c r="F38" s="287" t="str">
        <f>INDEX(Site_Data_Table,MATCH(F$37,'Site Data'!$C$6:$C$13,0),MATCH($A38,Site_Data_Column_Names,0))</f>
        <v>SPPA</v>
      </c>
      <c r="G38" s="287" t="str">
        <f>INDEX(Site_Data_Table,MATCH(G$37,'Site Data'!$C$6:$C$13,0),MATCH($A38,Site_Data_Column_Names,0))</f>
        <v>SPPA</v>
      </c>
      <c r="H38" s="287" t="str">
        <f>INDEX(Site_Data_Table,MATCH(H$37,'Site Data'!$C$6:$C$13,0),MATCH($A38,Site_Data_Column_Names,0))</f>
        <v>SPPA</v>
      </c>
      <c r="I38" s="232"/>
    </row>
    <row r="39" spans="1:9" ht="26.5" hidden="1" outlineLevel="1" thickBot="1" x14ac:dyDescent="0.4">
      <c r="A39" s="229" t="str">
        <f>'Site Data'!$S$6</f>
        <v>SPPA/SEL Term (yrs)</v>
      </c>
      <c r="B39" s="287">
        <f>INDEX(Site_Data_Table,MATCH(B$37,'Site Data'!$C$6:$C$13,0),MATCH($A39,Site_Data_Column_Names,0))</f>
        <v>20</v>
      </c>
      <c r="C39" s="287">
        <f>INDEX(Site_Data_Table,MATCH(C$37,'Site Data'!$C$6:$C$13,0),MATCH($A39,Site_Data_Column_Names,0))</f>
        <v>20</v>
      </c>
      <c r="D39" s="287">
        <f>INDEX(Site_Data_Table,MATCH(D$37,'Site Data'!$C$6:$C$13,0),MATCH($A39,Site_Data_Column_Names,0))</f>
        <v>20</v>
      </c>
      <c r="E39" s="287">
        <f>INDEX(Site_Data_Table,MATCH(E$37,'Site Data'!$C$6:$C$13,0),MATCH($A39,Site_Data_Column_Names,0))</f>
        <v>20</v>
      </c>
      <c r="F39" s="287">
        <f>INDEX(Site_Data_Table,MATCH(F$37,'Site Data'!$C$6:$C$13,0),MATCH($A39,Site_Data_Column_Names,0))</f>
        <v>20</v>
      </c>
      <c r="G39" s="287">
        <f>INDEX(Site_Data_Table,MATCH(G$37,'Site Data'!$C$6:$C$13,0),MATCH($A39,Site_Data_Column_Names,0))</f>
        <v>20</v>
      </c>
      <c r="H39" s="287">
        <f>INDEX(Site_Data_Table,MATCH(H$37,'Site Data'!$C$6:$C$13,0),MATCH($A39,Site_Data_Column_Names,0))</f>
        <v>20</v>
      </c>
      <c r="I39" s="232"/>
    </row>
    <row r="40" spans="1:9" ht="16" hidden="1" outlineLevel="1" thickBot="1" x14ac:dyDescent="0.4">
      <c r="A40" s="230" t="str">
        <f>'Site Data'!$AA$6</f>
        <v>Include</v>
      </c>
      <c r="B40" s="231" t="str">
        <f>INDEX(Site_Data_Table,MATCH(B$37,'Site Data'!$C$6:$C$13,0),MATCH($A40,Site_Data_Column_Names,0))</f>
        <v>Yes</v>
      </c>
      <c r="C40" s="231" t="str">
        <f>INDEX(Site_Data_Table,MATCH(C$37,'Site Data'!$C$6:$C$13,0),MATCH($A40,Site_Data_Column_Names,0))</f>
        <v>Yes</v>
      </c>
      <c r="D40" s="231" t="str">
        <f>INDEX(Site_Data_Table,MATCH(D$37,'Site Data'!$C$6:$C$13,0),MATCH($A40,Site_Data_Column_Names,0))</f>
        <v>Yes</v>
      </c>
      <c r="E40" s="231" t="str">
        <f>INDEX(Site_Data_Table,MATCH(E$37,'Site Data'!$C$6:$C$13,0),MATCH($A40,Site_Data_Column_Names,0))</f>
        <v>Yes</v>
      </c>
      <c r="F40" s="231" t="str">
        <f>INDEX(Site_Data_Table,MATCH(F$37,'Site Data'!$C$6:$C$13,0),MATCH($A40,Site_Data_Column_Names,0))</f>
        <v>Yes</v>
      </c>
      <c r="G40" s="231" t="str">
        <f>INDEX(Site_Data_Table,MATCH(G$37,'Site Data'!$C$6:$C$13,0),MATCH($A40,Site_Data_Column_Names,0))</f>
        <v>Yes</v>
      </c>
      <c r="H40" s="231" t="str">
        <f>INDEX(Site_Data_Table,MATCH(H$37,'Site Data'!$C$6:$C$13,0),MATCH($A40,Site_Data_Column_Names,0))</f>
        <v>Yes</v>
      </c>
      <c r="I40" s="232"/>
    </row>
    <row r="41" spans="1:9" collapsed="1" x14ac:dyDescent="0.35">
      <c r="A41" s="223">
        <v>1</v>
      </c>
      <c r="B41" s="224"/>
      <c r="C41" s="224"/>
      <c r="D41" s="224"/>
      <c r="E41" s="224"/>
      <c r="F41" s="224"/>
      <c r="G41" s="224"/>
      <c r="H41" s="224"/>
      <c r="I41" s="232"/>
    </row>
    <row r="42" spans="1:9" x14ac:dyDescent="0.35">
      <c r="A42" s="225">
        <v>2</v>
      </c>
      <c r="B42" s="222"/>
      <c r="C42" s="222"/>
      <c r="D42" s="222"/>
      <c r="E42" s="222"/>
      <c r="F42" s="222"/>
      <c r="G42" s="222"/>
      <c r="H42" s="222"/>
      <c r="I42" s="232"/>
    </row>
    <row r="43" spans="1:9" x14ac:dyDescent="0.35">
      <c r="A43" s="225">
        <v>3</v>
      </c>
      <c r="B43" s="222"/>
      <c r="C43" s="222"/>
      <c r="D43" s="222"/>
      <c r="E43" s="222"/>
      <c r="F43" s="222"/>
      <c r="G43" s="222"/>
      <c r="H43" s="222"/>
      <c r="I43" s="232"/>
    </row>
    <row r="44" spans="1:9" x14ac:dyDescent="0.35">
      <c r="A44" s="225">
        <v>4</v>
      </c>
      <c r="B44" s="222"/>
      <c r="C44" s="222"/>
      <c r="D44" s="222"/>
      <c r="E44" s="222"/>
      <c r="F44" s="222"/>
      <c r="G44" s="222"/>
      <c r="H44" s="222"/>
      <c r="I44" s="232"/>
    </row>
    <row r="45" spans="1:9" x14ac:dyDescent="0.35">
      <c r="A45" s="225">
        <v>5</v>
      </c>
      <c r="B45" s="222"/>
      <c r="C45" s="222"/>
      <c r="D45" s="222"/>
      <c r="E45" s="222"/>
      <c r="F45" s="222"/>
      <c r="G45" s="222"/>
      <c r="H45" s="222"/>
      <c r="I45" s="232"/>
    </row>
    <row r="46" spans="1:9" x14ac:dyDescent="0.35">
      <c r="A46" s="225">
        <v>6</v>
      </c>
      <c r="B46" s="222"/>
      <c r="C46" s="222"/>
      <c r="D46" s="222"/>
      <c r="E46" s="222"/>
      <c r="F46" s="222"/>
      <c r="G46" s="222"/>
      <c r="H46" s="222"/>
      <c r="I46" s="232"/>
    </row>
    <row r="47" spans="1:9" x14ac:dyDescent="0.35">
      <c r="A47" s="225">
        <v>7</v>
      </c>
      <c r="B47" s="222"/>
      <c r="C47" s="222"/>
      <c r="D47" s="222"/>
      <c r="E47" s="222"/>
      <c r="F47" s="222"/>
      <c r="G47" s="222"/>
      <c r="H47" s="222"/>
      <c r="I47" s="232"/>
    </row>
    <row r="48" spans="1:9" x14ac:dyDescent="0.35">
      <c r="A48" s="225">
        <v>8</v>
      </c>
      <c r="B48" s="222"/>
      <c r="C48" s="222"/>
      <c r="D48" s="222"/>
      <c r="E48" s="222"/>
      <c r="F48" s="222"/>
      <c r="G48" s="222"/>
      <c r="H48" s="222"/>
      <c r="I48" s="232"/>
    </row>
    <row r="49" spans="1:9" x14ac:dyDescent="0.35">
      <c r="A49" s="225">
        <v>9</v>
      </c>
      <c r="B49" s="222"/>
      <c r="C49" s="222"/>
      <c r="D49" s="222"/>
      <c r="E49" s="222"/>
      <c r="F49" s="222"/>
      <c r="G49" s="222"/>
      <c r="H49" s="222"/>
      <c r="I49" s="232"/>
    </row>
    <row r="50" spans="1:9" x14ac:dyDescent="0.35">
      <c r="A50" s="225">
        <v>10</v>
      </c>
      <c r="B50" s="222"/>
      <c r="C50" s="222"/>
      <c r="D50" s="222"/>
      <c r="E50" s="222"/>
      <c r="F50" s="222"/>
      <c r="G50" s="222"/>
      <c r="H50" s="222"/>
      <c r="I50" s="232"/>
    </row>
    <row r="51" spans="1:9" x14ac:dyDescent="0.35">
      <c r="A51" s="225">
        <v>11</v>
      </c>
      <c r="B51" s="222"/>
      <c r="C51" s="222"/>
      <c r="D51" s="222"/>
      <c r="E51" s="222"/>
      <c r="F51" s="222"/>
      <c r="G51" s="222"/>
      <c r="H51" s="222"/>
      <c r="I51" s="232"/>
    </row>
    <row r="52" spans="1:9" x14ac:dyDescent="0.35">
      <c r="A52" s="225">
        <v>12</v>
      </c>
      <c r="B52" s="222"/>
      <c r="C52" s="222"/>
      <c r="D52" s="222"/>
      <c r="E52" s="222"/>
      <c r="F52" s="222"/>
      <c r="G52" s="222"/>
      <c r="H52" s="222"/>
      <c r="I52" s="232"/>
    </row>
    <row r="53" spans="1:9" x14ac:dyDescent="0.35">
      <c r="A53" s="225">
        <v>13</v>
      </c>
      <c r="B53" s="222"/>
      <c r="C53" s="222"/>
      <c r="D53" s="222"/>
      <c r="E53" s="222"/>
      <c r="F53" s="222"/>
      <c r="G53" s="222"/>
      <c r="H53" s="222"/>
      <c r="I53" s="232"/>
    </row>
    <row r="54" spans="1:9" x14ac:dyDescent="0.35">
      <c r="A54" s="225">
        <v>14</v>
      </c>
      <c r="B54" s="222"/>
      <c r="C54" s="222"/>
      <c r="D54" s="222"/>
      <c r="E54" s="222"/>
      <c r="F54" s="222"/>
      <c r="G54" s="222"/>
      <c r="H54" s="222"/>
      <c r="I54" s="232"/>
    </row>
    <row r="55" spans="1:9" x14ac:dyDescent="0.35">
      <c r="A55" s="225">
        <v>15</v>
      </c>
      <c r="B55" s="222"/>
      <c r="C55" s="222"/>
      <c r="D55" s="222"/>
      <c r="E55" s="222"/>
      <c r="F55" s="222"/>
      <c r="G55" s="222"/>
      <c r="H55" s="222"/>
      <c r="I55" s="232"/>
    </row>
    <row r="56" spans="1:9" x14ac:dyDescent="0.35">
      <c r="A56" s="225">
        <v>16</v>
      </c>
      <c r="B56" s="222"/>
      <c r="C56" s="222"/>
      <c r="D56" s="222"/>
      <c r="E56" s="222"/>
      <c r="F56" s="222"/>
      <c r="G56" s="222"/>
      <c r="H56" s="222"/>
      <c r="I56" s="232"/>
    </row>
    <row r="57" spans="1:9" x14ac:dyDescent="0.35">
      <c r="A57" s="225">
        <v>17</v>
      </c>
      <c r="B57" s="222"/>
      <c r="C57" s="222"/>
      <c r="D57" s="222"/>
      <c r="E57" s="222"/>
      <c r="F57" s="222"/>
      <c r="G57" s="222"/>
      <c r="H57" s="222"/>
      <c r="I57" s="232"/>
    </row>
    <row r="58" spans="1:9" x14ac:dyDescent="0.35">
      <c r="A58" s="225">
        <v>18</v>
      </c>
      <c r="B58" s="222"/>
      <c r="C58" s="222"/>
      <c r="D58" s="222"/>
      <c r="E58" s="222"/>
      <c r="F58" s="222"/>
      <c r="G58" s="222"/>
      <c r="H58" s="222"/>
      <c r="I58" s="232"/>
    </row>
    <row r="59" spans="1:9" x14ac:dyDescent="0.35">
      <c r="A59" s="225">
        <v>19</v>
      </c>
      <c r="B59" s="222"/>
      <c r="C59" s="222"/>
      <c r="D59" s="222"/>
      <c r="E59" s="222"/>
      <c r="F59" s="222"/>
      <c r="G59" s="222"/>
      <c r="H59" s="222"/>
      <c r="I59" s="232"/>
    </row>
    <row r="60" spans="1:9" ht="16" thickBot="1" x14ac:dyDescent="0.4">
      <c r="A60" s="226">
        <v>20</v>
      </c>
      <c r="B60" s="227"/>
      <c r="C60" s="227"/>
      <c r="D60" s="227"/>
      <c r="E60" s="227"/>
      <c r="F60" s="227"/>
      <c r="G60" s="227"/>
      <c r="H60" s="227"/>
      <c r="I60" s="232"/>
    </row>
    <row r="62" spans="1:9" ht="25.5" thickBot="1" x14ac:dyDescent="0.4">
      <c r="A62" s="64" t="s">
        <v>214</v>
      </c>
      <c r="B62" s="60"/>
      <c r="C62" s="60"/>
      <c r="D62" s="60"/>
    </row>
    <row r="63" spans="1:9" ht="44" thickBot="1" x14ac:dyDescent="0.4">
      <c r="A63" s="228" t="s">
        <v>134</v>
      </c>
      <c r="B63" s="288" t="str">
        <f>INDEX(Site_Data_Table,MATCH(B$64,'Site Data'!$C$6:$C$13,0),MATCH("Site Name",Site_Data_Column_Names,0))</f>
        <v>Imperial County Courthouse</v>
      </c>
      <c r="C63" s="288" t="str">
        <f>INDEX(Site_Data_Table,MATCH(C$64,'Site Data'!$C$6:$C$13,0),MATCH("Site Name",Site_Data_Column_Names,0))</f>
        <v>Pomona Courthouse South</v>
      </c>
      <c r="D63" s="288" t="str">
        <f>INDEX(Site_Data_Table,MATCH(D$64,'Site Data'!$C$6:$C$13,0),MATCH("Site Name",Site_Data_Column_Names,0))</f>
        <v>Banning Justice Center</v>
      </c>
      <c r="E63" s="288" t="str">
        <f>INDEX(Site_Data_Table,MATCH(E$64,'Site Data'!$C$6:$C$13,0),MATCH("Site Name",Site_Data_Column_Names,0))</f>
        <v>San Bernardino Justice Center</v>
      </c>
      <c r="F63" s="288" t="str">
        <f>INDEX(Site_Data_Table,MATCH(F$64,'Site Data'!$C$6:$C$13,0),MATCH("Site Name",Site_Data_Column_Names,0))</f>
        <v>Kearny Mesa Court</v>
      </c>
      <c r="G63" s="288" t="str">
        <f>INDEX(Site_Data_Table,MATCH(G$64,'Site Data'!$C$6:$C$13,0),MATCH("Site Name",Site_Data_Column_Names,0))</f>
        <v>East County Regional Center</v>
      </c>
      <c r="H63" s="288" t="str">
        <f>INDEX(Site_Data_Table,MATCH(H$64,'Site Data'!$C$6:$C$13,0),MATCH("Site Name",Site_Data_Column_Names,0))</f>
        <v>Santa Ana Courthouse</v>
      </c>
      <c r="I63" s="232"/>
    </row>
    <row r="64" spans="1:9" ht="16" hidden="1" outlineLevel="1" thickBot="1" x14ac:dyDescent="0.4">
      <c r="A64" s="229" t="s">
        <v>11</v>
      </c>
      <c r="B64" s="287" t="str" cm="1">
        <f t="array" ref="B64:H64">TRANSPOSE('System Specification'!$D$14:$D$20)</f>
        <v>13-A1</v>
      </c>
      <c r="C64" s="135" t="str">
        <v>19-W1</v>
      </c>
      <c r="D64" s="135" t="str">
        <v>33-G4</v>
      </c>
      <c r="E64" s="135" t="str">
        <v>36-R1</v>
      </c>
      <c r="F64" s="135" t="str">
        <v>37-C1</v>
      </c>
      <c r="G64" s="135" t="str">
        <v>37-I1</v>
      </c>
      <c r="H64" s="135" t="str">
        <v>64-E1</v>
      </c>
      <c r="I64" s="232"/>
    </row>
    <row r="65" spans="1:9" ht="16" hidden="1" outlineLevel="1" thickBot="1" x14ac:dyDescent="0.4">
      <c r="A65" s="229" t="str">
        <f>'Site Data'!$R$6</f>
        <v>SPPA or SEL</v>
      </c>
      <c r="B65" s="287" t="str">
        <f>INDEX(Site_Data_Table,MATCH(B$64,'Site Data'!$C$6:$C$13,0),MATCH($A65,Site_Data_Column_Names,0))</f>
        <v>SPPA</v>
      </c>
      <c r="C65" s="287" t="str">
        <f>INDEX(Site_Data_Table,MATCH(C$64,'Site Data'!$C$6:$C$13,0),MATCH($A65,Site_Data_Column_Names,0))</f>
        <v>SPPA</v>
      </c>
      <c r="D65" s="287" t="str">
        <f>INDEX(Site_Data_Table,MATCH(D$64,'Site Data'!$C$6:$C$13,0),MATCH($A65,Site_Data_Column_Names,0))</f>
        <v>SEL</v>
      </c>
      <c r="E65" s="287" t="str">
        <f>INDEX(Site_Data_Table,MATCH(E$64,'Site Data'!$C$6:$C$13,0),MATCH($A65,Site_Data_Column_Names,0))</f>
        <v>SPPA</v>
      </c>
      <c r="F65" s="287" t="str">
        <f>INDEX(Site_Data_Table,MATCH(F$64,'Site Data'!$C$6:$C$13,0),MATCH($A65,Site_Data_Column_Names,0))</f>
        <v>SPPA</v>
      </c>
      <c r="G65" s="287" t="str">
        <f>INDEX(Site_Data_Table,MATCH(G$64,'Site Data'!$C$6:$C$13,0),MATCH($A65,Site_Data_Column_Names,0))</f>
        <v>SPPA</v>
      </c>
      <c r="H65" s="287" t="str">
        <f>INDEX(Site_Data_Table,MATCH(H$64,'Site Data'!$C$6:$C$13,0),MATCH($A65,Site_Data_Column_Names,0))</f>
        <v>SPPA</v>
      </c>
      <c r="I65" s="232"/>
    </row>
    <row r="66" spans="1:9" ht="26.5" hidden="1" outlineLevel="1" thickBot="1" x14ac:dyDescent="0.4">
      <c r="A66" s="229" t="str">
        <f>'Site Data'!$S$6</f>
        <v>SPPA/SEL Term (yrs)</v>
      </c>
      <c r="B66" s="287">
        <f>INDEX(Site_Data_Table,MATCH(B$64,'Site Data'!$C$6:$C$13,0),MATCH($A66,Site_Data_Column_Names,0))</f>
        <v>20</v>
      </c>
      <c r="C66" s="287">
        <f>INDEX(Site_Data_Table,MATCH(C$64,'Site Data'!$C$6:$C$13,0),MATCH($A66,Site_Data_Column_Names,0))</f>
        <v>20</v>
      </c>
      <c r="D66" s="287">
        <f>INDEX(Site_Data_Table,MATCH(D$64,'Site Data'!$C$6:$C$13,0),MATCH($A66,Site_Data_Column_Names,0))</f>
        <v>20</v>
      </c>
      <c r="E66" s="287">
        <f>INDEX(Site_Data_Table,MATCH(E$64,'Site Data'!$C$6:$C$13,0),MATCH($A66,Site_Data_Column_Names,0))</f>
        <v>20</v>
      </c>
      <c r="F66" s="287">
        <f>INDEX(Site_Data_Table,MATCH(F$64,'Site Data'!$C$6:$C$13,0),MATCH($A66,Site_Data_Column_Names,0))</f>
        <v>20</v>
      </c>
      <c r="G66" s="287">
        <f>INDEX(Site_Data_Table,MATCH(G$64,'Site Data'!$C$6:$C$13,0),MATCH($A66,Site_Data_Column_Names,0))</f>
        <v>20</v>
      </c>
      <c r="H66" s="287">
        <f>INDEX(Site_Data_Table,MATCH(H$64,'Site Data'!$C$6:$C$13,0),MATCH($A66,Site_Data_Column_Names,0))</f>
        <v>20</v>
      </c>
      <c r="I66" s="232"/>
    </row>
    <row r="67" spans="1:9" ht="16" hidden="1" outlineLevel="1" thickBot="1" x14ac:dyDescent="0.4">
      <c r="A67" s="230" t="str">
        <f>'Site Data'!$AA$6</f>
        <v>Include</v>
      </c>
      <c r="B67" s="231" t="str">
        <f>INDEX(Site_Data_Table,MATCH(B$64,'Site Data'!$C$6:$C$13,0),MATCH($A67,Site_Data_Column_Names,0))</f>
        <v>Yes</v>
      </c>
      <c r="C67" s="231" t="str">
        <f>INDEX(Site_Data_Table,MATCH(C$64,'Site Data'!$C$6:$C$13,0),MATCH($A67,Site_Data_Column_Names,0))</f>
        <v>Yes</v>
      </c>
      <c r="D67" s="231" t="str">
        <f>INDEX(Site_Data_Table,MATCH(D$64,'Site Data'!$C$6:$C$13,0),MATCH($A67,Site_Data_Column_Names,0))</f>
        <v>Yes</v>
      </c>
      <c r="E67" s="231" t="str">
        <f>INDEX(Site_Data_Table,MATCH(E$64,'Site Data'!$C$6:$C$13,0),MATCH($A67,Site_Data_Column_Names,0))</f>
        <v>Yes</v>
      </c>
      <c r="F67" s="231" t="str">
        <f>INDEX(Site_Data_Table,MATCH(F$64,'Site Data'!$C$6:$C$13,0),MATCH($A67,Site_Data_Column_Names,0))</f>
        <v>Yes</v>
      </c>
      <c r="G67" s="231" t="str">
        <f>INDEX(Site_Data_Table,MATCH(G$64,'Site Data'!$C$6:$C$13,0),MATCH($A67,Site_Data_Column_Names,0))</f>
        <v>Yes</v>
      </c>
      <c r="H67" s="231" t="str">
        <f>INDEX(Site_Data_Table,MATCH(H$64,'Site Data'!$C$6:$C$13,0),MATCH($A67,Site_Data_Column_Names,0))</f>
        <v>Yes</v>
      </c>
      <c r="I67" s="232"/>
    </row>
    <row r="68" spans="1:9" collapsed="1" x14ac:dyDescent="0.35">
      <c r="A68" s="223">
        <v>1</v>
      </c>
      <c r="B68" s="224"/>
      <c r="C68" s="224"/>
      <c r="D68" s="224"/>
      <c r="E68" s="224"/>
      <c r="F68" s="224"/>
      <c r="G68" s="224"/>
      <c r="H68" s="224"/>
      <c r="I68" s="232"/>
    </row>
    <row r="69" spans="1:9" x14ac:dyDescent="0.35">
      <c r="A69" s="225">
        <v>2</v>
      </c>
      <c r="B69" s="222"/>
      <c r="C69" s="222"/>
      <c r="D69" s="222"/>
      <c r="E69" s="222"/>
      <c r="F69" s="222"/>
      <c r="G69" s="222"/>
      <c r="H69" s="222"/>
      <c r="I69" s="232"/>
    </row>
    <row r="70" spans="1:9" x14ac:dyDescent="0.35">
      <c r="A70" s="225">
        <v>3</v>
      </c>
      <c r="B70" s="222"/>
      <c r="C70" s="222"/>
      <c r="D70" s="222"/>
      <c r="E70" s="222"/>
      <c r="F70" s="222"/>
      <c r="G70" s="222"/>
      <c r="H70" s="222"/>
      <c r="I70" s="232"/>
    </row>
    <row r="71" spans="1:9" x14ac:dyDescent="0.35">
      <c r="A71" s="225">
        <v>4</v>
      </c>
      <c r="B71" s="222"/>
      <c r="C71" s="222"/>
      <c r="D71" s="222"/>
      <c r="E71" s="222"/>
      <c r="F71" s="222"/>
      <c r="G71" s="222"/>
      <c r="H71" s="222"/>
      <c r="I71" s="232"/>
    </row>
    <row r="72" spans="1:9" x14ac:dyDescent="0.35">
      <c r="A72" s="225">
        <v>5</v>
      </c>
      <c r="B72" s="222"/>
      <c r="C72" s="222"/>
      <c r="D72" s="222"/>
      <c r="E72" s="222"/>
      <c r="F72" s="222"/>
      <c r="G72" s="222"/>
      <c r="H72" s="222"/>
      <c r="I72" s="232"/>
    </row>
    <row r="73" spans="1:9" x14ac:dyDescent="0.35">
      <c r="A73" s="225">
        <v>6</v>
      </c>
      <c r="B73" s="222"/>
      <c r="C73" s="222"/>
      <c r="D73" s="222"/>
      <c r="E73" s="222"/>
      <c r="F73" s="222"/>
      <c r="G73" s="222"/>
      <c r="H73" s="222"/>
      <c r="I73" s="232"/>
    </row>
    <row r="74" spans="1:9" x14ac:dyDescent="0.35">
      <c r="A74" s="225">
        <v>7</v>
      </c>
      <c r="B74" s="222"/>
      <c r="C74" s="222"/>
      <c r="D74" s="222"/>
      <c r="E74" s="222"/>
      <c r="F74" s="222"/>
      <c r="G74" s="222"/>
      <c r="H74" s="222"/>
      <c r="I74" s="232"/>
    </row>
    <row r="75" spans="1:9" x14ac:dyDescent="0.35">
      <c r="A75" s="225">
        <v>8</v>
      </c>
      <c r="B75" s="222"/>
      <c r="C75" s="222"/>
      <c r="D75" s="222"/>
      <c r="E75" s="222"/>
      <c r="F75" s="222"/>
      <c r="G75" s="222"/>
      <c r="H75" s="222"/>
      <c r="I75" s="232"/>
    </row>
    <row r="76" spans="1:9" x14ac:dyDescent="0.35">
      <c r="A76" s="225">
        <v>9</v>
      </c>
      <c r="B76" s="222"/>
      <c r="C76" s="222"/>
      <c r="D76" s="222"/>
      <c r="E76" s="222"/>
      <c r="F76" s="222"/>
      <c r="G76" s="222"/>
      <c r="H76" s="222"/>
      <c r="I76" s="232"/>
    </row>
    <row r="77" spans="1:9" x14ac:dyDescent="0.35">
      <c r="A77" s="225">
        <v>10</v>
      </c>
      <c r="B77" s="222"/>
      <c r="C77" s="222"/>
      <c r="D77" s="222"/>
      <c r="E77" s="222"/>
      <c r="F77" s="222"/>
      <c r="G77" s="222"/>
      <c r="H77" s="222"/>
      <c r="I77" s="232"/>
    </row>
    <row r="78" spans="1:9" x14ac:dyDescent="0.35">
      <c r="A78" s="225">
        <v>11</v>
      </c>
      <c r="B78" s="222"/>
      <c r="C78" s="222"/>
      <c r="D78" s="222"/>
      <c r="E78" s="222"/>
      <c r="F78" s="222"/>
      <c r="G78" s="222"/>
      <c r="H78" s="222"/>
      <c r="I78" s="232"/>
    </row>
    <row r="79" spans="1:9" x14ac:dyDescent="0.35">
      <c r="A79" s="225">
        <v>12</v>
      </c>
      <c r="B79" s="222"/>
      <c r="C79" s="222"/>
      <c r="D79" s="222"/>
      <c r="E79" s="222"/>
      <c r="F79" s="222"/>
      <c r="G79" s="222"/>
      <c r="H79" s="222"/>
      <c r="I79" s="232"/>
    </row>
    <row r="80" spans="1:9" x14ac:dyDescent="0.35">
      <c r="A80" s="225">
        <v>13</v>
      </c>
      <c r="B80" s="222"/>
      <c r="C80" s="222"/>
      <c r="D80" s="222"/>
      <c r="E80" s="222"/>
      <c r="F80" s="222"/>
      <c r="G80" s="222"/>
      <c r="H80" s="222"/>
      <c r="I80" s="232"/>
    </row>
    <row r="81" spans="1:9" x14ac:dyDescent="0.35">
      <c r="A81" s="225">
        <v>14</v>
      </c>
      <c r="B81" s="222"/>
      <c r="C81" s="222"/>
      <c r="D81" s="222"/>
      <c r="E81" s="222"/>
      <c r="F81" s="222"/>
      <c r="G81" s="222"/>
      <c r="H81" s="222"/>
      <c r="I81" s="232"/>
    </row>
    <row r="82" spans="1:9" x14ac:dyDescent="0.35">
      <c r="A82" s="225">
        <v>15</v>
      </c>
      <c r="B82" s="222"/>
      <c r="C82" s="222"/>
      <c r="D82" s="222"/>
      <c r="E82" s="222"/>
      <c r="F82" s="222"/>
      <c r="G82" s="222"/>
      <c r="H82" s="222"/>
      <c r="I82" s="232"/>
    </row>
    <row r="83" spans="1:9" x14ac:dyDescent="0.35">
      <c r="A83" s="225">
        <v>16</v>
      </c>
      <c r="B83" s="222"/>
      <c r="C83" s="222"/>
      <c r="D83" s="222"/>
      <c r="E83" s="222"/>
      <c r="F83" s="222"/>
      <c r="G83" s="222"/>
      <c r="H83" s="222"/>
      <c r="I83" s="232"/>
    </row>
    <row r="84" spans="1:9" x14ac:dyDescent="0.35">
      <c r="A84" s="225">
        <v>17</v>
      </c>
      <c r="B84" s="222"/>
      <c r="C84" s="222"/>
      <c r="D84" s="222"/>
      <c r="E84" s="222"/>
      <c r="F84" s="222"/>
      <c r="G84" s="222"/>
      <c r="H84" s="222"/>
      <c r="I84" s="232"/>
    </row>
    <row r="85" spans="1:9" x14ac:dyDescent="0.35">
      <c r="A85" s="225">
        <v>18</v>
      </c>
      <c r="B85" s="222"/>
      <c r="C85" s="222"/>
      <c r="D85" s="222"/>
      <c r="E85" s="222"/>
      <c r="F85" s="222"/>
      <c r="G85" s="222"/>
      <c r="H85" s="222"/>
      <c r="I85" s="232"/>
    </row>
    <row r="86" spans="1:9" x14ac:dyDescent="0.35">
      <c r="A86" s="225">
        <v>19</v>
      </c>
      <c r="B86" s="222"/>
      <c r="C86" s="222"/>
      <c r="D86" s="222"/>
      <c r="E86" s="222"/>
      <c r="F86" s="222"/>
      <c r="G86" s="222"/>
      <c r="H86" s="222"/>
      <c r="I86" s="232"/>
    </row>
    <row r="87" spans="1:9" ht="16" thickBot="1" x14ac:dyDescent="0.4">
      <c r="A87" s="226">
        <v>20</v>
      </c>
      <c r="B87" s="227"/>
      <c r="C87" s="227"/>
      <c r="D87" s="227"/>
      <c r="E87" s="227"/>
      <c r="F87" s="227"/>
      <c r="G87" s="227"/>
      <c r="H87" s="227"/>
      <c r="I87" s="232"/>
    </row>
  </sheetData>
  <sheetProtection algorithmName="SHA-512" hashValue="ezG/eBH88ctRm070SpALyzRt2zR4NPls4+PikH/hJY47/Cey5hVRk/9AQl43hc3UQngrzgoFuXeHry8baNzQXA==" saltValue="y9tco2G1dZyT9E0uwyfxvg==" spinCount="100000" sheet="1" formatColumns="0" formatRows="0"/>
  <mergeCells count="2">
    <mergeCell ref="A1:J1"/>
    <mergeCell ref="B6:C6"/>
  </mergeCells>
  <conditionalFormatting sqref="A36:B40">
    <cfRule type="expression" dxfId="25" priority="3">
      <formula>(A$23="No")</formula>
    </cfRule>
  </conditionalFormatting>
  <conditionalFormatting sqref="A63:B67">
    <cfRule type="expression" dxfId="24" priority="1">
      <formula>(A$23="No")</formula>
    </cfRule>
  </conditionalFormatting>
  <conditionalFormatting sqref="B14:H33">
    <cfRule type="expression" dxfId="23" priority="7">
      <formula>$A14&gt;B$12</formula>
    </cfRule>
  </conditionalFormatting>
  <conditionalFormatting sqref="B41:H60">
    <cfRule type="expression" dxfId="22" priority="6">
      <formula>$A41&gt;B$39</formula>
    </cfRule>
    <cfRule type="expression" dxfId="21" priority="9">
      <formula>(B$13="No")</formula>
    </cfRule>
  </conditionalFormatting>
  <conditionalFormatting sqref="B68:H87">
    <cfRule type="expression" dxfId="20" priority="31">
      <formula>$A68&gt;B$66</formula>
    </cfRule>
  </conditionalFormatting>
  <conditionalFormatting sqref="C9:H9 A9:B13 C11:H13 C36:H36 C38:H40 C63:H63 C65:H67">
    <cfRule type="expression" dxfId="19" priority="4">
      <formula>(A$23="No")</formula>
    </cfRule>
  </conditionalFormatting>
  <conditionalFormatting sqref="C10:H10 A14:H33 A68:H87">
    <cfRule type="expression" dxfId="18" priority="13">
      <formula>(A$13="No")</formula>
    </cfRule>
  </conditionalFormatting>
  <conditionalFormatting sqref="C37:H37 A41:A60 C64:H64">
    <cfRule type="expression" dxfId="17" priority="12">
      <formula>(A$13="No")</formula>
    </cfRule>
  </conditionalFormatting>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EC2F-97D1-489D-8A7D-ABD1A9EF8700}">
  <sheetPr codeName="Sheet15">
    <tabColor rgb="FFFFFF99"/>
    <pageSetUpPr fitToPage="1"/>
  </sheetPr>
  <dimension ref="A3:U64"/>
  <sheetViews>
    <sheetView showGridLines="0" zoomScaleNormal="100" workbookViewId="0"/>
  </sheetViews>
  <sheetFormatPr defaultColWidth="8.765625" defaultRowHeight="15.5" x14ac:dyDescent="0.35"/>
  <cols>
    <col min="1" max="1" width="12.4609375" style="55" customWidth="1"/>
    <col min="2" max="2" width="16.765625" style="55" customWidth="1"/>
    <col min="3" max="4" width="8.765625" style="55"/>
    <col min="5" max="6" width="8.765625" style="55" hidden="1" customWidth="1"/>
    <col min="7" max="7" width="16.765625" style="55" customWidth="1"/>
    <col min="8" max="8" width="15.23046875" style="55" customWidth="1"/>
    <col min="9" max="9" width="14.07421875" style="55" customWidth="1"/>
    <col min="10" max="10" width="13.07421875" style="55" customWidth="1"/>
    <col min="11" max="12" width="22" style="55" customWidth="1"/>
    <col min="13" max="13" width="13.07421875" style="55" customWidth="1"/>
    <col min="14" max="15" width="21" style="55" customWidth="1"/>
    <col min="16" max="16" width="13.07421875" style="55" customWidth="1"/>
    <col min="17" max="18" width="22" style="55" customWidth="1"/>
    <col min="19" max="19" width="13.07421875" style="55" customWidth="1"/>
    <col min="20" max="22" width="21" style="55" customWidth="1"/>
    <col min="23" max="25" width="13.07421875" style="55" customWidth="1"/>
    <col min="26" max="27" width="22" style="55" customWidth="1"/>
    <col min="28" max="28" width="13.07421875" style="55" customWidth="1"/>
    <col min="29" max="30" width="21" style="55" customWidth="1"/>
    <col min="31" max="31" width="13.07421875" style="55" customWidth="1"/>
    <col min="32" max="16384" width="8.765625" style="55"/>
  </cols>
  <sheetData>
    <row r="3" spans="1:21" ht="28.5" x14ac:dyDescent="0.65">
      <c r="A3" s="56" t="s">
        <v>215</v>
      </c>
    </row>
    <row r="4" spans="1:21" ht="21" x14ac:dyDescent="0.5">
      <c r="A4" s="57" t="str">
        <f>Instructions!$B$7</f>
        <v>Proposed Price Form</v>
      </c>
    </row>
    <row r="5" spans="1:21" ht="21" x14ac:dyDescent="0.5">
      <c r="A5" s="219" t="str">
        <f>Instructions!$B$9</f>
        <v>Region:</v>
      </c>
      <c r="B5" s="220" t="str">
        <f>Instructions!$C$9</f>
        <v>SRO2</v>
      </c>
    </row>
    <row r="6" spans="1:21" ht="21" x14ac:dyDescent="0.5">
      <c r="A6" s="220" t="str">
        <f>Instructions!B10</f>
        <v>Proposer:</v>
      </c>
      <c r="B6" s="220">
        <f>Instructions!C10</f>
        <v>0</v>
      </c>
    </row>
    <row r="7" spans="1:21" x14ac:dyDescent="0.35">
      <c r="A7" s="4"/>
    </row>
    <row r="9" spans="1:21" ht="21" x14ac:dyDescent="0.5">
      <c r="A9" s="69"/>
      <c r="B9" s="69"/>
      <c r="C9" s="69"/>
      <c r="D9" s="69"/>
      <c r="E9" s="69"/>
      <c r="F9" s="69"/>
      <c r="G9" s="476"/>
      <c r="H9" s="476"/>
      <c r="I9" s="476"/>
      <c r="J9" s="476"/>
      <c r="K9" s="320"/>
    </row>
    <row r="10" spans="1:21" ht="14.65" customHeight="1" x14ac:dyDescent="0.35">
      <c r="A10" s="477"/>
      <c r="B10" s="477"/>
      <c r="C10" s="477"/>
      <c r="D10" s="477"/>
      <c r="E10" s="477"/>
      <c r="F10" s="477"/>
      <c r="G10" s="477"/>
      <c r="H10" s="477"/>
      <c r="I10" s="477"/>
      <c r="J10" s="477"/>
      <c r="K10" s="477"/>
    </row>
    <row r="11" spans="1:21" ht="25.5" thickBot="1" x14ac:dyDescent="0.55000000000000004">
      <c r="A11" s="70" t="s">
        <v>216</v>
      </c>
    </row>
    <row r="12" spans="1:21" s="106" customFormat="1" ht="18.5" x14ac:dyDescent="0.45">
      <c r="A12" s="105"/>
      <c r="J12" s="473" t="s">
        <v>6</v>
      </c>
      <c r="K12" s="474"/>
      <c r="L12" s="474"/>
      <c r="M12" s="474"/>
      <c r="N12" s="474"/>
      <c r="O12" s="475"/>
      <c r="P12" s="473" t="s">
        <v>217</v>
      </c>
      <c r="Q12" s="474"/>
      <c r="R12" s="474"/>
      <c r="S12" s="474"/>
      <c r="T12" s="474"/>
      <c r="U12" s="475"/>
    </row>
    <row r="13" spans="1:21" s="106" customFormat="1" ht="19" thickBot="1" x14ac:dyDescent="0.5">
      <c r="A13" s="105"/>
      <c r="J13" s="471" t="str">
        <f>'Microgrid Proposal'!K$30</f>
        <v>SPPA, 0% Escalation</v>
      </c>
      <c r="K13" s="469"/>
      <c r="L13" s="472"/>
      <c r="M13" s="468" t="str">
        <f>'Microgrid Proposal'!N$30</f>
        <v>Solar Equipment Lease (SEL) Terms</v>
      </c>
      <c r="N13" s="469">
        <f>'Microgrid Proposal'!O30</f>
        <v>0</v>
      </c>
      <c r="O13" s="469">
        <f>'Microgrid Proposal'!P30</f>
        <v>0</v>
      </c>
      <c r="P13" s="471" t="str">
        <f>'Solar+Storage Proposal'!K$30</f>
        <v>SPPA, 0% Escalation</v>
      </c>
      <c r="Q13" s="469"/>
      <c r="R13" s="472"/>
      <c r="S13" s="468" t="str">
        <f>'Solar+Storage Proposal'!N$30</f>
        <v>Solar Equipment Lease (SEL) Terms</v>
      </c>
      <c r="T13" s="469"/>
      <c r="U13" s="470"/>
    </row>
    <row r="14" spans="1:21" ht="73" thickBot="1" x14ac:dyDescent="0.4">
      <c r="A14" s="324" t="str">
        <f>'Site Data'!A$6</f>
        <v>Site Number</v>
      </c>
      <c r="B14" s="478" t="str">
        <f>'Site Data'!B$6</f>
        <v>Site Name</v>
      </c>
      <c r="C14" s="478"/>
      <c r="D14" s="321" t="str">
        <f>'Site Data'!C$6</f>
        <v>Site ID</v>
      </c>
      <c r="E14" s="313" t="s">
        <v>26</v>
      </c>
      <c r="F14" s="325" t="str">
        <f>'Site Data'!AA$6</f>
        <v>Include</v>
      </c>
      <c r="G14" s="316" t="str">
        <f>'System Specification'!L$13</f>
        <v>Yr-1 Expected Production (kWh), Inclusive of Yr-1 Production Degradation</v>
      </c>
      <c r="H14" s="313" t="str">
        <f>'System Specification'!N$13</f>
        <v>Total Term Production (kWh)</v>
      </c>
      <c r="I14" s="325" t="s">
        <v>187</v>
      </c>
      <c r="J14" s="324" t="str">
        <f>'Microgrid Proposal'!K$31</f>
        <v>SPPA Price ($/kWh)</v>
      </c>
      <c r="K14" s="321" t="str">
        <f>'Microgrid Proposal'!L$31</f>
        <v>SPPA Price Adjustment per $25k Change from Assumed Project Development Costs (ITC-Eligible)</v>
      </c>
      <c r="L14" s="321" t="str">
        <f>'Microgrid Proposal'!M$31</f>
        <v>SPPA Price Adjustment per $25k Change from Assumed Project Development Costs (Non-ITC-Eligible)</v>
      </c>
      <c r="M14" s="321" t="str">
        <f>'Microgrid Proposal'!N$31</f>
        <v>Year-1 Monthly SEL Payment</v>
      </c>
      <c r="N14" s="321" t="str">
        <f>'Microgrid Proposal'!O$31</f>
        <v>Monthly SEL Payment Adjustment per $25k Change from Assumed Project Development Costs (ITC-Eligible)</v>
      </c>
      <c r="O14" s="313" t="str">
        <f>'Microgrid Proposal'!P$31</f>
        <v>Monthly SEL Payment Adjustment per $25k Change from Assumed Project Development Costs (Non-ITC-Eligible)</v>
      </c>
      <c r="P14" s="324" t="str">
        <f>'Solar+Storage Proposal'!K$31</f>
        <v>SPPA Price ($/kWh)</v>
      </c>
      <c r="Q14" s="321" t="str">
        <f>'Solar+Storage Proposal'!L$31</f>
        <v>SPPA Price Adjustment per $25k Change from Assumed Project Development Costs (ITC-Eligible)</v>
      </c>
      <c r="R14" s="321" t="str">
        <f>'Solar+Storage Proposal'!M$31</f>
        <v>SPPA Price Adjustment per $25k Change from Assumed Project Development Costs (Non-ITC-Eligible)</v>
      </c>
      <c r="S14" s="321" t="str">
        <f>'Solar+Storage Proposal'!N$31</f>
        <v>Year-1 Monthly SEL Payment</v>
      </c>
      <c r="T14" s="321" t="str">
        <f>'Solar+Storage Proposal'!O$31</f>
        <v>Monthly SEL Payment Adjustment per $25k Change from Assumed Project Development Costs (ITC-Eligible)</v>
      </c>
      <c r="U14" s="325" t="str">
        <f>'Solar+Storage Proposal'!P$31</f>
        <v>Monthly SEL Payment Adjustment per $25k Change from Assumed Project Development Costs (Non-ITC-Eligible)</v>
      </c>
    </row>
    <row r="15" spans="1:21" x14ac:dyDescent="0.35">
      <c r="A15" s="78">
        <v>1</v>
      </c>
      <c r="B15" s="479" t="str">
        <f>INDEX(Site_Data_Table,MATCH($A15,'Site Data'!$A$6:$A$13,0),MATCH(B$14,Site_Data_Column_Names,0))</f>
        <v>Imperial County Courthouse</v>
      </c>
      <c r="C15" s="480"/>
      <c r="D15" s="128" t="str">
        <f>INDEX(Site_Data_Table,MATCH($A15,'Site Data'!$A$6:$A$13,0),MATCH(D$14,Site_Data_Column_Names,0))</f>
        <v>13-A1</v>
      </c>
      <c r="E15" s="128" t="str">
        <f>INDEX(Site_Data_Table,MATCH($A15,'Site Data'!$A$6:$A$13,0),MATCH(E$14,Site_Data_Column_Names,0))</f>
        <v>SPPA</v>
      </c>
      <c r="F15" s="136" t="str">
        <f>INDEX(Site_Data_Table,MATCH($A15,'Site Data'!$A$6:$A$13,0),MATCH(F$14,Site_Data_Column_Names,0))</f>
        <v>Yes</v>
      </c>
      <c r="G15" s="391">
        <f>INDEX(Prod_Yr_1,MATCH('Summary &amp; Signature'!$A15,'System Specification'!$A$14:$A$20,0))</f>
        <v>0</v>
      </c>
      <c r="H15" s="392">
        <f>INDEX('System Specification'!$N$14:$N$20,MATCH('Summary &amp; Signature'!$A15,'System Specification'!$A$14:$A$20,0))</f>
        <v>0</v>
      </c>
      <c r="I15" s="115" t="str">
        <f>_xlfn.TEXTJOIN(" / ",1,INDEX('System Specification'!$O$14:$O$20,MATCH($A15,'System Specification'!$A$14:$A$20,0)),INDEX('System Specification'!$P$14:$P$20,MATCH($A15,'System Specification'!$A$14:$A$20,0)))</f>
        <v/>
      </c>
      <c r="J15" s="238" t="str">
        <f>_xlfn.LET(_xlpm.proposed_value,INDEX('Microgrid Proposal'!K$32:K$38,MATCH($A15,'Microgrid Proposal'!$A$32:$A$38,0)),
IF($E15="SPPA",IF(_xlpm.proposed_value="","",_xlpm.proposed_value),"N/A"))</f>
        <v/>
      </c>
      <c r="K15" s="240" t="str">
        <f>_xlfn.LET(_xlpm.proposed_value,INDEX('Microgrid Proposal'!L$32:L$38,MATCH($A15,'Microgrid Proposal'!$A$32:$A$38,0)),
IF($E15="SPPA",IF(_xlpm.proposed_value="","",_xlpm.proposed_value),"N/A"))</f>
        <v/>
      </c>
      <c r="L15" s="240" t="str">
        <f>_xlfn.LET(_xlpm.proposed_value,INDEX('Microgrid Proposal'!M$32:M$38,MATCH($A15,'Microgrid Proposal'!$A$32:$A$38,0)),
IF($E15="SPPA",IF(_xlpm.proposed_value="","",_xlpm.proposed_value),"N/A"))</f>
        <v/>
      </c>
      <c r="M15" s="239" t="str">
        <f>_xlfn.LET(_xlpm.proposed_value,INDEX('Microgrid Proposal'!N$32:N$38,MATCH($A15,'Microgrid Proposal'!$A$32:$A$38,0)),
IF($E15="SEL",IF(_xlpm.proposed_value="","",_xlpm.proposed_value),"N/A"))</f>
        <v>N/A</v>
      </c>
      <c r="N15" s="239" t="str">
        <f>_xlfn.LET(_xlpm.proposed_value,INDEX('Microgrid Proposal'!O$32:O$38,MATCH($A15,'Microgrid Proposal'!$A$32:$A$38,0)),
IF($E15="SEL",IF(_xlpm.proposed_value="","",_xlpm.proposed_value),"N/A"))</f>
        <v>N/A</v>
      </c>
      <c r="O15" s="241" t="str">
        <f>_xlfn.LET(_xlpm.proposed_value,INDEX('Microgrid Proposal'!P$32:P$38,MATCH($A15,'Microgrid Proposal'!$A$32:$A$38,0)),
IF($E15="SEL",IF(_xlpm.proposed_value="","",_xlpm.proposed_value),"N/A"))</f>
        <v>N/A</v>
      </c>
      <c r="P15" s="242" t="str">
        <f>_xlfn.LET(_xlpm.proposed_value,INDEX('Solar+Storage Proposal'!K$32:K$38,MATCH($A15,'Solar+Storage Proposal'!$A$32:$A$38,0)),
IF($E15="SPPA",IF(_xlpm.proposed_value="","",_xlpm.proposed_value),"N/A"))</f>
        <v/>
      </c>
      <c r="Q15" s="240" t="str">
        <f>_xlfn.LET(_xlpm.proposed_value,INDEX('Solar+Storage Proposal'!L$32:L$38,MATCH($A15,'Solar+Storage Proposal'!$A$32:$A$38,0)),
IF($E15="SPPA",IF(_xlpm.proposed_value="","",_xlpm.proposed_value),"N/A"))</f>
        <v/>
      </c>
      <c r="R15" s="240" t="str">
        <f>_xlfn.LET(_xlpm.proposed_value,INDEX('Solar+Storage Proposal'!M$32:M$38,MATCH($A15,'Solar+Storage Proposal'!$A$32:$A$38,0)),
IF($E15="SPPA",IF(_xlpm.proposed_value="","",_xlpm.proposed_value),"N/A"))</f>
        <v/>
      </c>
      <c r="S15" s="239" t="str">
        <f>_xlfn.LET(_xlpm.proposed_value,INDEX('Solar+Storage Proposal'!N$32:N$38,MATCH($A15,'Solar+Storage Proposal'!$A$32:$A$38,0)),
IF($E15="SEL",IF(_xlpm.proposed_value="","",_xlpm.proposed_value),"N/A"))</f>
        <v>N/A</v>
      </c>
      <c r="T15" s="239" t="str">
        <f>_xlfn.LET(_xlpm.proposed_value,INDEX('Solar+Storage Proposal'!O$32:O$38,MATCH($A15,'Solar+Storage Proposal'!$A$32:$A$38,0)),
IF($E15="SEL",IF(_xlpm.proposed_value="","",_xlpm.proposed_value),"N/A"))</f>
        <v>N/A</v>
      </c>
      <c r="U15" s="243" t="str">
        <f>_xlfn.LET(_xlpm.proposed_value,INDEX('Solar+Storage Proposal'!P$32:P$38,MATCH($A15,'Solar+Storage Proposal'!$A$32:$A$38,0)),
IF($E15="SEL",IF(_xlpm.proposed_value="","",_xlpm.proposed_value),"N/A"))</f>
        <v>N/A</v>
      </c>
    </row>
    <row r="16" spans="1:21" ht="15.4" customHeight="1" x14ac:dyDescent="0.35">
      <c r="A16" s="44">
        <v>2</v>
      </c>
      <c r="B16" s="481" t="str">
        <f>INDEX(Site_Data_Table,MATCH($A16,'Site Data'!$A$6:$A$13,0),MATCH(B$14,Site_Data_Column_Names,0))</f>
        <v>Pomona Courthouse South</v>
      </c>
      <c r="C16" s="482"/>
      <c r="D16" s="126" t="str">
        <f>INDEX(Site_Data_Table,MATCH($A16,'Site Data'!$A$6:$A$13,0),MATCH(D$14,Site_Data_Column_Names,0))</f>
        <v>19-W1</v>
      </c>
      <c r="E16" s="71" t="str">
        <f>INDEX(Site_Data_Table,MATCH($A16,'Site Data'!$A$6:$A$13,0),MATCH(E$14,Site_Data_Column_Names,0))</f>
        <v>SPPA</v>
      </c>
      <c r="F16" s="104" t="str">
        <f>INDEX(Site_Data_Table,MATCH($A16,'Site Data'!$A$6:$A$13,0),MATCH(F$14,Site_Data_Column_Names,0))</f>
        <v>Yes</v>
      </c>
      <c r="G16" s="393">
        <f>INDEX(Prod_Yr_1,MATCH('Summary &amp; Signature'!$A16,'System Specification'!$A$14:$A$20,0))</f>
        <v>0</v>
      </c>
      <c r="H16" s="394">
        <f>INDEX('System Specification'!$N$14:$N$20,MATCH('Summary &amp; Signature'!$A16,'System Specification'!$A$14:$A$20,0))</f>
        <v>0</v>
      </c>
      <c r="I16" s="395" t="str">
        <f>_xlfn.TEXTJOIN(" / ",1,INDEX('System Specification'!$O$14:$O$20,MATCH($A16,'System Specification'!$A$14:$A$20,0)),INDEX('System Specification'!$P$14:$P$20,MATCH($A16,'System Specification'!$A$14:$A$20,0)))</f>
        <v/>
      </c>
      <c r="J16" s="244" t="str">
        <f>_xlfn.LET(_xlpm.proposed_value,INDEX('Microgrid Proposal'!K$32:K$38,MATCH($A16,'Microgrid Proposal'!$A$32:$A$38,0)),
IF($E16="SPPA",IF(_xlpm.proposed_value="","",_xlpm.proposed_value),"N/A"))</f>
        <v/>
      </c>
      <c r="K16" s="246" t="str">
        <f>_xlfn.LET(_xlpm.proposed_value,INDEX('Microgrid Proposal'!L$32:L$38,MATCH($A16,'Microgrid Proposal'!$A$32:$A$38,0)),
IF($E16="SPPA",IF(_xlpm.proposed_value="","",_xlpm.proposed_value),"N/A"))</f>
        <v/>
      </c>
      <c r="L16" s="246" t="str">
        <f>_xlfn.LET(_xlpm.proposed_value,INDEX('Microgrid Proposal'!M$32:M$38,MATCH($A16,'Microgrid Proposal'!$A$32:$A$38,0)),
IF($E16="SPPA",IF(_xlpm.proposed_value="","",_xlpm.proposed_value),"N/A"))</f>
        <v/>
      </c>
      <c r="M16" s="245" t="str">
        <f>_xlfn.LET(_xlpm.proposed_value,INDEX('Microgrid Proposal'!N$32:N$38,MATCH($A16,'Microgrid Proposal'!$A$32:$A$38,0)),
IF($E16="SEL",IF(_xlpm.proposed_value="","",_xlpm.proposed_value),"N/A"))</f>
        <v>N/A</v>
      </c>
      <c r="N16" s="245" t="str">
        <f>_xlfn.LET(_xlpm.proposed_value,INDEX('Microgrid Proposal'!O$32:O$38,MATCH($A16,'Microgrid Proposal'!$A$32:$A$38,0)),
IF($E16="SEL",IF(_xlpm.proposed_value="","",_xlpm.proposed_value),"N/A"))</f>
        <v>N/A</v>
      </c>
      <c r="O16" s="247" t="str">
        <f>_xlfn.LET(_xlpm.proposed_value,INDEX('Microgrid Proposal'!P$32:P$38,MATCH($A16,'Microgrid Proposal'!$A$32:$A$38,0)),
IF($E16="SEL",IF(_xlpm.proposed_value="","",_xlpm.proposed_value),"N/A"))</f>
        <v>N/A</v>
      </c>
      <c r="P16" s="248" t="str">
        <f>_xlfn.LET(_xlpm.proposed_value,INDEX('Solar+Storage Proposal'!K$32:K$38,MATCH($A16,'Solar+Storage Proposal'!$A$32:$A$38,0)),
IF($E16="SPPA",IF(_xlpm.proposed_value="","",_xlpm.proposed_value),"N/A"))</f>
        <v/>
      </c>
      <c r="Q16" s="246" t="str">
        <f>_xlfn.LET(_xlpm.proposed_value,INDEX('Solar+Storage Proposal'!L$32:L$38,MATCH($A16,'Solar+Storage Proposal'!$A$32:$A$38,0)),
IF($E16="SPPA",IF(_xlpm.proposed_value="","",_xlpm.proposed_value),"N/A"))</f>
        <v/>
      </c>
      <c r="R16" s="246" t="str">
        <f>_xlfn.LET(_xlpm.proposed_value,INDEX('Solar+Storage Proposal'!M$32:M$38,MATCH($A16,'Solar+Storage Proposal'!$A$32:$A$38,0)),
IF($E16="SPPA",IF(_xlpm.proposed_value="","",_xlpm.proposed_value),"N/A"))</f>
        <v/>
      </c>
      <c r="S16" s="245" t="str">
        <f>_xlfn.LET(_xlpm.proposed_value,INDEX('Solar+Storage Proposal'!N$32:N$38,MATCH($A16,'Solar+Storage Proposal'!$A$32:$A$38,0)),
IF($E16="SEL",IF(_xlpm.proposed_value="","",_xlpm.proposed_value),"N/A"))</f>
        <v>N/A</v>
      </c>
      <c r="T16" s="245" t="str">
        <f>_xlfn.LET(_xlpm.proposed_value,INDEX('Solar+Storage Proposal'!O$32:O$38,MATCH($A16,'Solar+Storage Proposal'!$A$32:$A$38,0)),
IF($E16="SEL",IF(_xlpm.proposed_value="","",_xlpm.proposed_value),"N/A"))</f>
        <v>N/A</v>
      </c>
      <c r="U16" s="249" t="str">
        <f>_xlfn.LET(_xlpm.proposed_value,INDEX('Solar+Storage Proposal'!P$32:P$38,MATCH($A16,'Solar+Storage Proposal'!$A$32:$A$38,0)),
IF($E16="SEL",IF(_xlpm.proposed_value="","",_xlpm.proposed_value),"N/A"))</f>
        <v>N/A</v>
      </c>
    </row>
    <row r="17" spans="1:21" ht="15.4" customHeight="1" x14ac:dyDescent="0.35">
      <c r="A17" s="44">
        <v>3</v>
      </c>
      <c r="B17" s="481" t="str">
        <f>INDEX(Site_Data_Table,MATCH($A17,'Site Data'!$A$6:$A$13,0),MATCH(B$14,Site_Data_Column_Names,0))</f>
        <v>Banning Justice Center</v>
      </c>
      <c r="C17" s="482"/>
      <c r="D17" s="126" t="str">
        <f>INDEX(Site_Data_Table,MATCH($A17,'Site Data'!$A$6:$A$13,0),MATCH(D$14,Site_Data_Column_Names,0))</f>
        <v>33-G4</v>
      </c>
      <c r="E17" s="71" t="str">
        <f>INDEX(Site_Data_Table,MATCH($A17,'Site Data'!$A$6:$A$13,0),MATCH(E$14,Site_Data_Column_Names,0))</f>
        <v>SEL</v>
      </c>
      <c r="F17" s="104" t="str">
        <f>INDEX(Site_Data_Table,MATCH($A17,'Site Data'!$A$6:$A$13,0),MATCH(F$14,Site_Data_Column_Names,0))</f>
        <v>Yes</v>
      </c>
      <c r="G17" s="393">
        <f>INDEX(Prod_Yr_1,MATCH('Summary &amp; Signature'!$A17,'System Specification'!$A$14:$A$20,0))</f>
        <v>0</v>
      </c>
      <c r="H17" s="394">
        <f>INDEX('System Specification'!$N$14:$N$20,MATCH('Summary &amp; Signature'!$A17,'System Specification'!$A$14:$A$20,0))</f>
        <v>0</v>
      </c>
      <c r="I17" s="395" t="str">
        <f>_xlfn.TEXTJOIN(" / ",1,INDEX('System Specification'!$O$14:$O$20,MATCH($A17,'System Specification'!$A$14:$A$20,0)),INDEX('System Specification'!$P$14:$P$20,MATCH($A17,'System Specification'!$A$14:$A$20,0)))</f>
        <v/>
      </c>
      <c r="J17" s="244" t="str">
        <f>_xlfn.LET(_xlpm.proposed_value,INDEX('Microgrid Proposal'!K$32:K$38,MATCH($A17,'Microgrid Proposal'!$A$32:$A$38,0)),
IF($E17="SPPA",IF(_xlpm.proposed_value="","",_xlpm.proposed_value),"N/A"))</f>
        <v>N/A</v>
      </c>
      <c r="K17" s="246" t="str">
        <f>_xlfn.LET(_xlpm.proposed_value,INDEX('Microgrid Proposal'!L$32:L$38,MATCH($A17,'Microgrid Proposal'!$A$32:$A$38,0)),
IF($E17="SPPA",IF(_xlpm.proposed_value="","",_xlpm.proposed_value),"N/A"))</f>
        <v>N/A</v>
      </c>
      <c r="L17" s="246" t="str">
        <f>_xlfn.LET(_xlpm.proposed_value,INDEX('Microgrid Proposal'!M$32:M$38,MATCH($A17,'Microgrid Proposal'!$A$32:$A$38,0)),
IF($E17="SPPA",IF(_xlpm.proposed_value="","",_xlpm.proposed_value),"N/A"))</f>
        <v>N/A</v>
      </c>
      <c r="M17" s="245" t="str">
        <f>_xlfn.LET(_xlpm.proposed_value,INDEX('Microgrid Proposal'!N$32:N$38,MATCH($A17,'Microgrid Proposal'!$A$32:$A$38,0)),
IF($E17="SEL",IF(_xlpm.proposed_value="","",_xlpm.proposed_value),"N/A"))</f>
        <v/>
      </c>
      <c r="N17" s="245" t="str">
        <f>_xlfn.LET(_xlpm.proposed_value,INDEX('Microgrid Proposal'!O$32:O$38,MATCH($A17,'Microgrid Proposal'!$A$32:$A$38,0)),
IF($E17="SEL",IF(_xlpm.proposed_value="","",_xlpm.proposed_value),"N/A"))</f>
        <v/>
      </c>
      <c r="O17" s="247" t="str">
        <f>_xlfn.LET(_xlpm.proposed_value,INDEX('Microgrid Proposal'!P$32:P$38,MATCH($A17,'Microgrid Proposal'!$A$32:$A$38,0)),
IF($E17="SEL",IF(_xlpm.proposed_value="","",_xlpm.proposed_value),"N/A"))</f>
        <v/>
      </c>
      <c r="P17" s="248" t="str">
        <f>_xlfn.LET(_xlpm.proposed_value,INDEX('Solar+Storage Proposal'!K$32:K$38,MATCH($A17,'Solar+Storage Proposal'!$A$32:$A$38,0)),
IF($E17="SPPA",IF(_xlpm.proposed_value="","",_xlpm.proposed_value),"N/A"))</f>
        <v>N/A</v>
      </c>
      <c r="Q17" s="246" t="str">
        <f>_xlfn.LET(_xlpm.proposed_value,INDEX('Solar+Storage Proposal'!L$32:L$38,MATCH($A17,'Solar+Storage Proposal'!$A$32:$A$38,0)),
IF($E17="SPPA",IF(_xlpm.proposed_value="","",_xlpm.proposed_value),"N/A"))</f>
        <v>N/A</v>
      </c>
      <c r="R17" s="246" t="str">
        <f>_xlfn.LET(_xlpm.proposed_value,INDEX('Solar+Storage Proposal'!M$32:M$38,MATCH($A17,'Solar+Storage Proposal'!$A$32:$A$38,0)),
IF($E17="SPPA",IF(_xlpm.proposed_value="","",_xlpm.proposed_value),"N/A"))</f>
        <v>N/A</v>
      </c>
      <c r="S17" s="245" t="str">
        <f>_xlfn.LET(_xlpm.proposed_value,INDEX('Solar+Storage Proposal'!N$32:N$38,MATCH($A17,'Solar+Storage Proposal'!$A$32:$A$38,0)),
IF($E17="SEL",IF(_xlpm.proposed_value="","",_xlpm.proposed_value),"N/A"))</f>
        <v/>
      </c>
      <c r="T17" s="245" t="str">
        <f>_xlfn.LET(_xlpm.proposed_value,INDEX('Solar+Storage Proposal'!O$32:O$38,MATCH($A17,'Solar+Storage Proposal'!$A$32:$A$38,0)),
IF($E17="SEL",IF(_xlpm.proposed_value="","",_xlpm.proposed_value),"N/A"))</f>
        <v/>
      </c>
      <c r="U17" s="249" t="str">
        <f>_xlfn.LET(_xlpm.proposed_value,INDEX('Solar+Storage Proposal'!P$32:P$38,MATCH($A17,'Solar+Storage Proposal'!$A$32:$A$38,0)),
IF($E17="SEL",IF(_xlpm.proposed_value="","",_xlpm.proposed_value),"N/A"))</f>
        <v/>
      </c>
    </row>
    <row r="18" spans="1:21" x14ac:dyDescent="0.35">
      <c r="A18" s="44">
        <v>4</v>
      </c>
      <c r="B18" s="481" t="str">
        <f>INDEX(Site_Data_Table,MATCH($A18,'Site Data'!$A$6:$A$13,0),MATCH(B$14,Site_Data_Column_Names,0))</f>
        <v>San Bernardino Justice Center</v>
      </c>
      <c r="C18" s="482"/>
      <c r="D18" s="126" t="str">
        <f>INDEX(Site_Data_Table,MATCH($A18,'Site Data'!$A$6:$A$13,0),MATCH(D$14,Site_Data_Column_Names,0))</f>
        <v>36-R1</v>
      </c>
      <c r="E18" s="71" t="str">
        <f>INDEX(Site_Data_Table,MATCH($A18,'Site Data'!$A$6:$A$13,0),MATCH(E$14,Site_Data_Column_Names,0))</f>
        <v>SPPA</v>
      </c>
      <c r="F18" s="104" t="str">
        <f>INDEX(Site_Data_Table,MATCH($A18,'Site Data'!$A$6:$A$13,0),MATCH(F$14,Site_Data_Column_Names,0))</f>
        <v>Yes</v>
      </c>
      <c r="G18" s="393">
        <f>INDEX(Prod_Yr_1,MATCH('Summary &amp; Signature'!$A18,'System Specification'!$A$14:$A$20,0))</f>
        <v>0</v>
      </c>
      <c r="H18" s="394">
        <f>INDEX('System Specification'!$N$14:$N$20,MATCH('Summary &amp; Signature'!$A18,'System Specification'!$A$14:$A$20,0))</f>
        <v>0</v>
      </c>
      <c r="I18" s="395" t="str">
        <f>_xlfn.TEXTJOIN(" / ",1,INDEX('System Specification'!$O$14:$O$20,MATCH($A18,'System Specification'!$A$14:$A$20,0)),INDEX('System Specification'!$P$14:$P$20,MATCH($A18,'System Specification'!$A$14:$A$20,0)))</f>
        <v/>
      </c>
      <c r="J18" s="244" t="str">
        <f>_xlfn.LET(_xlpm.proposed_value,INDEX('Microgrid Proposal'!K$32:K$38,MATCH($A18,'Microgrid Proposal'!$A$32:$A$38,0)),
IF($E18="SPPA",IF(_xlpm.proposed_value="","",_xlpm.proposed_value),"N/A"))</f>
        <v/>
      </c>
      <c r="K18" s="246" t="str">
        <f>_xlfn.LET(_xlpm.proposed_value,INDEX('Microgrid Proposal'!L$32:L$38,MATCH($A18,'Microgrid Proposal'!$A$32:$A$38,0)),
IF($E18="SPPA",IF(_xlpm.proposed_value="","",_xlpm.proposed_value),"N/A"))</f>
        <v/>
      </c>
      <c r="L18" s="246" t="str">
        <f>_xlfn.LET(_xlpm.proposed_value,INDEX('Microgrid Proposal'!M$32:M$38,MATCH($A18,'Microgrid Proposal'!$A$32:$A$38,0)),
IF($E18="SPPA",IF(_xlpm.proposed_value="","",_xlpm.proposed_value),"N/A"))</f>
        <v/>
      </c>
      <c r="M18" s="245" t="str">
        <f>_xlfn.LET(_xlpm.proposed_value,INDEX('Microgrid Proposal'!N$32:N$38,MATCH($A18,'Microgrid Proposal'!$A$32:$A$38,0)),
IF($E18="SEL",IF(_xlpm.proposed_value="","",_xlpm.proposed_value),"N/A"))</f>
        <v>N/A</v>
      </c>
      <c r="N18" s="245" t="str">
        <f>_xlfn.LET(_xlpm.proposed_value,INDEX('Microgrid Proposal'!O$32:O$38,MATCH($A18,'Microgrid Proposal'!$A$32:$A$38,0)),
IF($E18="SEL",IF(_xlpm.proposed_value="","",_xlpm.proposed_value),"N/A"))</f>
        <v>N/A</v>
      </c>
      <c r="O18" s="247" t="str">
        <f>_xlfn.LET(_xlpm.proposed_value,INDEX('Microgrid Proposal'!P$32:P$38,MATCH($A18,'Microgrid Proposal'!$A$32:$A$38,0)),
IF($E18="SEL",IF(_xlpm.proposed_value="","",_xlpm.proposed_value),"N/A"))</f>
        <v>N/A</v>
      </c>
      <c r="P18" s="248" t="str">
        <f>_xlfn.LET(_xlpm.proposed_value,INDEX('Solar+Storage Proposal'!K$32:K$38,MATCH($A18,'Solar+Storage Proposal'!$A$32:$A$38,0)),
IF($E18="SPPA",IF(_xlpm.proposed_value="","",_xlpm.proposed_value),"N/A"))</f>
        <v/>
      </c>
      <c r="Q18" s="246" t="str">
        <f>_xlfn.LET(_xlpm.proposed_value,INDEX('Solar+Storage Proposal'!L$32:L$38,MATCH($A18,'Solar+Storage Proposal'!$A$32:$A$38,0)),
IF($E18="SPPA",IF(_xlpm.proposed_value="","",_xlpm.proposed_value),"N/A"))</f>
        <v/>
      </c>
      <c r="R18" s="246" t="str">
        <f>_xlfn.LET(_xlpm.proposed_value,INDEX('Solar+Storage Proposal'!M$32:M$38,MATCH($A18,'Solar+Storage Proposal'!$A$32:$A$38,0)),
IF($E18="SPPA",IF(_xlpm.proposed_value="","",_xlpm.proposed_value),"N/A"))</f>
        <v/>
      </c>
      <c r="S18" s="245" t="str">
        <f>_xlfn.LET(_xlpm.proposed_value,INDEX('Solar+Storage Proposal'!N$32:N$38,MATCH($A18,'Solar+Storage Proposal'!$A$32:$A$38,0)),
IF($E18="SEL",IF(_xlpm.proposed_value="","",_xlpm.proposed_value),"N/A"))</f>
        <v>N/A</v>
      </c>
      <c r="T18" s="245" t="str">
        <f>_xlfn.LET(_xlpm.proposed_value,INDEX('Solar+Storage Proposal'!O$32:O$38,MATCH($A18,'Solar+Storage Proposal'!$A$32:$A$38,0)),
IF($E18="SEL",IF(_xlpm.proposed_value="","",_xlpm.proposed_value),"N/A"))</f>
        <v>N/A</v>
      </c>
      <c r="U18" s="249" t="str">
        <f>_xlfn.LET(_xlpm.proposed_value,INDEX('Solar+Storage Proposal'!P$32:P$38,MATCH($A18,'Solar+Storage Proposal'!$A$32:$A$38,0)),
IF($E18="SEL",IF(_xlpm.proposed_value="","",_xlpm.proposed_value),"N/A"))</f>
        <v>N/A</v>
      </c>
    </row>
    <row r="19" spans="1:21" ht="15.4" customHeight="1" x14ac:dyDescent="0.35">
      <c r="A19" s="44">
        <v>5</v>
      </c>
      <c r="B19" s="481" t="str">
        <f>INDEX(Site_Data_Table,MATCH($A19,'Site Data'!$A$6:$A$13,0),MATCH(B$14,Site_Data_Column_Names,0))</f>
        <v>Kearny Mesa Court</v>
      </c>
      <c r="C19" s="482"/>
      <c r="D19" s="126" t="str">
        <f>INDEX(Site_Data_Table,MATCH($A19,'Site Data'!$A$6:$A$13,0),MATCH(D$14,Site_Data_Column_Names,0))</f>
        <v>37-C1</v>
      </c>
      <c r="E19" s="71" t="str">
        <f>INDEX(Site_Data_Table,MATCH($A19,'Site Data'!$A$6:$A$13,0),MATCH(E$14,Site_Data_Column_Names,0))</f>
        <v>SPPA</v>
      </c>
      <c r="F19" s="104" t="str">
        <f>INDEX(Site_Data_Table,MATCH($A19,'Site Data'!$A$6:$A$13,0),MATCH(F$14,Site_Data_Column_Names,0))</f>
        <v>Yes</v>
      </c>
      <c r="G19" s="393">
        <f>INDEX(Prod_Yr_1,MATCH('Summary &amp; Signature'!$A19,'System Specification'!$A$14:$A$20,0))</f>
        <v>0</v>
      </c>
      <c r="H19" s="394">
        <f>INDEX('System Specification'!$N$14:$N$20,MATCH('Summary &amp; Signature'!$A19,'System Specification'!$A$14:$A$20,0))</f>
        <v>0</v>
      </c>
      <c r="I19" s="395" t="str">
        <f>_xlfn.TEXTJOIN(" / ",1,INDEX('System Specification'!$O$14:$O$20,MATCH($A19,'System Specification'!$A$14:$A$20,0)),INDEX('System Specification'!$P$14:$P$20,MATCH($A19,'System Specification'!$A$14:$A$20,0)))</f>
        <v/>
      </c>
      <c r="J19" s="244" t="str">
        <f>_xlfn.LET(_xlpm.proposed_value,INDEX('Microgrid Proposal'!K$32:K$38,MATCH($A19,'Microgrid Proposal'!$A$32:$A$38,0)),
IF($E19="SPPA",IF(_xlpm.proposed_value="","",_xlpm.proposed_value),"N/A"))</f>
        <v/>
      </c>
      <c r="K19" s="246" t="str">
        <f>_xlfn.LET(_xlpm.proposed_value,INDEX('Microgrid Proposal'!L$32:L$38,MATCH($A19,'Microgrid Proposal'!$A$32:$A$38,0)),
IF($E19="SPPA",IF(_xlpm.proposed_value="","",_xlpm.proposed_value),"N/A"))</f>
        <v/>
      </c>
      <c r="L19" s="246" t="str">
        <f>_xlfn.LET(_xlpm.proposed_value,INDEX('Microgrid Proposal'!M$32:M$38,MATCH($A19,'Microgrid Proposal'!$A$32:$A$38,0)),
IF($E19="SPPA",IF(_xlpm.proposed_value="","",_xlpm.proposed_value),"N/A"))</f>
        <v/>
      </c>
      <c r="M19" s="245" t="str">
        <f>_xlfn.LET(_xlpm.proposed_value,INDEX('Microgrid Proposal'!N$32:N$38,MATCH($A19,'Microgrid Proposal'!$A$32:$A$38,0)),
IF($E19="SEL",IF(_xlpm.proposed_value="","",_xlpm.proposed_value),"N/A"))</f>
        <v>N/A</v>
      </c>
      <c r="N19" s="245" t="str">
        <f>_xlfn.LET(_xlpm.proposed_value,INDEX('Microgrid Proposal'!O$32:O$38,MATCH($A19,'Microgrid Proposal'!$A$32:$A$38,0)),
IF($E19="SEL",IF(_xlpm.proposed_value="","",_xlpm.proposed_value),"N/A"))</f>
        <v>N/A</v>
      </c>
      <c r="O19" s="247" t="str">
        <f>_xlfn.LET(_xlpm.proposed_value,INDEX('Microgrid Proposal'!P$32:P$38,MATCH($A19,'Microgrid Proposal'!$A$32:$A$38,0)),
IF($E19="SEL",IF(_xlpm.proposed_value="","",_xlpm.proposed_value),"N/A"))</f>
        <v>N/A</v>
      </c>
      <c r="P19" s="248" t="str">
        <f>_xlfn.LET(_xlpm.proposed_value,INDEX('Solar+Storage Proposal'!K$32:K$38,MATCH($A19,'Solar+Storage Proposal'!$A$32:$A$38,0)),
IF($E19="SPPA",IF(_xlpm.proposed_value="","",_xlpm.proposed_value),"N/A"))</f>
        <v/>
      </c>
      <c r="Q19" s="246" t="str">
        <f>_xlfn.LET(_xlpm.proposed_value,INDEX('Solar+Storage Proposal'!L$32:L$38,MATCH($A19,'Solar+Storage Proposal'!$A$32:$A$38,0)),
IF($E19="SPPA",IF(_xlpm.proposed_value="","",_xlpm.proposed_value),"N/A"))</f>
        <v/>
      </c>
      <c r="R19" s="246" t="str">
        <f>_xlfn.LET(_xlpm.proposed_value,INDEX('Solar+Storage Proposal'!M$32:M$38,MATCH($A19,'Solar+Storage Proposal'!$A$32:$A$38,0)),
IF($E19="SPPA",IF(_xlpm.proposed_value="","",_xlpm.proposed_value),"N/A"))</f>
        <v/>
      </c>
      <c r="S19" s="245" t="str">
        <f>_xlfn.LET(_xlpm.proposed_value,INDEX('Solar+Storage Proposal'!N$32:N$38,MATCH($A19,'Solar+Storage Proposal'!$A$32:$A$38,0)),
IF($E19="SEL",IF(_xlpm.proposed_value="","",_xlpm.proposed_value),"N/A"))</f>
        <v>N/A</v>
      </c>
      <c r="T19" s="245" t="str">
        <f>_xlfn.LET(_xlpm.proposed_value,INDEX('Solar+Storage Proposal'!O$32:O$38,MATCH($A19,'Solar+Storage Proposal'!$A$32:$A$38,0)),
IF($E19="SEL",IF(_xlpm.proposed_value="","",_xlpm.proposed_value),"N/A"))</f>
        <v>N/A</v>
      </c>
      <c r="U19" s="249" t="str">
        <f>_xlfn.LET(_xlpm.proposed_value,INDEX('Solar+Storage Proposal'!P$32:P$38,MATCH($A19,'Solar+Storage Proposal'!$A$32:$A$38,0)),
IF($E19="SEL",IF(_xlpm.proposed_value="","",_xlpm.proposed_value),"N/A"))</f>
        <v>N/A</v>
      </c>
    </row>
    <row r="20" spans="1:21" ht="15.4" customHeight="1" x14ac:dyDescent="0.35">
      <c r="A20" s="44">
        <v>6</v>
      </c>
      <c r="B20" s="481" t="str">
        <f>INDEX(Site_Data_Table,MATCH($A20,'Site Data'!$A$6:$A$13,0),MATCH(B$14,Site_Data_Column_Names,0))</f>
        <v>East County Regional Center</v>
      </c>
      <c r="C20" s="482"/>
      <c r="D20" s="126" t="str">
        <f>INDEX(Site_Data_Table,MATCH($A20,'Site Data'!$A$6:$A$13,0),MATCH(D$14,Site_Data_Column_Names,0))</f>
        <v>37-I1</v>
      </c>
      <c r="E20" s="71" t="str">
        <f>INDEX(Site_Data_Table,MATCH($A20,'Site Data'!$A$6:$A$13,0),MATCH(E$14,Site_Data_Column_Names,0))</f>
        <v>SPPA</v>
      </c>
      <c r="F20" s="104" t="str">
        <f>INDEX(Site_Data_Table,MATCH($A20,'Site Data'!$A$6:$A$13,0),MATCH(F$14,Site_Data_Column_Names,0))</f>
        <v>Yes</v>
      </c>
      <c r="G20" s="393">
        <f>INDEX(Prod_Yr_1,MATCH('Summary &amp; Signature'!$A20,'System Specification'!$A$14:$A$20,0))</f>
        <v>0</v>
      </c>
      <c r="H20" s="394">
        <f>INDEX('System Specification'!$N$14:$N$20,MATCH('Summary &amp; Signature'!$A20,'System Specification'!$A$14:$A$20,0))</f>
        <v>0</v>
      </c>
      <c r="I20" s="395" t="str">
        <f>_xlfn.TEXTJOIN(" / ",1,INDEX('System Specification'!$O$14:$O$20,MATCH($A20,'System Specification'!$A$14:$A$20,0)),INDEX('System Specification'!$P$14:$P$20,MATCH($A20,'System Specification'!$A$14:$A$20,0)))</f>
        <v/>
      </c>
      <c r="J20" s="244" t="str">
        <f>_xlfn.LET(_xlpm.proposed_value,INDEX('Microgrid Proposal'!K$32:K$38,MATCH($A20,'Microgrid Proposal'!$A$32:$A$38,0)),
IF($E20="SPPA",IF(_xlpm.proposed_value="","",_xlpm.proposed_value),"N/A"))</f>
        <v/>
      </c>
      <c r="K20" s="246" t="str">
        <f>_xlfn.LET(_xlpm.proposed_value,INDEX('Microgrid Proposal'!L$32:L$38,MATCH($A20,'Microgrid Proposal'!$A$32:$A$38,0)),
IF($E20="SPPA",IF(_xlpm.proposed_value="","",_xlpm.proposed_value),"N/A"))</f>
        <v/>
      </c>
      <c r="L20" s="246" t="str">
        <f>_xlfn.LET(_xlpm.proposed_value,INDEX('Microgrid Proposal'!M$32:M$38,MATCH($A20,'Microgrid Proposal'!$A$32:$A$38,0)),
IF($E20="SPPA",IF(_xlpm.proposed_value="","",_xlpm.proposed_value),"N/A"))</f>
        <v/>
      </c>
      <c r="M20" s="245" t="str">
        <f>_xlfn.LET(_xlpm.proposed_value,INDEX('Microgrid Proposal'!N$32:N$38,MATCH($A20,'Microgrid Proposal'!$A$32:$A$38,0)),
IF($E20="SEL",IF(_xlpm.proposed_value="","",_xlpm.proposed_value),"N/A"))</f>
        <v>N/A</v>
      </c>
      <c r="N20" s="245" t="str">
        <f>_xlfn.LET(_xlpm.proposed_value,INDEX('Microgrid Proposal'!O$32:O$38,MATCH($A20,'Microgrid Proposal'!$A$32:$A$38,0)),
IF($E20="SEL",IF(_xlpm.proposed_value="","",_xlpm.proposed_value),"N/A"))</f>
        <v>N/A</v>
      </c>
      <c r="O20" s="247" t="str">
        <f>_xlfn.LET(_xlpm.proposed_value,INDEX('Microgrid Proposal'!P$32:P$38,MATCH($A20,'Microgrid Proposal'!$A$32:$A$38,0)),
IF($E20="SEL",IF(_xlpm.proposed_value="","",_xlpm.proposed_value),"N/A"))</f>
        <v>N/A</v>
      </c>
      <c r="P20" s="248" t="str">
        <f>_xlfn.LET(_xlpm.proposed_value,INDEX('Solar+Storage Proposal'!K$32:K$38,MATCH($A20,'Solar+Storage Proposal'!$A$32:$A$38,0)),
IF($E20="SPPA",IF(_xlpm.proposed_value="","",_xlpm.proposed_value),"N/A"))</f>
        <v/>
      </c>
      <c r="Q20" s="246" t="str">
        <f>_xlfn.LET(_xlpm.proposed_value,INDEX('Solar+Storage Proposal'!L$32:L$38,MATCH($A20,'Solar+Storage Proposal'!$A$32:$A$38,0)),
IF($E20="SPPA",IF(_xlpm.proposed_value="","",_xlpm.proposed_value),"N/A"))</f>
        <v/>
      </c>
      <c r="R20" s="246" t="str">
        <f>_xlfn.LET(_xlpm.proposed_value,INDEX('Solar+Storage Proposal'!M$32:M$38,MATCH($A20,'Solar+Storage Proposal'!$A$32:$A$38,0)),
IF($E20="SPPA",IF(_xlpm.proposed_value="","",_xlpm.proposed_value),"N/A"))</f>
        <v/>
      </c>
      <c r="S20" s="245" t="str">
        <f>_xlfn.LET(_xlpm.proposed_value,INDEX('Solar+Storage Proposal'!N$32:N$38,MATCH($A20,'Solar+Storage Proposal'!$A$32:$A$38,0)),
IF($E20="SEL",IF(_xlpm.proposed_value="","",_xlpm.proposed_value),"N/A"))</f>
        <v>N/A</v>
      </c>
      <c r="T20" s="245" t="str">
        <f>_xlfn.LET(_xlpm.proposed_value,INDEX('Solar+Storage Proposal'!O$32:O$38,MATCH($A20,'Solar+Storage Proposal'!$A$32:$A$38,0)),
IF($E20="SEL",IF(_xlpm.proposed_value="","",_xlpm.proposed_value),"N/A"))</f>
        <v>N/A</v>
      </c>
      <c r="U20" s="249" t="str">
        <f>_xlfn.LET(_xlpm.proposed_value,INDEX('Solar+Storage Proposal'!P$32:P$38,MATCH($A20,'Solar+Storage Proposal'!$A$32:$A$38,0)),
IF($E20="SEL",IF(_xlpm.proposed_value="","",_xlpm.proposed_value),"N/A"))</f>
        <v>N/A</v>
      </c>
    </row>
    <row r="21" spans="1:21" ht="16" thickBot="1" x14ac:dyDescent="0.4">
      <c r="A21" s="44">
        <v>7</v>
      </c>
      <c r="B21" s="481" t="str">
        <f>INDEX(Site_Data_Table,MATCH($A21,'Site Data'!$A$6:$A$13,0),MATCH(B$14,Site_Data_Column_Names,0))</f>
        <v>Santa Ana Courthouse</v>
      </c>
      <c r="C21" s="482"/>
      <c r="D21" s="126" t="str">
        <f>INDEX(Site_Data_Table,MATCH($A21,'Site Data'!$A$6:$A$13,0),MATCH(D$14,Site_Data_Column_Names,0))</f>
        <v>64-E1</v>
      </c>
      <c r="E21" s="71" t="str">
        <f>INDEX(Site_Data_Table,MATCH($A21,'Site Data'!$A$6:$A$13,0),MATCH(E$14,Site_Data_Column_Names,0))</f>
        <v>SPPA</v>
      </c>
      <c r="F21" s="104" t="str">
        <f>INDEX(Site_Data_Table,MATCH($A21,'Site Data'!$A$6:$A$13,0),MATCH(F$14,Site_Data_Column_Names,0))</f>
        <v>Yes</v>
      </c>
      <c r="G21" s="393">
        <f>INDEX(Prod_Yr_1,MATCH('Summary &amp; Signature'!$A21,'System Specification'!$A$14:$A$20,0))</f>
        <v>0</v>
      </c>
      <c r="H21" s="394">
        <f>INDEX('System Specification'!$N$14:$N$20,MATCH('Summary &amp; Signature'!$A21,'System Specification'!$A$14:$A$20,0))</f>
        <v>0</v>
      </c>
      <c r="I21" s="395" t="str">
        <f>_xlfn.TEXTJOIN(" / ",1,INDEX('System Specification'!$O$14:$O$20,MATCH($A21,'System Specification'!$A$14:$A$20,0)),INDEX('System Specification'!$P$14:$P$20,MATCH($A21,'System Specification'!$A$14:$A$20,0)))</f>
        <v/>
      </c>
      <c r="J21" s="244" t="str">
        <f>_xlfn.LET(_xlpm.proposed_value,INDEX('Microgrid Proposal'!K$32:K$38,MATCH($A21,'Microgrid Proposal'!$A$32:$A$38,0)),
IF($E21="SPPA",IF(_xlpm.proposed_value="","",_xlpm.proposed_value),"N/A"))</f>
        <v/>
      </c>
      <c r="K21" s="246" t="str">
        <f>_xlfn.LET(_xlpm.proposed_value,INDEX('Microgrid Proposal'!L$32:L$38,MATCH($A21,'Microgrid Proposal'!$A$32:$A$38,0)),
IF($E21="SPPA",IF(_xlpm.proposed_value="","",_xlpm.proposed_value),"N/A"))</f>
        <v/>
      </c>
      <c r="L21" s="246" t="str">
        <f>_xlfn.LET(_xlpm.proposed_value,INDEX('Microgrid Proposal'!M$32:M$38,MATCH($A21,'Microgrid Proposal'!$A$32:$A$38,0)),
IF($E21="SPPA",IF(_xlpm.proposed_value="","",_xlpm.proposed_value),"N/A"))</f>
        <v/>
      </c>
      <c r="M21" s="245" t="str">
        <f>_xlfn.LET(_xlpm.proposed_value,INDEX('Microgrid Proposal'!N$32:N$38,MATCH($A21,'Microgrid Proposal'!$A$32:$A$38,0)),
IF($E21="SEL",IF(_xlpm.proposed_value="","",_xlpm.proposed_value),"N/A"))</f>
        <v>N/A</v>
      </c>
      <c r="N21" s="245" t="str">
        <f>_xlfn.LET(_xlpm.proposed_value,INDEX('Microgrid Proposal'!O$32:O$38,MATCH($A21,'Microgrid Proposal'!$A$32:$A$38,0)),
IF($E21="SEL",IF(_xlpm.proposed_value="","",_xlpm.proposed_value),"N/A"))</f>
        <v>N/A</v>
      </c>
      <c r="O21" s="247" t="str">
        <f>_xlfn.LET(_xlpm.proposed_value,INDEX('Microgrid Proposal'!P$32:P$38,MATCH($A21,'Microgrid Proposal'!$A$32:$A$38,0)),
IF($E21="SEL",IF(_xlpm.proposed_value="","",_xlpm.proposed_value),"N/A"))</f>
        <v>N/A</v>
      </c>
      <c r="P21" s="248" t="str">
        <f>_xlfn.LET(_xlpm.proposed_value,INDEX('Solar+Storage Proposal'!K$32:K$38,MATCH($A21,'Solar+Storage Proposal'!$A$32:$A$38,0)),
IF($E21="SPPA",IF(_xlpm.proposed_value="","",_xlpm.proposed_value),"N/A"))</f>
        <v/>
      </c>
      <c r="Q21" s="246" t="str">
        <f>_xlfn.LET(_xlpm.proposed_value,INDEX('Solar+Storage Proposal'!L$32:L$38,MATCH($A21,'Solar+Storage Proposal'!$A$32:$A$38,0)),
IF($E21="SPPA",IF(_xlpm.proposed_value="","",_xlpm.proposed_value),"N/A"))</f>
        <v/>
      </c>
      <c r="R21" s="246" t="str">
        <f>_xlfn.LET(_xlpm.proposed_value,INDEX('Solar+Storage Proposal'!M$32:M$38,MATCH($A21,'Solar+Storage Proposal'!$A$32:$A$38,0)),
IF($E21="SPPA",IF(_xlpm.proposed_value="","",_xlpm.proposed_value),"N/A"))</f>
        <v/>
      </c>
      <c r="S21" s="245" t="str">
        <f>_xlfn.LET(_xlpm.proposed_value,INDEX('Solar+Storage Proposal'!N$32:N$38,MATCH($A21,'Solar+Storage Proposal'!$A$32:$A$38,0)),
IF($E21="SEL",IF(_xlpm.proposed_value="","",_xlpm.proposed_value),"N/A"))</f>
        <v>N/A</v>
      </c>
      <c r="T21" s="245" t="str">
        <f>_xlfn.LET(_xlpm.proposed_value,INDEX('Solar+Storage Proposal'!O$32:O$38,MATCH($A21,'Solar+Storage Proposal'!$A$32:$A$38,0)),
IF($E21="SEL",IF(_xlpm.proposed_value="","",_xlpm.proposed_value),"N/A"))</f>
        <v>N/A</v>
      </c>
      <c r="U21" s="249" t="str">
        <f>_xlfn.LET(_xlpm.proposed_value,INDEX('Solar+Storage Proposal'!P$32:P$38,MATCH($A21,'Solar+Storage Proposal'!$A$32:$A$38,0)),
IF($E21="SEL",IF(_xlpm.proposed_value="","",_xlpm.proposed_value),"N/A"))</f>
        <v>N/A</v>
      </c>
    </row>
    <row r="22" spans="1:21" ht="16" thickBot="1" x14ac:dyDescent="0.4">
      <c r="A22" s="207"/>
      <c r="B22" s="207"/>
      <c r="C22" s="208" t="s">
        <v>218</v>
      </c>
      <c r="D22" s="208"/>
      <c r="E22" s="208"/>
      <c r="F22" s="208"/>
      <c r="G22" s="396">
        <f>SUMIFS(G15:G21,$F15:$F21,"Yes")</f>
        <v>0</v>
      </c>
      <c r="H22" s="397">
        <f>SUMIFS(H15:H21,$F15:$F21,"Yes")</f>
        <v>0</v>
      </c>
      <c r="I22" s="398"/>
      <c r="J22" s="399" t="e">
        <f>IF('Microgrid Proposal'!K39="","",'Microgrid Proposal'!K39)</f>
        <v>#DIV/0!</v>
      </c>
      <c r="K22" s="400" t="e">
        <f>IF('Microgrid Proposal'!L39="","",'Microgrid Proposal'!L39)</f>
        <v>#DIV/0!</v>
      </c>
      <c r="L22" s="400" t="e">
        <f>IF('Microgrid Proposal'!M39="","",'Microgrid Proposal'!M39)</f>
        <v>#DIV/0!</v>
      </c>
      <c r="M22" s="401">
        <f>IF('Microgrid Proposal'!N39="","",'Microgrid Proposal'!N39)</f>
        <v>0</v>
      </c>
      <c r="N22" s="402" t="e">
        <f>IF('Microgrid Proposal'!O39="","",'Microgrid Proposal'!O39)</f>
        <v>#DIV/0!</v>
      </c>
      <c r="O22" s="402" t="e">
        <f>IF('Microgrid Proposal'!P39="","",'Microgrid Proposal'!P39)</f>
        <v>#DIV/0!</v>
      </c>
      <c r="P22" s="403" t="e">
        <f>IF('Solar+Storage Proposal'!K39="","",'Solar+Storage Proposal'!K39)</f>
        <v>#DIV/0!</v>
      </c>
      <c r="Q22" s="400" t="e">
        <f>IF('Solar+Storage Proposal'!L39="","",'Solar+Storage Proposal'!L39)</f>
        <v>#DIV/0!</v>
      </c>
      <c r="R22" s="400" t="e">
        <f>IF('Solar+Storage Proposal'!M39="","",'Solar+Storage Proposal'!M39)</f>
        <v>#DIV/0!</v>
      </c>
      <c r="S22" s="401">
        <f>IF('Solar+Storage Proposal'!N39="","",'Solar+Storage Proposal'!N39)</f>
        <v>0</v>
      </c>
      <c r="T22" s="402" t="e">
        <f>IF('Solar+Storage Proposal'!O39="","",'Solar+Storage Proposal'!O39)</f>
        <v>#DIV/0!</v>
      </c>
      <c r="U22" s="404" t="e">
        <f>IF('Solar+Storage Proposal'!P39="","",'Solar+Storage Proposal'!P39)</f>
        <v>#DIV/0!</v>
      </c>
    </row>
    <row r="23" spans="1:21" x14ac:dyDescent="0.35">
      <c r="A23" s="405"/>
    </row>
    <row r="24" spans="1:21" ht="25.5" thickBot="1" x14ac:dyDescent="0.55000000000000004">
      <c r="A24" s="70" t="s">
        <v>219</v>
      </c>
    </row>
    <row r="25" spans="1:21" s="106" customFormat="1" ht="19" thickBot="1" x14ac:dyDescent="0.5">
      <c r="A25" s="105"/>
      <c r="J25" s="497" t="s">
        <v>220</v>
      </c>
      <c r="K25" s="498"/>
      <c r="L25" s="498"/>
      <c r="M25" s="498"/>
      <c r="N25" s="498"/>
      <c r="O25" s="499"/>
    </row>
    <row r="26" spans="1:21" s="106" customFormat="1" ht="19" thickBot="1" x14ac:dyDescent="0.5">
      <c r="A26" s="105"/>
      <c r="J26" s="500" t="str">
        <f>'Solar-Only Proposal'!J$30</f>
        <v>SPPA, 0% Escalation</v>
      </c>
      <c r="K26" s="501"/>
      <c r="L26" s="501"/>
      <c r="M26" s="468" t="str">
        <f>'Solar-Only Proposal'!M$30</f>
        <v>Solar Equipment Lease (SEL) Terms</v>
      </c>
      <c r="N26" s="469"/>
      <c r="O26" s="470"/>
    </row>
    <row r="27" spans="1:21" ht="73" thickBot="1" x14ac:dyDescent="0.4">
      <c r="A27" s="324" t="str">
        <f>'Site Data'!A$6</f>
        <v>Site Number</v>
      </c>
      <c r="B27" s="478" t="str">
        <f>'Site Data'!B$6</f>
        <v>Site Name</v>
      </c>
      <c r="C27" s="478"/>
      <c r="D27" s="321" t="str">
        <f>'Site Data'!C$6</f>
        <v>Site ID</v>
      </c>
      <c r="E27" s="313" t="s">
        <v>26</v>
      </c>
      <c r="F27" s="325" t="str">
        <f>'Site Data'!AA$6</f>
        <v>Include</v>
      </c>
      <c r="G27" s="316" t="str">
        <f>'System Specification'!L$13</f>
        <v>Yr-1 Expected Production (kWh), Inclusive of Yr-1 Production Degradation</v>
      </c>
      <c r="H27" s="313" t="str">
        <f>'System Specification'!N$13</f>
        <v>Total Term Production (kWh)</v>
      </c>
      <c r="I27" s="325" t="s">
        <v>187</v>
      </c>
      <c r="J27" s="324" t="str">
        <f>'Solar-Only Proposal'!J$31</f>
        <v>SPPA Price ($/kWh)</v>
      </c>
      <c r="K27" s="321" t="str">
        <f>'Solar-Only Proposal'!K$31</f>
        <v>SPPA Price Adjustment per $25k Change from Assumed Project Development Costs (ITC-Eligible)</v>
      </c>
      <c r="L27" s="321" t="str">
        <f>'Solar-Only Proposal'!L$31</f>
        <v>SPPA Price Adjustment per $25k Change from Assumed Project Development Costs (Non-ITC-Eligible)</v>
      </c>
      <c r="M27" s="321" t="str">
        <f>'Solar-Only Proposal'!M$31</f>
        <v>Year-1 Monthly SEL Payment</v>
      </c>
      <c r="N27" s="321" t="str">
        <f>'Solar-Only Proposal'!N$31</f>
        <v>Monthly SEL Payment Adjustment per $25k Change from Assumed Project Development Costs (ITC-Eligible)</v>
      </c>
      <c r="O27" s="325" t="str">
        <f>'Solar-Only Proposal'!O$31</f>
        <v>Monthly SEL Payment Adjustment per $25k Change from Assumed Project Development Costs (Non-ITC-Eligible)</v>
      </c>
    </row>
    <row r="28" spans="1:21" x14ac:dyDescent="0.35">
      <c r="A28" s="78">
        <v>1</v>
      </c>
      <c r="B28" s="479" t="str">
        <f>INDEX(Site_Data_Table,MATCH($A28,'Site Data'!$A$6:$A$13,0),MATCH(B$14,Site_Data_Column_Names,0))</f>
        <v>Imperial County Courthouse</v>
      </c>
      <c r="C28" s="480"/>
      <c r="D28" s="128" t="str">
        <f>INDEX(Site_Data_Table,MATCH($A28,'Site Data'!$A$6:$A$13,0),MATCH(D$14,Site_Data_Column_Names,0))</f>
        <v>13-A1</v>
      </c>
      <c r="E28" s="128" t="str">
        <f>INDEX(Site_Data_Table,MATCH($A28,'Site Data'!$A$6:$A$13,0),MATCH(E$14,Site_Data_Column_Names,0))</f>
        <v>SPPA</v>
      </c>
      <c r="F28" s="136" t="str">
        <f>INDEX(Site_Data_Table,MATCH($A28,'Site Data'!$A$6:$A$13,0),MATCH(F$14,Site_Data_Column_Names,0))</f>
        <v>Yes</v>
      </c>
      <c r="G28" s="391">
        <f>INDEX(Prod_Yr_1_PV_Only,MATCH('Summary &amp; Signature'!$A28,'System Specification'!$A$14:$A$20,0))</f>
        <v>0</v>
      </c>
      <c r="H28" s="392">
        <f>INDEX('System Specification'!$J$14:$J$20,MATCH('Summary &amp; Signature'!$A28,'System Specification'!$A$14:$A$20,0))</f>
        <v>0</v>
      </c>
      <c r="I28" s="115" t="s">
        <v>45</v>
      </c>
      <c r="J28" s="242" t="str">
        <f>_xlfn.LET(_xlpm.proposed_value,INDEX('Solar-Only Proposal'!J$32:J$38,MATCH($A28,'Solar-Only Proposal'!$A$32:$A$38,0)),
IF($E28="SPPA",IF(_xlpm.proposed_value="","",_xlpm.proposed_value),"N/A"))</f>
        <v/>
      </c>
      <c r="K28" s="240" t="str">
        <f>_xlfn.LET(_xlpm.proposed_value,INDEX('Solar-Only Proposal'!K$32:K$38,MATCH($A28,'Solar-Only Proposal'!$A$32:$A$38,0)),
IF($E28="SPPA",IF(_xlpm.proposed_value="","",_xlpm.proposed_value),"N/A"))</f>
        <v/>
      </c>
      <c r="L28" s="240" t="str">
        <f>_xlfn.LET(_xlpm.proposed_value,INDEX('Solar-Only Proposal'!L$32:L$38,MATCH($A28,'Solar-Only Proposal'!$A$32:$A$38,0)),
IF($E28="SPPA",IF(_xlpm.proposed_value="","",_xlpm.proposed_value),"N/A"))</f>
        <v/>
      </c>
      <c r="M28" s="239" t="str">
        <f>_xlfn.LET(_xlpm.proposed_value,INDEX('Solar-Only Proposal'!M$32:M$38,MATCH($A28,'Solar-Only Proposal'!$A$32:$A$38,0)),
IF($E28="SEL",IF(_xlpm.proposed_value="","",_xlpm.proposed_value),"N/A"))</f>
        <v>N/A</v>
      </c>
      <c r="N28" s="239" t="str">
        <f>_xlfn.LET(_xlpm.proposed_value,INDEX('Solar-Only Proposal'!N$32:N$38,MATCH($A28,'Solar-Only Proposal'!$A$32:$A$38,0)),
IF($E28="SEL",IF(_xlpm.proposed_value="","",_xlpm.proposed_value),"N/A"))</f>
        <v>N/A</v>
      </c>
      <c r="O28" s="243" t="str">
        <f>_xlfn.LET(_xlpm.proposed_value,INDEX('Solar-Only Proposal'!O$32:O$38,MATCH($A28,'Solar-Only Proposal'!$A$32:$A$38,0)),
IF($E28="SEL",IF(_xlpm.proposed_value="","",_xlpm.proposed_value),"N/A"))</f>
        <v>N/A</v>
      </c>
    </row>
    <row r="29" spans="1:21" ht="15.4" customHeight="1" x14ac:dyDescent="0.35">
      <c r="A29" s="44">
        <v>2</v>
      </c>
      <c r="B29" s="481" t="str">
        <f>INDEX(Site_Data_Table,MATCH($A29,'Site Data'!$A$6:$A$13,0),MATCH(B$14,Site_Data_Column_Names,0))</f>
        <v>Pomona Courthouse South</v>
      </c>
      <c r="C29" s="482"/>
      <c r="D29" s="126" t="str">
        <f>INDEX(Site_Data_Table,MATCH($A29,'Site Data'!$A$6:$A$13,0),MATCH(D$14,Site_Data_Column_Names,0))</f>
        <v>19-W1</v>
      </c>
      <c r="E29" s="71" t="str">
        <f>INDEX(Site_Data_Table,MATCH($A29,'Site Data'!$A$6:$A$13,0),MATCH(E$14,Site_Data_Column_Names,0))</f>
        <v>SPPA</v>
      </c>
      <c r="F29" s="104" t="str">
        <f>INDEX(Site_Data_Table,MATCH($A29,'Site Data'!$A$6:$A$13,0),MATCH(F$14,Site_Data_Column_Names,0))</f>
        <v>Yes</v>
      </c>
      <c r="G29" s="393">
        <f>INDEX(Prod_Yr_1_PV_Only,MATCH('Summary &amp; Signature'!$A29,'System Specification'!$A$14:$A$20,0))</f>
        <v>0</v>
      </c>
      <c r="H29" s="394">
        <f>INDEX('System Specification'!$J$14:$J$20,MATCH('Summary &amp; Signature'!$A29,'System Specification'!$A$14:$A$20,0))</f>
        <v>0</v>
      </c>
      <c r="I29" s="147" t="s">
        <v>45</v>
      </c>
      <c r="J29" s="248" t="str">
        <f>_xlfn.LET(_xlpm.proposed_value,INDEX('Solar-Only Proposal'!J$32:J$38,MATCH($A29,'Solar-Only Proposal'!$A$32:$A$38,0)),
IF($E29="SPPA",IF(_xlpm.proposed_value="","",_xlpm.proposed_value),"N/A"))</f>
        <v/>
      </c>
      <c r="K29" s="246" t="str">
        <f>_xlfn.LET(_xlpm.proposed_value,INDEX('Solar-Only Proposal'!K$32:K$38,MATCH($A29,'Solar-Only Proposal'!$A$32:$A$38,0)),
IF($E29="SPPA",IF(_xlpm.proposed_value="","",_xlpm.proposed_value),"N/A"))</f>
        <v/>
      </c>
      <c r="L29" s="246" t="str">
        <f>_xlfn.LET(_xlpm.proposed_value,INDEX('Solar-Only Proposal'!L$32:L$38,MATCH($A29,'Solar-Only Proposal'!$A$32:$A$38,0)),
IF($E29="SPPA",IF(_xlpm.proposed_value="","",_xlpm.proposed_value),"N/A"))</f>
        <v/>
      </c>
      <c r="M29" s="245" t="str">
        <f>_xlfn.LET(_xlpm.proposed_value,INDEX('Solar-Only Proposal'!M$32:M$38,MATCH($A29,'Solar-Only Proposal'!$A$32:$A$38,0)),
IF($E29="SEL",IF(_xlpm.proposed_value="","",_xlpm.proposed_value),"N/A"))</f>
        <v>N/A</v>
      </c>
      <c r="N29" s="245" t="str">
        <f>_xlfn.LET(_xlpm.proposed_value,INDEX('Solar-Only Proposal'!N$32:N$38,MATCH($A29,'Solar-Only Proposal'!$A$32:$A$38,0)),
IF($E29="SEL",IF(_xlpm.proposed_value="","",_xlpm.proposed_value),"N/A"))</f>
        <v>N/A</v>
      </c>
      <c r="O29" s="249" t="str">
        <f>_xlfn.LET(_xlpm.proposed_value,INDEX('Solar-Only Proposal'!O$32:O$38,MATCH($A29,'Solar-Only Proposal'!$A$32:$A$38,0)),
IF($E29="SEL",IF(_xlpm.proposed_value="","",_xlpm.proposed_value),"N/A"))</f>
        <v>N/A</v>
      </c>
    </row>
    <row r="30" spans="1:21" ht="15.4" customHeight="1" x14ac:dyDescent="0.35">
      <c r="A30" s="44">
        <v>3</v>
      </c>
      <c r="B30" s="481" t="str">
        <f>INDEX(Site_Data_Table,MATCH($A30,'Site Data'!$A$6:$A$13,0),MATCH(B$14,Site_Data_Column_Names,0))</f>
        <v>Banning Justice Center</v>
      </c>
      <c r="C30" s="482"/>
      <c r="D30" s="126" t="str">
        <f>INDEX(Site_Data_Table,MATCH($A30,'Site Data'!$A$6:$A$13,0),MATCH(D$14,Site_Data_Column_Names,0))</f>
        <v>33-G4</v>
      </c>
      <c r="E30" s="71" t="str">
        <f>INDEX(Site_Data_Table,MATCH($A30,'Site Data'!$A$6:$A$13,0),MATCH(E$14,Site_Data_Column_Names,0))</f>
        <v>SEL</v>
      </c>
      <c r="F30" s="104" t="str">
        <f>INDEX(Site_Data_Table,MATCH($A30,'Site Data'!$A$6:$A$13,0),MATCH(F$14,Site_Data_Column_Names,0))</f>
        <v>Yes</v>
      </c>
      <c r="G30" s="393">
        <f>INDEX(Prod_Yr_1_PV_Only,MATCH('Summary &amp; Signature'!$A30,'System Specification'!$A$14:$A$20,0))</f>
        <v>0</v>
      </c>
      <c r="H30" s="394">
        <f>INDEX('System Specification'!$J$14:$J$20,MATCH('Summary &amp; Signature'!$A30,'System Specification'!$A$14:$A$20,0))</f>
        <v>0</v>
      </c>
      <c r="I30" s="147" t="s">
        <v>45</v>
      </c>
      <c r="J30" s="248" t="str">
        <f>_xlfn.LET(_xlpm.proposed_value,INDEX('Solar-Only Proposal'!J$32:J$38,MATCH($A30,'Solar-Only Proposal'!$A$32:$A$38,0)),
IF($E30="SPPA",IF(_xlpm.proposed_value="","",_xlpm.proposed_value),"N/A"))</f>
        <v>N/A</v>
      </c>
      <c r="K30" s="246" t="str">
        <f>_xlfn.LET(_xlpm.proposed_value,INDEX('Solar-Only Proposal'!K$32:K$38,MATCH($A30,'Solar-Only Proposal'!$A$32:$A$38,0)),
IF($E30="SPPA",IF(_xlpm.proposed_value="","",_xlpm.proposed_value),"N/A"))</f>
        <v>N/A</v>
      </c>
      <c r="L30" s="246" t="str">
        <f>_xlfn.LET(_xlpm.proposed_value,INDEX('Solar-Only Proposal'!L$32:L$38,MATCH($A30,'Solar-Only Proposal'!$A$32:$A$38,0)),
IF($E30="SPPA",IF(_xlpm.proposed_value="","",_xlpm.proposed_value),"N/A"))</f>
        <v>N/A</v>
      </c>
      <c r="M30" s="245" t="str">
        <f>_xlfn.LET(_xlpm.proposed_value,INDEX('Solar-Only Proposal'!M$32:M$38,MATCH($A30,'Solar-Only Proposal'!$A$32:$A$38,0)),
IF($E30="SEL",IF(_xlpm.proposed_value="","",_xlpm.proposed_value),"N/A"))</f>
        <v/>
      </c>
      <c r="N30" s="245" t="str">
        <f>_xlfn.LET(_xlpm.proposed_value,INDEX('Solar-Only Proposal'!N$32:N$38,MATCH($A30,'Solar-Only Proposal'!$A$32:$A$38,0)),
IF($E30="SEL",IF(_xlpm.proposed_value="","",_xlpm.proposed_value),"N/A"))</f>
        <v/>
      </c>
      <c r="O30" s="249" t="str">
        <f>_xlfn.LET(_xlpm.proposed_value,INDEX('Solar-Only Proposal'!O$32:O$38,MATCH($A30,'Solar-Only Proposal'!$A$32:$A$38,0)),
IF($E30="SEL",IF(_xlpm.proposed_value="","",_xlpm.proposed_value),"N/A"))</f>
        <v/>
      </c>
    </row>
    <row r="31" spans="1:21" x14ac:dyDescent="0.35">
      <c r="A31" s="44">
        <v>4</v>
      </c>
      <c r="B31" s="481" t="str">
        <f>INDEX(Site_Data_Table,MATCH($A31,'Site Data'!$A$6:$A$13,0),MATCH(B$14,Site_Data_Column_Names,0))</f>
        <v>San Bernardino Justice Center</v>
      </c>
      <c r="C31" s="482"/>
      <c r="D31" s="126" t="str">
        <f>INDEX(Site_Data_Table,MATCH($A31,'Site Data'!$A$6:$A$13,0),MATCH(D$14,Site_Data_Column_Names,0))</f>
        <v>36-R1</v>
      </c>
      <c r="E31" s="71" t="str">
        <f>INDEX(Site_Data_Table,MATCH($A31,'Site Data'!$A$6:$A$13,0),MATCH(E$14,Site_Data_Column_Names,0))</f>
        <v>SPPA</v>
      </c>
      <c r="F31" s="104" t="str">
        <f>INDEX(Site_Data_Table,MATCH($A31,'Site Data'!$A$6:$A$13,0),MATCH(F$14,Site_Data_Column_Names,0))</f>
        <v>Yes</v>
      </c>
      <c r="G31" s="393">
        <f>INDEX(Prod_Yr_1_PV_Only,MATCH('Summary &amp; Signature'!$A31,'System Specification'!$A$14:$A$20,0))</f>
        <v>0</v>
      </c>
      <c r="H31" s="394">
        <f>INDEX('System Specification'!$J$14:$J$20,MATCH('Summary &amp; Signature'!$A31,'System Specification'!$A$14:$A$20,0))</f>
        <v>0</v>
      </c>
      <c r="I31" s="147" t="s">
        <v>45</v>
      </c>
      <c r="J31" s="248" t="str">
        <f>_xlfn.LET(_xlpm.proposed_value,INDEX('Solar-Only Proposal'!J$32:J$38,MATCH($A31,'Solar-Only Proposal'!$A$32:$A$38,0)),
IF($E31="SPPA",IF(_xlpm.proposed_value="","",_xlpm.proposed_value),"N/A"))</f>
        <v/>
      </c>
      <c r="K31" s="246" t="str">
        <f>_xlfn.LET(_xlpm.proposed_value,INDEX('Solar-Only Proposal'!K$32:K$38,MATCH($A31,'Solar-Only Proposal'!$A$32:$A$38,0)),
IF($E31="SPPA",IF(_xlpm.proposed_value="","",_xlpm.proposed_value),"N/A"))</f>
        <v/>
      </c>
      <c r="L31" s="246" t="str">
        <f>_xlfn.LET(_xlpm.proposed_value,INDEX('Solar-Only Proposal'!L$32:L$38,MATCH($A31,'Solar-Only Proposal'!$A$32:$A$38,0)),
IF($E31="SPPA",IF(_xlpm.proposed_value="","",_xlpm.proposed_value),"N/A"))</f>
        <v/>
      </c>
      <c r="M31" s="245" t="str">
        <f>_xlfn.LET(_xlpm.proposed_value,INDEX('Solar-Only Proposal'!M$32:M$38,MATCH($A31,'Solar-Only Proposal'!$A$32:$A$38,0)),
IF($E31="SEL",IF(_xlpm.proposed_value="","",_xlpm.proposed_value),"N/A"))</f>
        <v>N/A</v>
      </c>
      <c r="N31" s="245" t="str">
        <f>_xlfn.LET(_xlpm.proposed_value,INDEX('Solar-Only Proposal'!N$32:N$38,MATCH($A31,'Solar-Only Proposal'!$A$32:$A$38,0)),
IF($E31="SEL",IF(_xlpm.proposed_value="","",_xlpm.proposed_value),"N/A"))</f>
        <v>N/A</v>
      </c>
      <c r="O31" s="249" t="str">
        <f>_xlfn.LET(_xlpm.proposed_value,INDEX('Solar-Only Proposal'!O$32:O$38,MATCH($A31,'Solar-Only Proposal'!$A$32:$A$38,0)),
IF($E31="SEL",IF(_xlpm.proposed_value="","",_xlpm.proposed_value),"N/A"))</f>
        <v>N/A</v>
      </c>
    </row>
    <row r="32" spans="1:21" ht="15.4" customHeight="1" x14ac:dyDescent="0.35">
      <c r="A32" s="44">
        <v>5</v>
      </c>
      <c r="B32" s="481" t="str">
        <f>INDEX(Site_Data_Table,MATCH($A32,'Site Data'!$A$6:$A$13,0),MATCH(B$14,Site_Data_Column_Names,0))</f>
        <v>Kearny Mesa Court</v>
      </c>
      <c r="C32" s="482"/>
      <c r="D32" s="126" t="str">
        <f>INDEX(Site_Data_Table,MATCH($A32,'Site Data'!$A$6:$A$13,0),MATCH(D$14,Site_Data_Column_Names,0))</f>
        <v>37-C1</v>
      </c>
      <c r="E32" s="71" t="str">
        <f>INDEX(Site_Data_Table,MATCH($A32,'Site Data'!$A$6:$A$13,0),MATCH(E$14,Site_Data_Column_Names,0))</f>
        <v>SPPA</v>
      </c>
      <c r="F32" s="104" t="str">
        <f>INDEX(Site_Data_Table,MATCH($A32,'Site Data'!$A$6:$A$13,0),MATCH(F$14,Site_Data_Column_Names,0))</f>
        <v>Yes</v>
      </c>
      <c r="G32" s="393">
        <f>INDEX(Prod_Yr_1_PV_Only,MATCH('Summary &amp; Signature'!$A32,'System Specification'!$A$14:$A$20,0))</f>
        <v>0</v>
      </c>
      <c r="H32" s="394">
        <f>INDEX('System Specification'!$J$14:$J$20,MATCH('Summary &amp; Signature'!$A32,'System Specification'!$A$14:$A$20,0))</f>
        <v>0</v>
      </c>
      <c r="I32" s="147" t="s">
        <v>45</v>
      </c>
      <c r="J32" s="248" t="str">
        <f>_xlfn.LET(_xlpm.proposed_value,INDEX('Solar-Only Proposal'!J$32:J$38,MATCH($A32,'Solar-Only Proposal'!$A$32:$A$38,0)),
IF($E32="SPPA",IF(_xlpm.proposed_value="","",_xlpm.proposed_value),"N/A"))</f>
        <v/>
      </c>
      <c r="K32" s="246" t="str">
        <f>_xlfn.LET(_xlpm.proposed_value,INDEX('Solar-Only Proposal'!K$32:K$38,MATCH($A32,'Solar-Only Proposal'!$A$32:$A$38,0)),
IF($E32="SPPA",IF(_xlpm.proposed_value="","",_xlpm.proposed_value),"N/A"))</f>
        <v/>
      </c>
      <c r="L32" s="246" t="str">
        <f>_xlfn.LET(_xlpm.proposed_value,INDEX('Solar-Only Proposal'!L$32:L$38,MATCH($A32,'Solar-Only Proposal'!$A$32:$A$38,0)),
IF($E32="SPPA",IF(_xlpm.proposed_value="","",_xlpm.proposed_value),"N/A"))</f>
        <v/>
      </c>
      <c r="M32" s="245" t="str">
        <f>_xlfn.LET(_xlpm.proposed_value,INDEX('Solar-Only Proposal'!M$32:M$38,MATCH($A32,'Solar-Only Proposal'!$A$32:$A$38,0)),
IF($E32="SEL",IF(_xlpm.proposed_value="","",_xlpm.proposed_value),"N/A"))</f>
        <v>N/A</v>
      </c>
      <c r="N32" s="245" t="str">
        <f>_xlfn.LET(_xlpm.proposed_value,INDEX('Solar-Only Proposal'!N$32:N$38,MATCH($A32,'Solar-Only Proposal'!$A$32:$A$38,0)),
IF($E32="SEL",IF(_xlpm.proposed_value="","",_xlpm.proposed_value),"N/A"))</f>
        <v>N/A</v>
      </c>
      <c r="O32" s="249" t="str">
        <f>_xlfn.LET(_xlpm.proposed_value,INDEX('Solar-Only Proposal'!O$32:O$38,MATCH($A32,'Solar-Only Proposal'!$A$32:$A$38,0)),
IF($E32="SEL",IF(_xlpm.proposed_value="","",_xlpm.proposed_value),"N/A"))</f>
        <v>N/A</v>
      </c>
    </row>
    <row r="33" spans="1:15" ht="15.4" customHeight="1" x14ac:dyDescent="0.35">
      <c r="A33" s="44">
        <v>6</v>
      </c>
      <c r="B33" s="481" t="str">
        <f>INDEX(Site_Data_Table,MATCH($A33,'Site Data'!$A$6:$A$13,0),MATCH(B$14,Site_Data_Column_Names,0))</f>
        <v>East County Regional Center</v>
      </c>
      <c r="C33" s="482"/>
      <c r="D33" s="126" t="str">
        <f>INDEX(Site_Data_Table,MATCH($A33,'Site Data'!$A$6:$A$13,0),MATCH(D$14,Site_Data_Column_Names,0))</f>
        <v>37-I1</v>
      </c>
      <c r="E33" s="71" t="str">
        <f>INDEX(Site_Data_Table,MATCH($A33,'Site Data'!$A$6:$A$13,0),MATCH(E$14,Site_Data_Column_Names,0))</f>
        <v>SPPA</v>
      </c>
      <c r="F33" s="104" t="str">
        <f>INDEX(Site_Data_Table,MATCH($A33,'Site Data'!$A$6:$A$13,0),MATCH(F$14,Site_Data_Column_Names,0))</f>
        <v>Yes</v>
      </c>
      <c r="G33" s="393">
        <f>INDEX(Prod_Yr_1_PV_Only,MATCH('Summary &amp; Signature'!$A33,'System Specification'!$A$14:$A$20,0))</f>
        <v>0</v>
      </c>
      <c r="H33" s="394">
        <f>INDEX('System Specification'!$J$14:$J$20,MATCH('Summary &amp; Signature'!$A33,'System Specification'!$A$14:$A$20,0))</f>
        <v>0</v>
      </c>
      <c r="I33" s="147" t="s">
        <v>45</v>
      </c>
      <c r="J33" s="248" t="str">
        <f>_xlfn.LET(_xlpm.proposed_value,INDEX('Solar-Only Proposal'!J$32:J$38,MATCH($A33,'Solar-Only Proposal'!$A$32:$A$38,0)),
IF($E33="SPPA",IF(_xlpm.proposed_value="","",_xlpm.proposed_value),"N/A"))</f>
        <v/>
      </c>
      <c r="K33" s="246" t="str">
        <f>_xlfn.LET(_xlpm.proposed_value,INDEX('Solar-Only Proposal'!K$32:K$38,MATCH($A33,'Solar-Only Proposal'!$A$32:$A$38,0)),
IF($E33="SPPA",IF(_xlpm.proposed_value="","",_xlpm.proposed_value),"N/A"))</f>
        <v/>
      </c>
      <c r="L33" s="246" t="str">
        <f>_xlfn.LET(_xlpm.proposed_value,INDEX('Solar-Only Proposal'!L$32:L$38,MATCH($A33,'Solar-Only Proposal'!$A$32:$A$38,0)),
IF($E33="SPPA",IF(_xlpm.proposed_value="","",_xlpm.proposed_value),"N/A"))</f>
        <v/>
      </c>
      <c r="M33" s="245" t="str">
        <f>_xlfn.LET(_xlpm.proposed_value,INDEX('Solar-Only Proposal'!M$32:M$38,MATCH($A33,'Solar-Only Proposal'!$A$32:$A$38,0)),
IF($E33="SEL",IF(_xlpm.proposed_value="","",_xlpm.proposed_value),"N/A"))</f>
        <v>N/A</v>
      </c>
      <c r="N33" s="245" t="str">
        <f>_xlfn.LET(_xlpm.proposed_value,INDEX('Solar-Only Proposal'!N$32:N$38,MATCH($A33,'Solar-Only Proposal'!$A$32:$A$38,0)),
IF($E33="SEL",IF(_xlpm.proposed_value="","",_xlpm.proposed_value),"N/A"))</f>
        <v>N/A</v>
      </c>
      <c r="O33" s="249" t="str">
        <f>_xlfn.LET(_xlpm.proposed_value,INDEX('Solar-Only Proposal'!O$32:O$38,MATCH($A33,'Solar-Only Proposal'!$A$32:$A$38,0)),
IF($E33="SEL",IF(_xlpm.proposed_value="","",_xlpm.proposed_value),"N/A"))</f>
        <v>N/A</v>
      </c>
    </row>
    <row r="34" spans="1:15" ht="16" thickBot="1" x14ac:dyDescent="0.4">
      <c r="A34" s="44">
        <v>7</v>
      </c>
      <c r="B34" s="481" t="str">
        <f>INDEX(Site_Data_Table,MATCH($A34,'Site Data'!$A$6:$A$13,0),MATCH(B$14,Site_Data_Column_Names,0))</f>
        <v>Santa Ana Courthouse</v>
      </c>
      <c r="C34" s="482"/>
      <c r="D34" s="126" t="str">
        <f>INDEX(Site_Data_Table,MATCH($A34,'Site Data'!$A$6:$A$13,0),MATCH(D$14,Site_Data_Column_Names,0))</f>
        <v>64-E1</v>
      </c>
      <c r="E34" s="71" t="str">
        <f>INDEX(Site_Data_Table,MATCH($A34,'Site Data'!$A$6:$A$13,0),MATCH(E$14,Site_Data_Column_Names,0))</f>
        <v>SPPA</v>
      </c>
      <c r="F34" s="104" t="str">
        <f>INDEX(Site_Data_Table,MATCH($A34,'Site Data'!$A$6:$A$13,0),MATCH(F$14,Site_Data_Column_Names,0))</f>
        <v>Yes</v>
      </c>
      <c r="G34" s="393">
        <f>INDEX(Prod_Yr_1_PV_Only,MATCH('Summary &amp; Signature'!$A34,'System Specification'!$A$14:$A$20,0))</f>
        <v>0</v>
      </c>
      <c r="H34" s="394">
        <f>INDEX('System Specification'!$J$14:$J$20,MATCH('Summary &amp; Signature'!$A34,'System Specification'!$A$14:$A$20,0))</f>
        <v>0</v>
      </c>
      <c r="I34" s="147" t="s">
        <v>45</v>
      </c>
      <c r="J34" s="248" t="str">
        <f>_xlfn.LET(_xlpm.proposed_value,INDEX('Solar-Only Proposal'!J$32:J$38,MATCH($A34,'Solar-Only Proposal'!$A$32:$A$38,0)),
IF($E34="SPPA",IF(_xlpm.proposed_value="","",_xlpm.proposed_value),"N/A"))</f>
        <v/>
      </c>
      <c r="K34" s="246" t="str">
        <f>_xlfn.LET(_xlpm.proposed_value,INDEX('Solar-Only Proposal'!K$32:K$38,MATCH($A34,'Solar-Only Proposal'!$A$32:$A$38,0)),
IF($E34="SPPA",IF(_xlpm.proposed_value="","",_xlpm.proposed_value),"N/A"))</f>
        <v/>
      </c>
      <c r="L34" s="246" t="str">
        <f>_xlfn.LET(_xlpm.proposed_value,INDEX('Solar-Only Proposal'!L$32:L$38,MATCH($A34,'Solar-Only Proposal'!$A$32:$A$38,0)),
IF($E34="SPPA",IF(_xlpm.proposed_value="","",_xlpm.proposed_value),"N/A"))</f>
        <v/>
      </c>
      <c r="M34" s="245" t="str">
        <f>_xlfn.LET(_xlpm.proposed_value,INDEX('Solar-Only Proposal'!M$32:M$38,MATCH($A34,'Solar-Only Proposal'!$A$32:$A$38,0)),
IF($E34="SEL",IF(_xlpm.proposed_value="","",_xlpm.proposed_value),"N/A"))</f>
        <v>N/A</v>
      </c>
      <c r="N34" s="245" t="str">
        <f>_xlfn.LET(_xlpm.proposed_value,INDEX('Solar-Only Proposal'!N$32:N$38,MATCH($A34,'Solar-Only Proposal'!$A$32:$A$38,0)),
IF($E34="SEL",IF(_xlpm.proposed_value="","",_xlpm.proposed_value),"N/A"))</f>
        <v>N/A</v>
      </c>
      <c r="O34" s="249" t="str">
        <f>_xlfn.LET(_xlpm.proposed_value,INDEX('Solar-Only Proposal'!O$32:O$38,MATCH($A34,'Solar-Only Proposal'!$A$32:$A$38,0)),
IF($E34="SEL",IF(_xlpm.proposed_value="","",_xlpm.proposed_value),"N/A"))</f>
        <v>N/A</v>
      </c>
    </row>
    <row r="35" spans="1:15" ht="16" thickBot="1" x14ac:dyDescent="0.4">
      <c r="A35" s="207"/>
      <c r="B35" s="207"/>
      <c r="C35" s="208" t="s">
        <v>218</v>
      </c>
      <c r="D35" s="208"/>
      <c r="E35" s="208"/>
      <c r="F35" s="208"/>
      <c r="G35" s="396">
        <f>SUMIFS(G28:G34,$F28:$F34,"Yes")</f>
        <v>0</v>
      </c>
      <c r="H35" s="397">
        <f>SUMIFS(H28:H34,$F28:$F34,"Yes")</f>
        <v>0</v>
      </c>
      <c r="I35" s="398"/>
      <c r="J35" s="403" t="e">
        <f>IF('Solar-Only Proposal'!J39="","",'Solar-Only Proposal'!J39)</f>
        <v>#DIV/0!</v>
      </c>
      <c r="K35" s="400" t="e">
        <f>IF('Solar-Only Proposal'!K39="","",'Solar-Only Proposal'!K39)</f>
        <v>#DIV/0!</v>
      </c>
      <c r="L35" s="400" t="e">
        <f>IF('Solar-Only Proposal'!L39="","",'Solar-Only Proposal'!L39)</f>
        <v>#DIV/0!</v>
      </c>
      <c r="M35" s="401">
        <f>IF('Solar-Only Proposal'!M39="","",'Solar-Only Proposal'!M39)</f>
        <v>0</v>
      </c>
      <c r="N35" s="402" t="e">
        <f>IF('Solar-Only Proposal'!N39="","",'Solar-Only Proposal'!N39)</f>
        <v>#DIV/0!</v>
      </c>
      <c r="O35" s="404" t="e">
        <f>IF('Solar-Only Proposal'!O39="","",'Solar-Only Proposal'!O39)</f>
        <v>#DIV/0!</v>
      </c>
    </row>
    <row r="36" spans="1:15" x14ac:dyDescent="0.35">
      <c r="A36" s="405"/>
    </row>
    <row r="37" spans="1:15" ht="25.5" thickBot="1" x14ac:dyDescent="0.55000000000000004">
      <c r="A37" s="70" t="s">
        <v>221</v>
      </c>
    </row>
    <row r="38" spans="1:15" ht="16" thickBot="1" x14ac:dyDescent="0.4">
      <c r="A38" s="489" t="str">
        <f>PeGu!A9</f>
        <v>Production Guarantee (PeGu) Assumptions</v>
      </c>
      <c r="B38" s="478"/>
      <c r="C38" s="478"/>
      <c r="D38" s="478"/>
      <c r="E38" s="478"/>
      <c r="F38" s="478"/>
      <c r="G38" s="490"/>
    </row>
    <row r="39" spans="1:15" x14ac:dyDescent="0.35">
      <c r="A39" s="491" t="str">
        <f>PeGu!A10</f>
        <v>Year-1 Production Degradation (%)</v>
      </c>
      <c r="B39" s="492"/>
      <c r="C39" s="492"/>
      <c r="D39" s="492"/>
      <c r="E39" s="326"/>
      <c r="F39" s="326"/>
      <c r="G39" s="406">
        <f>PeGu!E10</f>
        <v>0</v>
      </c>
    </row>
    <row r="40" spans="1:15" x14ac:dyDescent="0.35">
      <c r="A40" s="493" t="str">
        <f>PeGu!A11</f>
        <v>Years 2-25 Production Degradation (%)</v>
      </c>
      <c r="B40" s="494"/>
      <c r="C40" s="494"/>
      <c r="D40" s="494"/>
      <c r="E40" s="327"/>
      <c r="F40" s="327"/>
      <c r="G40" s="407">
        <f>PeGu!E11</f>
        <v>0</v>
      </c>
    </row>
    <row r="41" spans="1:15" x14ac:dyDescent="0.35">
      <c r="A41" s="493" t="str">
        <f>PeGu!A12</f>
        <v>Production Guarantee (% of Expected Production, min 90%) for SPPA</v>
      </c>
      <c r="B41" s="494"/>
      <c r="C41" s="494"/>
      <c r="D41" s="494"/>
      <c r="E41" s="327"/>
      <c r="F41" s="327"/>
      <c r="G41" s="408">
        <f>PeGu!E12</f>
        <v>0</v>
      </c>
    </row>
    <row r="42" spans="1:15" x14ac:dyDescent="0.35">
      <c r="A42" s="493" t="str">
        <f>PeGu!A13</f>
        <v>True-up Term</v>
      </c>
      <c r="B42" s="494"/>
      <c r="C42" s="494"/>
      <c r="D42" s="494"/>
      <c r="E42" s="327"/>
      <c r="F42" s="327"/>
      <c r="G42" s="409">
        <f>PeGu!E13</f>
        <v>1</v>
      </c>
    </row>
    <row r="43" spans="1:15" x14ac:dyDescent="0.35">
      <c r="A43" s="493" t="str">
        <f>PeGu!A14</f>
        <v>Shortfall Payment Rate, Year 1 ($/kWh)</v>
      </c>
      <c r="B43" s="494"/>
      <c r="C43" s="494"/>
      <c r="D43" s="494"/>
      <c r="E43" s="327"/>
      <c r="F43" s="327"/>
      <c r="G43" s="410">
        <f>PeGu!E14</f>
        <v>0.05</v>
      </c>
    </row>
    <row r="44" spans="1:15" x14ac:dyDescent="0.35">
      <c r="A44" s="493" t="str">
        <f>PeGu!A15</f>
        <v>Shortfall Payment Rate, Annual Escalation</v>
      </c>
      <c r="B44" s="494"/>
      <c r="C44" s="494"/>
      <c r="D44" s="494"/>
      <c r="E44" s="327"/>
      <c r="F44" s="327"/>
      <c r="G44" s="411">
        <f>PeGu!E15</f>
        <v>0.03</v>
      </c>
    </row>
    <row r="45" spans="1:15" ht="16" thickBot="1" x14ac:dyDescent="0.4">
      <c r="A45" s="495" t="str">
        <f>PeGu!A16</f>
        <v>Availability Guarantee (% of annual hours, min 95%) for SEL</v>
      </c>
      <c r="B45" s="496"/>
      <c r="C45" s="496"/>
      <c r="D45" s="496"/>
      <c r="E45" s="328"/>
      <c r="F45" s="328"/>
      <c r="G45" s="412">
        <f>PeGu!E16</f>
        <v>0</v>
      </c>
    </row>
    <row r="47" spans="1:15" ht="25.5" thickBot="1" x14ac:dyDescent="0.55000000000000004">
      <c r="A47" s="70" t="s">
        <v>122</v>
      </c>
    </row>
    <row r="48" spans="1:15" ht="16" thickBot="1" x14ac:dyDescent="0.4">
      <c r="A48" s="489" t="str">
        <f>PeGu!G9</f>
        <v>Capacity Guarantee Assumptions</v>
      </c>
      <c r="B48" s="478"/>
      <c r="C48" s="478"/>
      <c r="D48" s="478"/>
      <c r="E48" s="478"/>
      <c r="F48" s="478"/>
      <c r="G48" s="490"/>
    </row>
    <row r="49" spans="1:13" x14ac:dyDescent="0.35">
      <c r="A49" s="491" t="str">
        <f>PeGu!G10</f>
        <v>Average Annual Degradation (%)</v>
      </c>
      <c r="B49" s="492"/>
      <c r="C49" s="492"/>
      <c r="D49" s="492"/>
      <c r="E49" s="326"/>
      <c r="F49" s="326"/>
      <c r="G49" s="406">
        <f>PeGu!K10</f>
        <v>0</v>
      </c>
    </row>
    <row r="50" spans="1:13" x14ac:dyDescent="0.35">
      <c r="A50" s="493" t="str">
        <f>PeGu!G11</f>
        <v>Capacity Guarantee (% of Rated Capacity)</v>
      </c>
      <c r="B50" s="494"/>
      <c r="C50" s="494"/>
      <c r="D50" s="494"/>
      <c r="E50" s="327"/>
      <c r="F50" s="327"/>
      <c r="G50" s="408">
        <f>PeGu!K11</f>
        <v>0</v>
      </c>
    </row>
    <row r="51" spans="1:13" x14ac:dyDescent="0.35">
      <c r="A51" s="493" t="str">
        <f>PeGu!G12</f>
        <v>Shortfall Payment Rate, Year 1 ($/kWh-capacity)</v>
      </c>
      <c r="B51" s="494"/>
      <c r="C51" s="494"/>
      <c r="D51" s="494"/>
      <c r="E51" s="327"/>
      <c r="F51" s="327"/>
      <c r="G51" s="410">
        <f>PeGu!K12</f>
        <v>0</v>
      </c>
    </row>
    <row r="52" spans="1:13" ht="16" thickBot="1" x14ac:dyDescent="0.4">
      <c r="A52" s="495" t="str">
        <f>PeGu!G13</f>
        <v>Shortfall Payment Rate, Annual Escalation</v>
      </c>
      <c r="B52" s="496"/>
      <c r="C52" s="496"/>
      <c r="D52" s="496"/>
      <c r="E52" s="328"/>
      <c r="F52" s="328"/>
      <c r="G52" s="412">
        <f>PeGu!K13</f>
        <v>0.03</v>
      </c>
    </row>
    <row r="53" spans="1:13" x14ac:dyDescent="0.35">
      <c r="A53" s="488"/>
      <c r="B53" s="488"/>
      <c r="C53" s="488"/>
      <c r="D53" s="488"/>
      <c r="E53" s="323"/>
      <c r="F53" s="323"/>
      <c r="G53" s="413"/>
    </row>
    <row r="54" spans="1:13" ht="111.75" customHeight="1" x14ac:dyDescent="0.35">
      <c r="A54" s="486" t="s">
        <v>222</v>
      </c>
      <c r="B54" s="486"/>
      <c r="C54" s="486"/>
      <c r="D54" s="486"/>
      <c r="E54" s="486"/>
      <c r="F54" s="486"/>
      <c r="G54" s="486"/>
      <c r="H54" s="486"/>
      <c r="I54" s="486"/>
      <c r="J54" s="486"/>
      <c r="K54" s="486"/>
      <c r="M54" s="322"/>
    </row>
    <row r="56" spans="1:13" x14ac:dyDescent="0.35">
      <c r="B56" s="74" t="s">
        <v>4</v>
      </c>
      <c r="C56" s="485">
        <f>Vendor_Name</f>
        <v>0</v>
      </c>
      <c r="D56" s="485"/>
      <c r="E56" s="485"/>
      <c r="F56" s="485"/>
      <c r="G56" s="485"/>
      <c r="H56" s="485"/>
      <c r="I56" s="485"/>
      <c r="J56" s="485"/>
      <c r="K56" s="485"/>
    </row>
    <row r="57" spans="1:13" ht="23.25" customHeight="1" x14ac:dyDescent="0.35">
      <c r="B57" s="74" t="s">
        <v>223</v>
      </c>
      <c r="C57" s="484"/>
      <c r="D57" s="484"/>
      <c r="E57" s="484"/>
      <c r="F57" s="484"/>
      <c r="G57" s="484"/>
      <c r="H57" s="484"/>
      <c r="I57" s="484"/>
      <c r="J57" s="484"/>
      <c r="K57" s="484"/>
    </row>
    <row r="58" spans="1:13" ht="23.25" customHeight="1" x14ac:dyDescent="0.35">
      <c r="B58" s="74" t="s">
        <v>224</v>
      </c>
      <c r="C58" s="484"/>
      <c r="D58" s="484"/>
      <c r="E58" s="484"/>
      <c r="F58" s="484"/>
      <c r="G58" s="484"/>
      <c r="H58" s="484"/>
      <c r="I58" s="484"/>
      <c r="J58" s="484"/>
      <c r="K58" s="484"/>
    </row>
    <row r="59" spans="1:13" x14ac:dyDescent="0.35">
      <c r="B59" s="54"/>
      <c r="C59" s="75" t="s">
        <v>225</v>
      </c>
      <c r="D59" s="75"/>
      <c r="E59" s="75"/>
      <c r="F59" s="75"/>
      <c r="G59" s="54"/>
      <c r="H59" s="54"/>
      <c r="I59" s="54"/>
      <c r="J59" s="54"/>
      <c r="K59" s="54"/>
    </row>
    <row r="60" spans="1:13" x14ac:dyDescent="0.35">
      <c r="B60" s="74"/>
      <c r="C60" s="54"/>
      <c r="D60" s="54"/>
      <c r="E60" s="54"/>
      <c r="F60" s="54"/>
      <c r="G60" s="54"/>
      <c r="H60" s="54"/>
      <c r="I60" s="54"/>
      <c r="J60" s="54"/>
      <c r="K60" s="54"/>
    </row>
    <row r="61" spans="1:13" ht="42" customHeight="1" x14ac:dyDescent="0.35">
      <c r="B61" s="74" t="s">
        <v>226</v>
      </c>
      <c r="C61" s="487"/>
      <c r="D61" s="487"/>
      <c r="E61" s="487"/>
      <c r="F61" s="487"/>
      <c r="G61" s="487"/>
      <c r="H61" s="487"/>
      <c r="I61" s="487"/>
      <c r="J61" s="487"/>
      <c r="K61" s="487"/>
    </row>
    <row r="62" spans="1:13" ht="23.25" customHeight="1" x14ac:dyDescent="0.35">
      <c r="B62" s="74" t="s">
        <v>227</v>
      </c>
      <c r="C62" s="483"/>
      <c r="D62" s="483"/>
      <c r="E62" s="483"/>
      <c r="F62" s="483"/>
      <c r="G62" s="483"/>
      <c r="H62" s="483"/>
      <c r="I62" s="483"/>
      <c r="J62" s="483"/>
      <c r="K62" s="483"/>
    </row>
    <row r="63" spans="1:13" ht="23.25" customHeight="1" x14ac:dyDescent="0.35">
      <c r="B63" s="74" t="s">
        <v>228</v>
      </c>
      <c r="C63" s="483"/>
      <c r="D63" s="483"/>
      <c r="E63" s="483"/>
      <c r="F63" s="483"/>
      <c r="G63" s="483"/>
      <c r="H63" s="483"/>
      <c r="I63" s="483"/>
      <c r="J63" s="483"/>
      <c r="K63" s="483"/>
    </row>
    <row r="64" spans="1:13" ht="23.25" customHeight="1" x14ac:dyDescent="0.35">
      <c r="B64" s="74" t="s">
        <v>229</v>
      </c>
      <c r="C64" s="483"/>
      <c r="D64" s="483"/>
      <c r="E64" s="483"/>
      <c r="F64" s="483"/>
      <c r="G64" s="483"/>
      <c r="H64" s="483"/>
      <c r="I64" s="483"/>
      <c r="J64" s="483"/>
      <c r="K64" s="483"/>
    </row>
  </sheetData>
  <sheetProtection algorithmName="SHA-512" hashValue="BmA+jtxHHH4uOwFngZdrvrA3qbFikB9Yz4B+GTaI+bdiqyyeohvgRIHSEFcUnowcJ+tC3C4uMg0DRaEr+96gMw==" saltValue="n3oVNSCHZi2y2u/VlDs9Rg==" spinCount="100000" sheet="1" formatColumns="0" formatRows="0"/>
  <mergeCells count="49">
    <mergeCell ref="J25:O25"/>
    <mergeCell ref="J26:L26"/>
    <mergeCell ref="A43:D43"/>
    <mergeCell ref="A44:D44"/>
    <mergeCell ref="A48:G48"/>
    <mergeCell ref="M26:O26"/>
    <mergeCell ref="B27:C27"/>
    <mergeCell ref="B28:C28"/>
    <mergeCell ref="B29:C29"/>
    <mergeCell ref="B30:C30"/>
    <mergeCell ref="B31:C31"/>
    <mergeCell ref="B32:C32"/>
    <mergeCell ref="B33:C33"/>
    <mergeCell ref="B34:C34"/>
    <mergeCell ref="A54:K54"/>
    <mergeCell ref="C58:K58"/>
    <mergeCell ref="C61:K61"/>
    <mergeCell ref="A53:D53"/>
    <mergeCell ref="A38:G38"/>
    <mergeCell ref="A39:D39"/>
    <mergeCell ref="A40:D40"/>
    <mergeCell ref="A49:D49"/>
    <mergeCell ref="A50:D50"/>
    <mergeCell ref="A51:D51"/>
    <mergeCell ref="A52:D52"/>
    <mergeCell ref="A45:D45"/>
    <mergeCell ref="A42:D42"/>
    <mergeCell ref="A41:D41"/>
    <mergeCell ref="C62:K62"/>
    <mergeCell ref="C63:K63"/>
    <mergeCell ref="C64:K64"/>
    <mergeCell ref="C57:K57"/>
    <mergeCell ref="C56:K56"/>
    <mergeCell ref="B17:C17"/>
    <mergeCell ref="B18:C18"/>
    <mergeCell ref="B19:C19"/>
    <mergeCell ref="B20:C20"/>
    <mergeCell ref="B21:C21"/>
    <mergeCell ref="G9:J9"/>
    <mergeCell ref="A10:K10"/>
    <mergeCell ref="B14:C14"/>
    <mergeCell ref="B15:C15"/>
    <mergeCell ref="B16:C16"/>
    <mergeCell ref="M13:O13"/>
    <mergeCell ref="S13:U13"/>
    <mergeCell ref="J13:L13"/>
    <mergeCell ref="J12:O12"/>
    <mergeCell ref="P13:R13"/>
    <mergeCell ref="P12:U12"/>
  </mergeCells>
  <conditionalFormatting sqref="A15:U21 A28:O34">
    <cfRule type="expression" dxfId="16" priority="4">
      <formula>($F15="No")</formula>
    </cfRule>
  </conditionalFormatting>
  <conditionalFormatting sqref="J15:L21 P15:R21 J28:L34">
    <cfRule type="expression" dxfId="15" priority="5">
      <formula>$E15="SEL"</formula>
    </cfRule>
  </conditionalFormatting>
  <conditionalFormatting sqref="M15:O21 S15:U21 M28:O34">
    <cfRule type="expression" dxfId="14" priority="6">
      <formula>$E15="SPPA"</formula>
    </cfRule>
  </conditionalFormatting>
  <pageMargins left="0.7" right="0.7" top="0.75" bottom="0.75" header="0.3" footer="0.3"/>
  <pageSetup scale="23"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32</vt:i4>
      </vt:variant>
    </vt:vector>
  </HeadingPairs>
  <TitlesOfParts>
    <vt:vector size="43" baseType="lpstr">
      <vt:lpstr>Instructions</vt:lpstr>
      <vt:lpstr>Site Data</vt:lpstr>
      <vt:lpstr>System Specification</vt:lpstr>
      <vt:lpstr>PeGu</vt:lpstr>
      <vt:lpstr>Microgrid Proposal</vt:lpstr>
      <vt:lpstr>Solar+Storage Proposal</vt:lpstr>
      <vt:lpstr>Solar-Only Proposal</vt:lpstr>
      <vt:lpstr>Contract Early Termination</vt:lpstr>
      <vt:lpstr>Summary &amp; Signature</vt:lpstr>
      <vt:lpstr>Contract Tables</vt:lpstr>
      <vt:lpstr>Lists</vt:lpstr>
      <vt:lpstr>Active_Tariffs</vt:lpstr>
      <vt:lpstr>CO2_Table</vt:lpstr>
      <vt:lpstr>Environ_Table</vt:lpstr>
      <vt:lpstr>IOUs</vt:lpstr>
      <vt:lpstr>Lease_Types</vt:lpstr>
      <vt:lpstr>List_Mount_Type</vt:lpstr>
      <vt:lpstr>List_Shade_Structures</vt:lpstr>
      <vt:lpstr>List_Wire_Type</vt:lpstr>
      <vt:lpstr>PGE_Tariffs</vt:lpstr>
      <vt:lpstr>PPA_Contract_Term</vt:lpstr>
      <vt:lpstr>Instructions!Print_Area</vt:lpstr>
      <vt:lpstr>'Microgrid Proposal'!Print_Area</vt:lpstr>
      <vt:lpstr>'Site Data'!Print_Area</vt:lpstr>
      <vt:lpstr>'Solar+Storage Proposal'!Print_Area</vt:lpstr>
      <vt:lpstr>'Solar-Only Proposal'!Print_Area</vt:lpstr>
      <vt:lpstr>'System Specification'!Print_Area</vt:lpstr>
      <vt:lpstr>'Microgrid Proposal'!Print_Titles</vt:lpstr>
      <vt:lpstr>'Site Data'!Print_Titles</vt:lpstr>
      <vt:lpstr>'Solar+Storage Proposal'!Print_Titles</vt:lpstr>
      <vt:lpstr>'Solar-Only Proposal'!Print_Titles</vt:lpstr>
      <vt:lpstr>'System Specification'!Print_Titles</vt:lpstr>
      <vt:lpstr>Prod_Yr_1</vt:lpstr>
      <vt:lpstr>Prod_Yr_1_PV_Only</vt:lpstr>
      <vt:lpstr>SCE_Tariffs</vt:lpstr>
      <vt:lpstr>Site_Data_Column_Names</vt:lpstr>
      <vt:lpstr>Site_Data_Table</vt:lpstr>
      <vt:lpstr>System_Spec_Column_Names</vt:lpstr>
      <vt:lpstr>System_Spec_Site_Num</vt:lpstr>
      <vt:lpstr>System_Spec_Table</vt:lpstr>
      <vt:lpstr>Vendor_Name</vt:lpstr>
      <vt:lpstr>Yes_No</vt:lpstr>
      <vt:lpstr>Yes_No_List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D2 - PV Cost Proposal Form</dc:title>
  <dc:subject/>
  <dc:creator>Tom Williard</dc:creator>
  <cp:keywords/>
  <dc:description/>
  <cp:lastModifiedBy>Perez, Johnny</cp:lastModifiedBy>
  <cp:revision/>
  <dcterms:created xsi:type="dcterms:W3CDTF">2010-07-03T20:41:43Z</dcterms:created>
  <dcterms:modified xsi:type="dcterms:W3CDTF">2024-07-19T17:57:27Z</dcterms:modified>
  <cp:category/>
  <cp:contentStatus/>
</cp:coreProperties>
</file>