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DonLowrie\Revenue Distribution Training - May 2025\"/>
    </mc:Choice>
  </mc:AlternateContent>
  <xr:revisionPtr revIDLastSave="0" documentId="13_ncr:1_{60D6C2CE-6306-4B19-8051-3513226269BA}" xr6:coauthVersionLast="47" xr6:coauthVersionMax="47" xr10:uidLastSave="{00000000-0000-0000-0000-000000000000}"/>
  <bookViews>
    <workbookView xWindow="-110" yWindow="-110" windowWidth="19420" windowHeight="10420" tabRatio="803" firstSheet="2" activeTab="8" xr2:uid="{00000000-000D-0000-FFFF-FFFF00000000}"/>
  </bookViews>
  <sheets>
    <sheet name="Drop-Down List" sheetId="85" state="hidden" r:id="rId1"/>
    <sheet name="2009 UPDATE" sheetId="83" state="hidden" r:id="rId2"/>
    <sheet name="Local Penalties" sheetId="166" r:id="rId3"/>
    <sheet name="Sheet1" sheetId="82" state="hidden" r:id="rId4"/>
    <sheet name="Section" sheetId="42" state="hidden" r:id="rId5"/>
    <sheet name="Acct Mapping" sheetId="50" state="hidden" r:id="rId6"/>
    <sheet name="Pmt Plan Tmpl" sheetId="73" state="hidden" r:id="rId7"/>
    <sheet name="1-DUI (ALT)" sheetId="52" state="hidden" r:id="rId8"/>
    <sheet name="Case Study #1" sheetId="175" r:id="rId9"/>
  </sheets>
  <externalReferences>
    <externalReference r:id="rId10"/>
    <externalReference r:id="rId11"/>
  </externalReferences>
  <definedNames>
    <definedName name="Answer" localSheetId="8">#REF!</definedName>
    <definedName name="Answer">#REF!</definedName>
    <definedName name="Counties" localSheetId="8">'[1]Local Penalties'!$A$14:$A$71</definedName>
    <definedName name="Counties">'Local Penalties'!$A$12:$A$69</definedName>
    <definedName name="County" localSheetId="8">#REF!</definedName>
    <definedName name="County">#REF!</definedName>
    <definedName name="County_Name">#REF!</definedName>
    <definedName name="Court_Name" localSheetId="8">#REF!</definedName>
    <definedName name="Court_Name">Sheet1!$D$1:$D$59</definedName>
    <definedName name="dbo_Fund" localSheetId="8">#REF!</definedName>
    <definedName name="dbo_Fund">#REF!</definedName>
    <definedName name="Distribution_Method" localSheetId="8">'[1]Drop-Down List'!$A$1:$A$3</definedName>
    <definedName name="Distribution_Method">'Drop-Down List'!$A$1:$A$2</definedName>
    <definedName name="H_S">'[2]Drop-Down List'!$A$12:$A$13</definedName>
    <definedName name="Hdfljh">#REF!</definedName>
    <definedName name="health">'[2]Drop-Down List'!$A$12:$A$13</definedName>
    <definedName name="HS">#REF!</definedName>
    <definedName name="_xlnm.Print_Area" localSheetId="7">'1-DUI (ALT)'!$A$1:$S$49</definedName>
    <definedName name="_xlnm.Print_Area" localSheetId="8">'Case Study #1'!$A$1:$W$39</definedName>
    <definedName name="s1.2">#REF!</definedName>
    <definedName name="Yes_No" localSheetId="8">'[1]Drop-Down List'!$A$13:$A$14</definedName>
    <definedName name="Yes_No">'Drop-Down List'!$A$12:$A$13</definedName>
    <definedName name="Yes_No_NA" localSheetId="8">'[1]Drop-Down List'!$A$5:$A$7</definedName>
    <definedName name="Yes_No_NA">'Drop-Down List'!$A$4:$A$6</definedName>
    <definedName name="Yes_No_NA_City" localSheetId="8">'[1]Drop-Down List'!$A$9:$A$11</definedName>
    <definedName name="Yes_No_NA_City">'Drop-Down List'!$A$8:$A$10</definedName>
    <definedName name="Z_07F1F502_9FC7_4878_A746_52E1655BD4FA_.wvu.Cols" localSheetId="7" hidden="1">'1-DUI (ALT)'!#REF!,'1-DUI (ALT)'!#REF!</definedName>
    <definedName name="Z_07F1F502_9FC7_4878_A746_52E1655BD4FA_.wvu.Cols" localSheetId="8" hidden="1">'Case Study #1'!#REF!,'Case Study #1'!#REF!</definedName>
  </definedNames>
  <calcPr calcId="191029"/>
  <customWorkbookViews>
    <customWorkbookView name="Ryan" guid="{07F1F502-9FC7-4878-A746-52E1655BD4FA}" maximized="1" windowWidth="1072" windowHeight="852" tabRatio="973" activeSheetId="7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175" l="1"/>
  <c r="J33" i="175"/>
  <c r="J35" i="175"/>
  <c r="V35" i="175" l="1"/>
  <c r="R35" i="175"/>
  <c r="Q35" i="175"/>
  <c r="K35" i="175"/>
  <c r="V34" i="175"/>
  <c r="R34" i="175"/>
  <c r="Q34" i="175"/>
  <c r="J34" i="175"/>
  <c r="K34" i="175" s="1"/>
  <c r="Z8" i="175" s="1"/>
  <c r="V33" i="175"/>
  <c r="R33" i="175"/>
  <c r="Q33" i="175"/>
  <c r="Q31" i="175" s="1"/>
  <c r="K33" i="175"/>
  <c r="V32" i="175"/>
  <c r="R32" i="175"/>
  <c r="Q32" i="175"/>
  <c r="K32" i="175"/>
  <c r="O31" i="175"/>
  <c r="O38" i="175" s="1"/>
  <c r="V30" i="175"/>
  <c r="R30" i="175"/>
  <c r="J30" i="175"/>
  <c r="O10" i="175"/>
  <c r="AB9" i="175"/>
  <c r="AA9" i="175"/>
  <c r="Z9" i="175"/>
  <c r="D9" i="175"/>
  <c r="O6" i="175"/>
  <c r="S35" i="175" l="1"/>
  <c r="D10" i="175"/>
  <c r="I16" i="175" s="1"/>
  <c r="S34" i="175"/>
  <c r="AA8" i="175" s="1"/>
  <c r="S33" i="175"/>
  <c r="S32" i="175"/>
  <c r="D11" i="175" l="1"/>
  <c r="I29" i="175" s="1"/>
  <c r="I17" i="175"/>
  <c r="J17" i="175" s="1"/>
  <c r="K17" i="175" s="1"/>
  <c r="Z7" i="175" s="1"/>
  <c r="I30" i="175"/>
  <c r="K30" i="175" s="1"/>
  <c r="J16" i="175"/>
  <c r="K16" i="175" s="1"/>
  <c r="I25" i="175" l="1"/>
  <c r="J25" i="175" s="1"/>
  <c r="K25" i="175" s="1"/>
  <c r="I27" i="175"/>
  <c r="J27" i="175" s="1"/>
  <c r="K27" i="175" s="1"/>
  <c r="I18" i="175"/>
  <c r="J18" i="175" s="1"/>
  <c r="I20" i="175"/>
  <c r="I26" i="175"/>
  <c r="J26" i="175" s="1"/>
  <c r="K26" i="175" s="1"/>
  <c r="I28" i="175"/>
  <c r="J28" i="175" s="1"/>
  <c r="K28" i="175" s="1"/>
  <c r="I24" i="175"/>
  <c r="J24" i="175" s="1"/>
  <c r="K24" i="175" s="1"/>
  <c r="I22" i="175"/>
  <c r="J22" i="175" s="1"/>
  <c r="K22" i="175" s="1"/>
  <c r="I19" i="175"/>
  <c r="J19" i="175" s="1"/>
  <c r="K19" i="175" s="1"/>
  <c r="I21" i="175"/>
  <c r="J21" i="175" s="1"/>
  <c r="K21" i="175" s="1"/>
  <c r="I23" i="175"/>
  <c r="J23" i="175" s="1"/>
  <c r="K23" i="175" s="1"/>
  <c r="J29" i="175"/>
  <c r="K29" i="175" s="1"/>
  <c r="J20" i="175"/>
  <c r="K20" i="175" s="1"/>
  <c r="I31" i="175" l="1"/>
  <c r="Q15" i="175" s="1"/>
  <c r="Z6" i="175"/>
  <c r="J37" i="175"/>
  <c r="K36" i="175" s="1"/>
  <c r="K18" i="175"/>
  <c r="I38" i="175" l="1"/>
  <c r="U15" i="175" s="1"/>
  <c r="U35" i="175"/>
  <c r="W35" i="175" s="1"/>
  <c r="Y35" i="175" s="1"/>
  <c r="U34" i="175"/>
  <c r="W34" i="175" s="1"/>
  <c r="U33" i="175"/>
  <c r="W33" i="175" s="1"/>
  <c r="Y33" i="175" s="1"/>
  <c r="U32" i="175"/>
  <c r="U30" i="175"/>
  <c r="W30" i="175" s="1"/>
  <c r="Y30" i="175" s="1"/>
  <c r="U17" i="175"/>
  <c r="U16" i="175"/>
  <c r="U26" i="175"/>
  <c r="U22" i="175"/>
  <c r="U18" i="175"/>
  <c r="U24" i="175"/>
  <c r="U21" i="175"/>
  <c r="U23" i="175"/>
  <c r="U19" i="175"/>
  <c r="U27" i="175"/>
  <c r="U20" i="175"/>
  <c r="U29" i="175"/>
  <c r="U28" i="175"/>
  <c r="U25" i="175"/>
  <c r="Q30" i="175"/>
  <c r="S30" i="175" s="1"/>
  <c r="Q17" i="175"/>
  <c r="Q16" i="175"/>
  <c r="Q25" i="175"/>
  <c r="Q20" i="175"/>
  <c r="Q19" i="175"/>
  <c r="Q29" i="175"/>
  <c r="Q27" i="175"/>
  <c r="Q24" i="175"/>
  <c r="Q21" i="175"/>
  <c r="Q23" i="175"/>
  <c r="Q28" i="175"/>
  <c r="Q26" i="175"/>
  <c r="Q22" i="175"/>
  <c r="Q18" i="175"/>
  <c r="Z5" i="175"/>
  <c r="Z10" i="175" s="1"/>
  <c r="K31" i="175"/>
  <c r="K38" i="175" s="1"/>
  <c r="Z11" i="175" l="1"/>
  <c r="V25" i="175"/>
  <c r="W25" i="175" s="1"/>
  <c r="Y25" i="175" s="1"/>
  <c r="V24" i="175"/>
  <c r="W24" i="175" s="1"/>
  <c r="Y24" i="175" s="1"/>
  <c r="R22" i="175"/>
  <c r="S22" i="175" s="1"/>
  <c r="R19" i="175"/>
  <c r="S19" i="175" s="1"/>
  <c r="V29" i="175"/>
  <c r="W29" i="175" s="1"/>
  <c r="Y29" i="175" s="1"/>
  <c r="V22" i="175"/>
  <c r="W22" i="175" s="1"/>
  <c r="Y22" i="175" s="1"/>
  <c r="R26" i="175"/>
  <c r="S26" i="175" s="1"/>
  <c r="R20" i="175"/>
  <c r="S20" i="175" s="1"/>
  <c r="V20" i="175"/>
  <c r="W20" i="175" s="1"/>
  <c r="Y20" i="175" s="1"/>
  <c r="V26" i="175"/>
  <c r="W26" i="175" s="1"/>
  <c r="Y26" i="175" s="1"/>
  <c r="R28" i="175"/>
  <c r="S28" i="175" s="1"/>
  <c r="R25" i="175"/>
  <c r="S25" i="175" s="1"/>
  <c r="V27" i="175"/>
  <c r="W27" i="175" s="1"/>
  <c r="Y27" i="175" s="1"/>
  <c r="V16" i="175"/>
  <c r="W16" i="175" s="1"/>
  <c r="R23" i="175"/>
  <c r="S23" i="175" s="1"/>
  <c r="R16" i="175"/>
  <c r="V19" i="175"/>
  <c r="W19" i="175" s="1"/>
  <c r="Y19" i="175" s="1"/>
  <c r="V17" i="175"/>
  <c r="W17" i="175" s="1"/>
  <c r="R17" i="175"/>
  <c r="S17" i="175" s="1"/>
  <c r="AA7" i="175" s="1"/>
  <c r="V23" i="175"/>
  <c r="W23" i="175" s="1"/>
  <c r="Y23" i="175" s="1"/>
  <c r="R24" i="175"/>
  <c r="S24" i="175" s="1"/>
  <c r="V21" i="175"/>
  <c r="W21" i="175" s="1"/>
  <c r="Y21" i="175" s="1"/>
  <c r="W32" i="175"/>
  <c r="Y32" i="175" s="1"/>
  <c r="U31" i="175"/>
  <c r="R21" i="175"/>
  <c r="S21" i="175" s="1"/>
  <c r="R27" i="175"/>
  <c r="S27" i="175" s="1"/>
  <c r="R18" i="175"/>
  <c r="S18" i="175" s="1"/>
  <c r="R29" i="175"/>
  <c r="S29" i="175" s="1"/>
  <c r="V28" i="175"/>
  <c r="W28" i="175" s="1"/>
  <c r="Y28" i="175" s="1"/>
  <c r="V18" i="175"/>
  <c r="W18" i="175" s="1"/>
  <c r="AB8" i="175"/>
  <c r="Y34" i="175"/>
  <c r="AB7" i="175" l="1"/>
  <c r="Y17" i="175"/>
  <c r="Y18" i="175"/>
  <c r="R37" i="175"/>
  <c r="S36" i="175" s="1"/>
  <c r="AA5" i="175" s="1"/>
  <c r="S16" i="175"/>
  <c r="V37" i="175"/>
  <c r="W36" i="175" s="1"/>
  <c r="Y36" i="175" s="1"/>
  <c r="W31" i="175"/>
  <c r="Y16" i="175"/>
  <c r="AB6" i="175"/>
  <c r="AB5" i="175" l="1"/>
  <c r="AB10" i="175" s="1"/>
  <c r="W38" i="175"/>
  <c r="Y31" i="175"/>
  <c r="Y38" i="175" s="1"/>
  <c r="AA6" i="175"/>
  <c r="AA10" i="175" s="1"/>
  <c r="S31" i="175"/>
  <c r="S38" i="175" s="1"/>
  <c r="AA11" i="175" l="1"/>
  <c r="AB11" i="175"/>
  <c r="B8" i="166" l="1"/>
  <c r="A8" i="166"/>
  <c r="O11" i="175" l="1"/>
  <c r="E23" i="175" s="1"/>
  <c r="E25" i="52"/>
  <c r="K17" i="52"/>
  <c r="L17" i="52" s="1"/>
  <c r="R17" i="52" s="1"/>
  <c r="K18" i="52"/>
  <c r="L18" i="52" s="1"/>
  <c r="R18" i="52" s="1"/>
  <c r="K34" i="52"/>
  <c r="K35" i="52"/>
  <c r="K36" i="52"/>
  <c r="K37" i="52"/>
  <c r="L37" i="52" s="1"/>
  <c r="R37" i="52" s="1"/>
  <c r="K38" i="52"/>
  <c r="L38" i="52" s="1"/>
  <c r="R38" i="52" s="1"/>
  <c r="K39" i="52"/>
  <c r="L39" i="52" s="1"/>
  <c r="R39" i="52" s="1"/>
  <c r="K40" i="52"/>
  <c r="K41" i="52"/>
  <c r="L41" i="52" s="1"/>
  <c r="K42" i="52"/>
  <c r="D4" i="52"/>
  <c r="D9" i="52"/>
  <c r="P33" i="52"/>
  <c r="P45" i="52" s="1"/>
  <c r="N10" i="52"/>
  <c r="N6" i="52"/>
  <c r="D10" i="52" s="1"/>
  <c r="J17" i="52"/>
  <c r="J18" i="52"/>
  <c r="J16" i="52"/>
  <c r="J35" i="52"/>
  <c r="J37" i="52"/>
  <c r="J38" i="52"/>
  <c r="J39" i="52"/>
  <c r="J41" i="52"/>
  <c r="J42" i="52"/>
  <c r="J34" i="52"/>
  <c r="K16" i="52"/>
  <c r="L16" i="52" s="1"/>
  <c r="J40" i="52"/>
  <c r="B31" i="52"/>
  <c r="B30" i="52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41" i="82"/>
  <c r="D42" i="82"/>
  <c r="D43" i="82"/>
  <c r="D44" i="82"/>
  <c r="D45" i="82"/>
  <c r="D46" i="82"/>
  <c r="D47" i="82"/>
  <c r="D48" i="82"/>
  <c r="D49" i="82"/>
  <c r="D50" i="82"/>
  <c r="D51" i="82"/>
  <c r="D52" i="82"/>
  <c r="D53" i="82"/>
  <c r="D54" i="82"/>
  <c r="D55" i="82"/>
  <c r="D56" i="82"/>
  <c r="D57" i="82"/>
  <c r="D58" i="82"/>
  <c r="D59" i="82"/>
  <c r="D2" i="82"/>
  <c r="C24" i="73"/>
  <c r="D24" i="73"/>
  <c r="E24" i="73"/>
  <c r="F24" i="73"/>
  <c r="G24" i="73"/>
  <c r="H24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A1" i="50"/>
  <c r="J36" i="52"/>
  <c r="L40" i="52"/>
  <c r="R40" i="52" s="1"/>
  <c r="L34" i="52"/>
  <c r="R34" i="52" s="1"/>
  <c r="L42" i="52"/>
  <c r="R42" i="52" s="1"/>
  <c r="L35" i="52"/>
  <c r="R35" i="52" s="1"/>
  <c r="L36" i="52"/>
  <c r="R36" i="52" s="1"/>
  <c r="D11" i="52" l="1"/>
  <c r="I23" i="52" s="1"/>
  <c r="I32" i="52"/>
  <c r="L32" i="52" s="1"/>
  <c r="R32" i="52" s="1"/>
  <c r="I19" i="52"/>
  <c r="K19" i="52" s="1"/>
  <c r="J33" i="52"/>
  <c r="R41" i="52"/>
  <c r="V7" i="52"/>
  <c r="I22" i="52"/>
  <c r="I21" i="52"/>
  <c r="K21" i="52" s="1"/>
  <c r="L21" i="52" s="1"/>
  <c r="R21" i="52" s="1"/>
  <c r="I29" i="52"/>
  <c r="K29" i="52" s="1"/>
  <c r="I24" i="52"/>
  <c r="K24" i="52" s="1"/>
  <c r="I28" i="52"/>
  <c r="I26" i="52"/>
  <c r="K26" i="52" s="1"/>
  <c r="I25" i="52"/>
  <c r="I20" i="52"/>
  <c r="V8" i="52"/>
  <c r="B24" i="73"/>
  <c r="L24" i="52"/>
  <c r="K28" i="52"/>
  <c r="L28" i="52" s="1"/>
  <c r="C25" i="73"/>
  <c r="K20" i="52"/>
  <c r="R16" i="52"/>
  <c r="L29" i="52"/>
  <c r="R29" i="52" s="1"/>
  <c r="I27" i="52" l="1"/>
  <c r="K27" i="52" s="1"/>
  <c r="I30" i="52"/>
  <c r="I31" i="52"/>
  <c r="L19" i="52"/>
  <c r="R19" i="52" s="1"/>
  <c r="L27" i="52"/>
  <c r="R27" i="52" s="1"/>
  <c r="I33" i="52"/>
  <c r="K22" i="52"/>
  <c r="L22" i="52" s="1"/>
  <c r="K30" i="52"/>
  <c r="L30" i="52" s="1"/>
  <c r="R30" i="52" s="1"/>
  <c r="L26" i="52"/>
  <c r="R26" i="52" s="1"/>
  <c r="K23" i="52"/>
  <c r="K25" i="52"/>
  <c r="L25" i="52" s="1"/>
  <c r="R25" i="52" s="1"/>
  <c r="R28" i="52"/>
  <c r="L20" i="52"/>
  <c r="R24" i="52"/>
  <c r="V6" i="52"/>
  <c r="R20" i="52"/>
  <c r="K31" i="52" l="1"/>
  <c r="L31" i="52"/>
  <c r="R31" i="52" s="1"/>
  <c r="K44" i="52"/>
  <c r="L43" i="52" s="1"/>
  <c r="V4" i="52" s="1"/>
  <c r="L23" i="52"/>
  <c r="R23" i="52" s="1"/>
  <c r="R22" i="52"/>
  <c r="V5" i="52"/>
  <c r="L33" i="52"/>
  <c r="I45" i="52"/>
  <c r="J15" i="52"/>
  <c r="R43" i="52" l="1"/>
  <c r="J27" i="52"/>
  <c r="J23" i="52"/>
  <c r="J25" i="52"/>
  <c r="J29" i="52"/>
  <c r="J20" i="52"/>
  <c r="J26" i="52"/>
  <c r="J31" i="52"/>
  <c r="J19" i="52"/>
  <c r="J21" i="52"/>
  <c r="J30" i="52"/>
  <c r="J22" i="52"/>
  <c r="J28" i="52"/>
  <c r="J32" i="52"/>
  <c r="J24" i="52"/>
  <c r="L45" i="52"/>
  <c r="R33" i="52"/>
  <c r="R45" i="52" s="1"/>
  <c r="V9" i="52"/>
  <c r="V10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</authors>
  <commentList>
    <comment ref="D8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Court Sec. Fee &amp; Crim Conv. Assmnt ASSESSED FOR EVERY CONVICTION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58D9733B-6D4F-405B-B122-F4951C5278F7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9EC31A7A-D875-4AD8-8026-FAF2E9F78A0C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BAF2556A-BE49-49F4-BDFF-D041094F99D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<sst xmlns="http://schemas.openxmlformats.org/spreadsheetml/2006/main" count="582" uniqueCount="310">
  <si>
    <t>Fund</t>
  </si>
  <si>
    <t>TOTAL</t>
  </si>
  <si>
    <t>Bail Forfeiture</t>
  </si>
  <si>
    <t>Violation Date</t>
  </si>
  <si>
    <t>Arresting Agency</t>
  </si>
  <si>
    <t>2% Amt</t>
  </si>
  <si>
    <t>N</t>
  </si>
  <si>
    <t>Y</t>
  </si>
  <si>
    <t>Statute</t>
  </si>
  <si>
    <t>State General Fund</t>
  </si>
  <si>
    <t>Disposition Date</t>
  </si>
  <si>
    <t>State Restitution</t>
  </si>
  <si>
    <t>County Special Account</t>
  </si>
  <si>
    <t>County Alcohol Abuse Prevention</t>
  </si>
  <si>
    <t>Total Fine</t>
  </si>
  <si>
    <t>Violation Type</t>
  </si>
  <si>
    <t>Disposition</t>
  </si>
  <si>
    <t>Priors</t>
  </si>
  <si>
    <t>County or City General Fund</t>
  </si>
  <si>
    <t>City General Fund</t>
  </si>
  <si>
    <t>State Penalty Fund</t>
  </si>
  <si>
    <t>County General Fund</t>
  </si>
  <si>
    <t>COUNT 1</t>
  </si>
  <si>
    <t>Base Fine</t>
  </si>
  <si>
    <t>Section</t>
  </si>
  <si>
    <t>STATE</t>
  </si>
  <si>
    <t>COUNTY</t>
  </si>
  <si>
    <t>Special Distribution</t>
  </si>
  <si>
    <t>County Criminal Justice Facilities Construction Fund</t>
  </si>
  <si>
    <t>County Maddy EMS Fund</t>
  </si>
  <si>
    <t>State Court Facilities Construction Fund</t>
  </si>
  <si>
    <t>Court Security Fee</t>
  </si>
  <si>
    <t>State Trial Court Trust Fund</t>
  </si>
  <si>
    <t>D</t>
  </si>
  <si>
    <t>State Automation Fund</t>
  </si>
  <si>
    <t>A</t>
  </si>
  <si>
    <t>B</t>
  </si>
  <si>
    <t>C</t>
  </si>
  <si>
    <t>2% State Automation - GC 68090.8</t>
  </si>
  <si>
    <t>Sp</t>
  </si>
  <si>
    <t>Fine Component</t>
  </si>
  <si>
    <t>Standard PA, Fees and Surcharge</t>
  </si>
  <si>
    <t>Additional PA, Fees and Surcharge</t>
  </si>
  <si>
    <t>2% Automation</t>
  </si>
  <si>
    <t>State Restitution Fund</t>
  </si>
  <si>
    <t>CITY</t>
  </si>
  <si>
    <t>City %</t>
  </si>
  <si>
    <t>County %</t>
  </si>
  <si>
    <t>County DNA Identification Fund</t>
  </si>
  <si>
    <t>Description and Statute</t>
  </si>
  <si>
    <t>Revenue Distribution Account Mapping</t>
  </si>
  <si>
    <t>Per 10</t>
  </si>
  <si>
    <t>VC 40611</t>
  </si>
  <si>
    <t>Local Criminal Justice Facilities - GC 76101</t>
  </si>
  <si>
    <t>FINDINGS</t>
  </si>
  <si>
    <t>Local Courthouse Construction Fund - GC 76100</t>
  </si>
  <si>
    <t>County Courthouse Construction Fund</t>
  </si>
  <si>
    <t>County Maddy Emergency Medical Services Fund</t>
  </si>
  <si>
    <t>Traffic School Fee</t>
  </si>
  <si>
    <t>VC 42007.1</t>
  </si>
  <si>
    <t>State DNA Identification Fund3</t>
  </si>
  <si>
    <t>PC 1465.8</t>
  </si>
  <si>
    <t>Test No.</t>
  </si>
  <si>
    <t>Case No.</t>
  </si>
  <si>
    <t>Arrtg Agy</t>
  </si>
  <si>
    <t>VC 42006</t>
  </si>
  <si>
    <t>County Night Court Session Fund</t>
  </si>
  <si>
    <t>TOTAL FINE</t>
  </si>
  <si>
    <t xml:space="preserve">Court </t>
  </si>
  <si>
    <t>TOTALS</t>
  </si>
  <si>
    <t>USE IF THE TEST CASE IS UNDER A PAYMENT PLAN</t>
  </si>
  <si>
    <t>Payment Dates</t>
  </si>
  <si>
    <t>Fund Accounts</t>
  </si>
  <si>
    <t>Alameda</t>
  </si>
  <si>
    <t>Alpine</t>
  </si>
  <si>
    <t>Amador</t>
  </si>
  <si>
    <t>Butte</t>
  </si>
  <si>
    <t>Claveras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</si>
  <si>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</si>
  <si>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</si>
  <si>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</si>
  <si>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</si>
  <si>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</si>
  <si>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</si>
  <si>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</si>
  <si>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</si>
  <si>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</si>
  <si>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</si>
  <si>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</si>
  <si>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</si>
  <si>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</si>
  <si>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</si>
  <si>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</si>
  <si>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</si>
  <si>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</si>
  <si>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</si>
  <si>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</si>
  <si>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</si>
  <si>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</si>
  <si>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</si>
  <si>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</si>
  <si>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</si>
  <si>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</si>
  <si>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Plumas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</si>
  <si>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</si>
  <si>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</si>
  <si>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</si>
  <si>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</si>
  <si>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</si>
  <si>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</si>
  <si>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</si>
  <si>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</si>
  <si>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</si>
  <si>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</si>
  <si>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</si>
  <si>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</si>
  <si>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</si>
  <si>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</si>
  <si>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</si>
  <si>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</si>
  <si>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</si>
  <si>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</si>
  <si>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</si>
  <si>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</si>
  <si>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</si>
  <si>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</si>
  <si>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</si>
  <si>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</si>
  <si>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</si>
  <si>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</si>
  <si>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</si>
  <si>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Superior Court of </t>
  </si>
  <si>
    <t xml:space="preserve"> County</t>
  </si>
  <si>
    <t>SELECT COURT NAME</t>
  </si>
  <si>
    <t>Criminal Conviction Assessment</t>
  </si>
  <si>
    <t>Title</t>
  </si>
  <si>
    <t>GC 70373</t>
  </si>
  <si>
    <t>per violation NOT per case</t>
  </si>
  <si>
    <t>How Assessed</t>
  </si>
  <si>
    <t>New Assessment or Fee</t>
  </si>
  <si>
    <t>Infraction - $35 fee
Misd or Fel - $30</t>
  </si>
  <si>
    <t xml:space="preserve">Distribution </t>
  </si>
  <si>
    <t>State ICNA Fund</t>
  </si>
  <si>
    <t>State Courthouse Construction</t>
  </si>
  <si>
    <t>GC 70372A</t>
  </si>
  <si>
    <t>for every 10 of the base fine</t>
  </si>
  <si>
    <t>Proof of Correction (POC)</t>
  </si>
  <si>
    <t>from $10 to $25</t>
  </si>
  <si>
    <t>First $10 - same distribution
Remaining $15 and succeeding $25 - State ICNA Fund</t>
  </si>
  <si>
    <t>per case</t>
  </si>
  <si>
    <t>from $24 to $49</t>
  </si>
  <si>
    <t>49% or ~$24  - same distribution
51% or ~$25 - State ICNA Fund</t>
  </si>
  <si>
    <t>Insert line items in the testing worksheet for each of the following new fees and PA, when applicable</t>
  </si>
  <si>
    <t>same distribution</t>
  </si>
  <si>
    <t xml:space="preserve">from $5 reduced by LCCF to flat $5 per 10 </t>
  </si>
  <si>
    <t>from $20 to $30</t>
  </si>
  <si>
    <t>Effective 7/28/09</t>
  </si>
  <si>
    <t>Notes</t>
  </si>
  <si>
    <t>State ICNA</t>
  </si>
  <si>
    <t>UPDATES WHEN TESTING 2009 CASES ONWARDS (effective 1/1/09) - Per SB 1407</t>
  </si>
  <si>
    <t>UPDATES WHEN TESTING 2009 CASES  ONWARDS w/ Violation Date AFTER 7/28/09 - Per SB 13</t>
  </si>
  <si>
    <t>UPDATES WHEN TESTING 2009 CASES  ONWARDS (effective 1/1/09) - Per AB 1949</t>
  </si>
  <si>
    <t>Night Court Assessment Fee</t>
  </si>
  <si>
    <t>same ($1)</t>
  </si>
  <si>
    <t>per case (if levied by the County)</t>
  </si>
  <si>
    <t>New Distribution</t>
  </si>
  <si>
    <r>
      <rPr>
        <u/>
        <sz val="10"/>
        <rFont val="Arial"/>
        <family val="2"/>
      </rPr>
      <t>Before:</t>
    </r>
    <r>
      <rPr>
        <sz val="10"/>
        <rFont val="Arial"/>
        <family val="2"/>
      </rPr>
      <t xml:space="preserve">  County Night Court Session Fund
</t>
    </r>
    <r>
      <rPr>
        <u/>
        <sz val="10"/>
        <rFont val="Arial"/>
        <family val="2"/>
      </rPr>
      <t>Now:</t>
    </r>
    <r>
      <rPr>
        <sz val="10"/>
        <rFont val="Arial"/>
        <family val="2"/>
      </rPr>
      <t xml:space="preserve">  if Court is fully transferred, distributed to the Court Facilities Trust Fund (County to remit in new TC -31 line item).  If NOT fully transferred, distribution follows "Before" distribution.</t>
    </r>
  </si>
  <si>
    <t>Distribution To</t>
  </si>
  <si>
    <t>State ICNA Fund - LCCF divided by 5 or LCCF per 10
State CFCF - 5 less LCCF</t>
  </si>
  <si>
    <t>PC 1463.001 - Base County</t>
  </si>
  <si>
    <t>PC 1463.002 - Base City</t>
  </si>
  <si>
    <t>PC 1464 - State PA (7/10)</t>
  </si>
  <si>
    <t>PC 1464 - County PA (3/10)</t>
  </si>
  <si>
    <t>GC 76104.6 - DNA PA (1/10)</t>
  </si>
  <si>
    <t>GC 76100 - LCCF</t>
  </si>
  <si>
    <t>GC 76101 - LCJF</t>
  </si>
  <si>
    <t>GC 76104 - EMS</t>
  </si>
  <si>
    <t>PC 1465.7 - 20% Surcharge</t>
  </si>
  <si>
    <t>SUBTOTAL</t>
  </si>
  <si>
    <t>PC 1463.25 - Alcohol Edu PA (up to $50)</t>
  </si>
  <si>
    <t>PC 1202.4 - State Restitution</t>
  </si>
  <si>
    <t>GC 68090.8 - 2% Automation</t>
  </si>
  <si>
    <t>VC 42006 - Night Court Assmnt ($1)</t>
  </si>
  <si>
    <t>DISTRIBUTION</t>
  </si>
  <si>
    <t>BASE-UP</t>
  </si>
  <si>
    <t>EXPECTED DISTRIBUTION</t>
  </si>
  <si>
    <t>COURT DISTRIBUTION</t>
  </si>
  <si>
    <t>COURT</t>
  </si>
  <si>
    <t>Case Number</t>
  </si>
  <si>
    <t>VC 40508.6 - Priors Admin Fee (up to $10)</t>
  </si>
  <si>
    <t>Enhanced BASE</t>
  </si>
  <si>
    <t>CASE INFORMATION</t>
  </si>
  <si>
    <t>4. Enter standard and Court-specific fees</t>
  </si>
  <si>
    <t>1. Enter Case Information</t>
  </si>
  <si>
    <t>2. Enter the base fine per currrent UBS</t>
  </si>
  <si>
    <t>3. Enter the Court's GC 76000 PA per 10 amts</t>
  </si>
  <si>
    <t>6. Enter Court's distribution codes &amp; amts</t>
  </si>
  <si>
    <r>
      <t xml:space="preserve">EXPECTED
</t>
    </r>
    <r>
      <rPr>
        <b/>
        <sz val="10"/>
        <rFont val="Calibri"/>
        <family val="2"/>
      </rPr>
      <t>(After 2%)</t>
    </r>
  </si>
  <si>
    <t>TOTAL BASE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</si>
  <si>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Fees ($50)</t>
    </r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</si>
  <si>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($20)</t>
    </r>
  </si>
  <si>
    <t>Violation Description</t>
  </si>
  <si>
    <t>7. Mark any findings numerically then detail below</t>
  </si>
  <si>
    <t>Total</t>
  </si>
  <si>
    <r>
      <rPr>
        <b/>
        <sz val="12"/>
        <rFont val="Calibri"/>
        <family val="2"/>
      </rPr>
      <t>BASE-UP</t>
    </r>
    <r>
      <rPr>
        <b/>
        <sz val="10"/>
        <rFont val="Calibri"/>
        <family val="2"/>
      </rPr>
      <t xml:space="preserve">
(Standard-Per UBS)</t>
    </r>
  </si>
  <si>
    <t>DISTRIB AMT</t>
  </si>
  <si>
    <t>DISTRIB
ENTITY</t>
  </si>
  <si>
    <t>$ BY ENTITY</t>
  </si>
  <si>
    <t>Crt OR Cty</t>
  </si>
  <si>
    <r>
      <t xml:space="preserve">TOP-DOWN
</t>
    </r>
    <r>
      <rPr>
        <b/>
        <sz val="10"/>
        <rFont val="Calibri"/>
        <family val="2"/>
      </rPr>
      <t>(IAS-Using Sub total % of Std)</t>
    </r>
  </si>
  <si>
    <t>COUNT 2 (if any)</t>
  </si>
  <si>
    <t>GC 76102 - Auto Fingerprint</t>
  </si>
  <si>
    <t>5. If case's total fine is NOT standard, enter total fine and select TOP-DOWN from list</t>
  </si>
  <si>
    <r>
      <rPr>
        <b/>
        <sz val="12"/>
        <color indexed="10"/>
        <rFont val="Calibri"/>
        <family val="2"/>
      </rPr>
      <t>VARIANCE</t>
    </r>
    <r>
      <rPr>
        <b/>
        <sz val="10"/>
        <color indexed="10"/>
        <rFont val="Calibri"/>
        <family val="2"/>
      </rPr>
      <t xml:space="preserve">
</t>
    </r>
    <r>
      <rPr>
        <b/>
        <sz val="10"/>
        <rFont val="Calibri"/>
        <family val="2"/>
      </rPr>
      <t>Over</t>
    </r>
    <r>
      <rPr>
        <b/>
        <sz val="10"/>
        <color indexed="10"/>
        <rFont val="Calibri"/>
        <family val="2"/>
      </rPr>
      <t>/
(Under)</t>
    </r>
  </si>
  <si>
    <t>BASE FINE</t>
  </si>
  <si>
    <t xml:space="preserve">1 - Driving Under Influence - </t>
  </si>
  <si>
    <t>GC 70373 - Crim Conv Assmnt ($30 for misd/$35 for infr)</t>
  </si>
  <si>
    <t>DISTRIB CODE or DESCRIPTION</t>
  </si>
  <si>
    <r>
      <t xml:space="preserve">TEST STEPS </t>
    </r>
    <r>
      <rPr>
        <sz val="12"/>
        <rFont val="Calibri"/>
        <family val="2"/>
      </rPr>
      <t>(color codes)</t>
    </r>
    <r>
      <rPr>
        <b/>
        <sz val="14"/>
        <rFont val="Calibri"/>
        <family val="2"/>
      </rPr>
      <t>:</t>
    </r>
  </si>
  <si>
    <t>PC 1203.1(L) - Restitution Fee (up to 10% of total rest)</t>
  </si>
  <si>
    <t>VC 23152</t>
  </si>
  <si>
    <t>CHP - outside city</t>
  </si>
  <si>
    <t>DUI of Alcohol/Drugs</t>
  </si>
  <si>
    <t>misdemeanor</t>
  </si>
  <si>
    <t>TOTAL Enhanced Base</t>
  </si>
  <si>
    <t xml:space="preserve">Portion of 10 </t>
  </si>
  <si>
    <t>GC 76104.7 - DNA Addl PA (3/10 eff 6-10-10; prev 1/10)</t>
  </si>
  <si>
    <t>GC 70372(a) - ICNA (equal to LCCF)</t>
  </si>
  <si>
    <t>GC 70372(a) - SCFCF (5/10 minus LCCF)</t>
  </si>
  <si>
    <t>GC 70372(a) total is $5 for every 10</t>
  </si>
  <si>
    <t>CASE NUMBER</t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</si>
  <si>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Fees (BOS: $50)</t>
    </r>
  </si>
  <si>
    <t>PC 1463.13 - Alcohol &amp; Drug Assmnt (BOS: up to $150)</t>
  </si>
  <si>
    <t>PC 1205(d) - Installment Fee (BOS: up to $30 OR up to $35)</t>
  </si>
  <si>
    <t>GC 76000.5 - EMS Addl PA (BOS: 2/10)</t>
  </si>
  <si>
    <t>PC 1465.8 - Court Sec Fee ($30 eff 7-28-09, prev $20)</t>
  </si>
  <si>
    <t>STANDARD BASE-UP</t>
  </si>
  <si>
    <t>Standard-Per UBS</t>
  </si>
  <si>
    <r>
      <t xml:space="preserve">FINAL
</t>
    </r>
    <r>
      <rPr>
        <b/>
        <sz val="10"/>
        <rFont val="Calibri"/>
        <family val="2"/>
      </rPr>
      <t>(After 2%)</t>
    </r>
  </si>
  <si>
    <t>BASE-UP   (B-A)</t>
  </si>
  <si>
    <t>TOP-DOWN   (B-C)</t>
  </si>
  <si>
    <t>Entity</t>
  </si>
  <si>
    <t>BU $</t>
  </si>
  <si>
    <t>Traffic Infraction</t>
  </si>
  <si>
    <t>sunsets on 7/1/13 unless deleted or extended before 1/1/14</t>
  </si>
  <si>
    <r>
      <rPr>
        <b/>
        <sz val="10"/>
        <rFont val="Arial"/>
        <family val="2"/>
      </rPr>
      <t xml:space="preserve">Auditor's Note: </t>
    </r>
    <r>
      <rPr>
        <sz val="10"/>
        <rFont val="Arial"/>
        <family val="2"/>
      </rPr>
      <t xml:space="preserve"> However, per PC 1203.1d (e), any addition or increase after 1/1/09 will be </t>
    </r>
    <r>
      <rPr>
        <u/>
        <sz val="10"/>
        <rFont val="Arial"/>
        <family val="2"/>
      </rPr>
      <t>last distrib priority</t>
    </r>
    <r>
      <rPr>
        <sz val="10"/>
        <rFont val="Arial"/>
        <family val="2"/>
      </rPr>
      <t xml:space="preserve">.  &lt;AWAITING OGC opinion by Jasmin&gt;
</t>
    </r>
  </si>
  <si>
    <t>per conviction NOT per case</t>
  </si>
  <si>
    <t xml:space="preserve">per convicted violation  </t>
  </si>
  <si>
    <t>COMMENTS</t>
  </si>
  <si>
    <t>CMS Account Code</t>
  </si>
  <si>
    <t>Code Description</t>
  </si>
  <si>
    <t>GC 76104.5 - DNA ID</t>
  </si>
  <si>
    <t>PC 1465.8 - Court Ops Assmnt ($40 eff 10-19-10)</t>
  </si>
  <si>
    <t>County Court Construction Fund</t>
  </si>
  <si>
    <t>Prorate % After Fixed Amts</t>
  </si>
  <si>
    <t>7. Tickmark any FINDINGS numerically then detail below</t>
  </si>
  <si>
    <t>Yes</t>
  </si>
  <si>
    <t>No</t>
  </si>
  <si>
    <t>NA-County Arrest</t>
  </si>
  <si>
    <t>NA-City Arrest</t>
  </si>
  <si>
    <t>CNTY or CTY</t>
  </si>
  <si>
    <t>State DNA ID Fund</t>
  </si>
  <si>
    <t>GC 76104.7 - DNA Addl PA (4/10 eff 6-27-12; prev 3/10)</t>
  </si>
  <si>
    <t xml:space="preserve">As of: </t>
  </si>
  <si>
    <t>GC 68090.8 - 2% State Automation (for fines, penalties &amp; forfeitures</t>
  </si>
  <si>
    <t xml:space="preserve">State Court Construction Penalty - GC 70372 </t>
  </si>
  <si>
    <t xml:space="preserve">Emergency Medical Services - GC 76104 </t>
  </si>
  <si>
    <t>Base Fine - PC 1463.001 (County Portion)</t>
  </si>
  <si>
    <t>Base Fine - PC 1463.001 (City Portion)</t>
  </si>
  <si>
    <t>State PA  - PC 1464</t>
  </si>
  <si>
    <t>County PA - PC 1464</t>
  </si>
  <si>
    <t>EMS Additional Penalty - GC 76000.5</t>
  </si>
  <si>
    <t xml:space="preserve">DNA Identification PA - GC 76104.6 </t>
  </si>
  <si>
    <t xml:space="preserve">DNA Additional PA. - GC 76104.7 </t>
  </si>
  <si>
    <t xml:space="preserve">20% Surcharge - PC 1465.7 </t>
  </si>
  <si>
    <t>Court Operations Assessment - PC 1465.8</t>
  </si>
  <si>
    <t>County DNA ID Fund/State DNA ID Fund (75%/25%)</t>
  </si>
  <si>
    <t>State Penalty Fund (70%)</t>
  </si>
  <si>
    <t>County General Fund (30%)</t>
  </si>
  <si>
    <t>State Court Facilities Construction Fund/SCFCF-ICNA</t>
  </si>
  <si>
    <t>PC 1464 - State PA - State portion (70%)</t>
  </si>
  <si>
    <t>PC 1464 - State PA - County portion (30%)</t>
  </si>
  <si>
    <t>Calaveras</t>
  </si>
  <si>
    <t>County</t>
  </si>
  <si>
    <t>Answer</t>
  </si>
  <si>
    <t>Please choose the county:</t>
  </si>
  <si>
    <t>GC 76000</t>
  </si>
  <si>
    <t>Test for Local Penalties</t>
  </si>
  <si>
    <t>Has the county transferred responsibility for court facilities to the State?</t>
  </si>
  <si>
    <t>Has county paid off all indebtedness for court facilities?</t>
  </si>
  <si>
    <t>GC 76000 (e)</t>
  </si>
  <si>
    <t>GC 76104.6 - DNA PA (1/10) 25%</t>
  </si>
  <si>
    <t>GC 76104.6 - DNA PA (1/10) 75%</t>
  </si>
  <si>
    <t>GC 70372(a): SCFCF (5/10)</t>
  </si>
  <si>
    <t>3. Enter county local penalties, add'l EMS, SCFCF</t>
  </si>
  <si>
    <t>VC 22349(b)</t>
  </si>
  <si>
    <t>1-15 MPH over 55 MPH</t>
  </si>
  <si>
    <t>TD 1 $</t>
  </si>
  <si>
    <t>TD 2 $</t>
  </si>
  <si>
    <t>5. If case's total fine is NOT standard, enter total fine and select TOP-DOWN 1 or 2 from drop-down list</t>
  </si>
  <si>
    <t>TOP-DOWN METHOD 1</t>
  </si>
  <si>
    <t>TOP-DOWN METHOD 2</t>
  </si>
  <si>
    <t xml:space="preserve">Prorate All by Same % </t>
  </si>
  <si>
    <t>Case Study 1 - Speeding Bail Forfeiture</t>
  </si>
  <si>
    <r>
      <t>County Night Court Session Fund/</t>
    </r>
    <r>
      <rPr>
        <b/>
        <sz val="11"/>
        <rFont val="Calibri"/>
        <family val="2"/>
        <scheme val="minor"/>
      </rPr>
      <t>Court Facilities Trust Fund</t>
    </r>
  </si>
  <si>
    <t>Automated Fingerprint Identification Fund</t>
  </si>
  <si>
    <t>State DNA Identification Fund</t>
  </si>
  <si>
    <t>Trial Court Improvement and Modernization Fund</t>
  </si>
  <si>
    <t>El Cajon PD</t>
  </si>
  <si>
    <t>2. Enter the base fine of violation per current 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</si>
</sst>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0_);[Red]\(0.00\)"/>
    <numFmt numFmtId="167" formatCode="0_);[Red]\(0\)"/>
    <numFmt numFmtId="168" formatCode="mmmm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i/>
      <sz val="12"/>
      <name val="Calibri"/>
      <family val="2"/>
      <scheme val="minor"/>
    </font>
    <font>
      <sz val="9"/>
      <color rgb="FF333333"/>
      <name val="Verdana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FBBB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83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7" fillId="0" borderId="0" xfId="0" applyFont="1"/>
    <xf numFmtId="14" fontId="0" fillId="0" borderId="0" xfId="0" applyNumberFormat="1" applyAlignment="1">
      <alignment vertical="top"/>
    </xf>
    <xf numFmtId="14" fontId="2" fillId="2" borderId="1" xfId="0" applyNumberFormat="1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14" fontId="2" fillId="0" borderId="0" xfId="0" applyNumberFormat="1" applyFont="1" applyAlignment="1">
      <alignment horizontal="center" vertical="top"/>
    </xf>
    <xf numFmtId="14" fontId="2" fillId="0" borderId="1" xfId="0" applyNumberFormat="1" applyFont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1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0" fontId="21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5" fillId="0" borderId="0" xfId="0" applyFont="1"/>
    <xf numFmtId="0" fontId="22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3" fillId="0" borderId="0" xfId="0" applyFont="1" applyAlignment="1" applyProtection="1">
      <alignment vertical="top"/>
      <protection locked="0"/>
    </xf>
    <xf numFmtId="0" fontId="24" fillId="7" borderId="0" xfId="0" applyFont="1" applyFill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horizontal="left" vertical="top"/>
      <protection locked="0"/>
    </xf>
    <xf numFmtId="0" fontId="24" fillId="7" borderId="4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vertical="top"/>
      <protection locked="0"/>
    </xf>
    <xf numFmtId="0" fontId="25" fillId="8" borderId="5" xfId="0" applyFont="1" applyFill="1" applyBorder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vertical="top"/>
      <protection locked="0"/>
    </xf>
    <xf numFmtId="0" fontId="25" fillId="9" borderId="6" xfId="0" applyFont="1" applyFill="1" applyBorder="1" applyAlignment="1" applyProtection="1">
      <alignment horizontal="center" vertical="top"/>
      <protection locked="0"/>
    </xf>
    <xf numFmtId="6" fontId="25" fillId="7" borderId="0" xfId="0" applyNumberFormat="1" applyFont="1" applyFill="1" applyAlignment="1" applyProtection="1">
      <alignment horizontal="right" vertical="top" wrapText="1"/>
      <protection locked="0"/>
    </xf>
    <xf numFmtId="0" fontId="25" fillId="7" borderId="0" xfId="0" applyFont="1" applyFill="1" applyAlignment="1" applyProtection="1">
      <alignment vertical="top" wrapText="1"/>
      <protection locked="0"/>
    </xf>
    <xf numFmtId="0" fontId="25" fillId="7" borderId="0" xfId="0" applyFont="1" applyFill="1" applyAlignment="1" applyProtection="1">
      <alignment horizontal="right" vertical="top" wrapText="1"/>
      <protection locked="0"/>
    </xf>
    <xf numFmtId="165" fontId="26" fillId="7" borderId="0" xfId="0" applyNumberFormat="1" applyFont="1" applyFill="1" applyAlignment="1" applyProtection="1">
      <alignment vertical="top"/>
      <protection locked="0"/>
    </xf>
    <xf numFmtId="164" fontId="25" fillId="7" borderId="0" xfId="0" applyNumberFormat="1" applyFont="1" applyFill="1" applyAlignment="1" applyProtection="1">
      <alignment vertical="top"/>
      <protection locked="0"/>
    </xf>
    <xf numFmtId="0" fontId="25" fillId="7" borderId="0" xfId="0" applyFont="1" applyFill="1" applyAlignment="1" applyProtection="1">
      <alignment horizontal="left" vertical="top" wrapText="1"/>
      <protection locked="0"/>
    </xf>
    <xf numFmtId="9" fontId="27" fillId="7" borderId="7" xfId="0" applyNumberFormat="1" applyFont="1" applyFill="1" applyBorder="1" applyAlignment="1" applyProtection="1">
      <alignment horizontal="center" vertical="top" textRotation="90" wrapText="1"/>
      <protection locked="0"/>
    </xf>
    <xf numFmtId="9" fontId="27" fillId="5" borderId="0" xfId="0" applyNumberFormat="1" applyFont="1" applyFill="1" applyAlignment="1" applyProtection="1">
      <alignment horizontal="center" vertical="top" textRotation="90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right"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2" fontId="22" fillId="5" borderId="0" xfId="0" applyNumberFormat="1" applyFont="1" applyFill="1" applyAlignment="1" applyProtection="1">
      <alignment vertical="top"/>
      <protection locked="0"/>
    </xf>
    <xf numFmtId="164" fontId="22" fillId="0" borderId="1" xfId="0" applyNumberFormat="1" applyFont="1" applyBorder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2" fontId="22" fillId="0" borderId="8" xfId="0" applyNumberFormat="1" applyFont="1" applyBorder="1" applyAlignment="1" applyProtection="1">
      <alignment vertical="top"/>
      <protection locked="0"/>
    </xf>
    <xf numFmtId="0" fontId="22" fillId="10" borderId="1" xfId="0" applyFont="1" applyFill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5" borderId="0" xfId="0" applyFont="1" applyFill="1" applyAlignment="1" applyProtection="1">
      <alignment vertical="top"/>
      <protection locked="0"/>
    </xf>
    <xf numFmtId="0" fontId="28" fillId="0" borderId="1" xfId="0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 applyProtection="1">
      <alignment horizontal="right" vertical="top" wrapText="1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164" fontId="28" fillId="0" borderId="1" xfId="0" applyNumberFormat="1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22" fillId="11" borderId="1" xfId="0" applyFont="1" applyFill="1" applyBorder="1" applyAlignment="1" applyProtection="1">
      <alignment vertical="top" wrapText="1"/>
      <protection locked="0"/>
    </xf>
    <xf numFmtId="0" fontId="22" fillId="11" borderId="1" xfId="0" applyFont="1" applyFill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0" fontId="22" fillId="0" borderId="1" xfId="0" applyFont="1" applyBorder="1" applyAlignment="1" applyProtection="1">
      <alignment horizontal="right" vertical="top"/>
      <protection locked="0"/>
    </xf>
    <xf numFmtId="0" fontId="22" fillId="0" borderId="1" xfId="0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3" fillId="5" borderId="0" xfId="0" applyFont="1" applyFill="1" applyAlignment="1" applyProtection="1">
      <alignment vertical="top"/>
      <protection locked="0"/>
    </xf>
    <xf numFmtId="165" fontId="29" fillId="0" borderId="0" xfId="0" applyNumberFormat="1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/>
      <protection locked="0"/>
    </xf>
    <xf numFmtId="2" fontId="22" fillId="0" borderId="1" xfId="0" applyNumberFormat="1" applyFont="1" applyBorder="1" applyAlignment="1">
      <alignment vertical="top" wrapText="1"/>
    </xf>
    <xf numFmtId="164" fontId="22" fillId="0" borderId="3" xfId="0" applyNumberFormat="1" applyFont="1" applyBorder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1" fillId="5" borderId="0" xfId="0" applyFont="1" applyFill="1" applyAlignment="1">
      <alignment horizontal="center" vertical="top" wrapText="1"/>
    </xf>
    <xf numFmtId="0" fontId="31" fillId="5" borderId="0" xfId="0" applyFont="1" applyFill="1" applyAlignment="1">
      <alignment horizontal="center" vertical="top"/>
    </xf>
    <xf numFmtId="9" fontId="27" fillId="6" borderId="10" xfId="0" applyNumberFormat="1" applyFont="1" applyFill="1" applyBorder="1" applyAlignment="1">
      <alignment horizontal="center" vertical="top" wrapText="1"/>
    </xf>
    <xf numFmtId="0" fontId="27" fillId="6" borderId="10" xfId="0" applyFont="1" applyFill="1" applyBorder="1" applyAlignment="1">
      <alignment horizontal="center" vertical="top" wrapText="1"/>
    </xf>
    <xf numFmtId="0" fontId="27" fillId="6" borderId="11" xfId="0" applyFont="1" applyFill="1" applyBorder="1" applyAlignment="1">
      <alignment horizontal="center" vertical="top" wrapText="1"/>
    </xf>
    <xf numFmtId="9" fontId="27" fillId="6" borderId="12" xfId="0" applyNumberFormat="1" applyFont="1" applyFill="1" applyBorder="1" applyAlignment="1">
      <alignment horizontal="center" vertical="top" wrapText="1"/>
    </xf>
    <xf numFmtId="0" fontId="27" fillId="6" borderId="12" xfId="0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3" xfId="0" applyNumberFormat="1" applyFont="1" applyFill="1" applyBorder="1" applyAlignment="1">
      <alignment horizontal="center" vertical="top" wrapText="1"/>
    </xf>
    <xf numFmtId="0" fontId="31" fillId="6" borderId="0" xfId="0" applyFont="1" applyFill="1" applyAlignment="1">
      <alignment horizontal="center" vertical="top" wrapText="1"/>
    </xf>
    <xf numFmtId="2" fontId="31" fillId="6" borderId="10" xfId="0" applyNumberFormat="1" applyFont="1" applyFill="1" applyBorder="1" applyAlignment="1">
      <alignment horizontal="center" vertical="top" wrapText="1"/>
    </xf>
    <xf numFmtId="2" fontId="32" fillId="5" borderId="0" xfId="0" applyNumberFormat="1" applyFont="1" applyFill="1" applyAlignment="1">
      <alignment horizontal="center" vertical="top" wrapText="1"/>
    </xf>
    <xf numFmtId="2" fontId="28" fillId="0" borderId="0" xfId="0" applyNumberFormat="1" applyFont="1" applyAlignment="1">
      <alignment vertical="top"/>
    </xf>
    <xf numFmtId="0" fontId="22" fillId="7" borderId="0" xfId="0" applyFont="1" applyFill="1" applyAlignment="1" applyProtection="1">
      <alignment horizontal="center" vertical="top"/>
      <protection locked="0"/>
    </xf>
    <xf numFmtId="0" fontId="22" fillId="7" borderId="0" xfId="0" applyFont="1" applyFill="1" applyAlignment="1" applyProtection="1">
      <alignment horizontal="left" vertical="top"/>
      <protection locked="0"/>
    </xf>
    <xf numFmtId="0" fontId="22" fillId="7" borderId="0" xfId="0" applyFont="1" applyFill="1" applyAlignment="1" applyProtection="1">
      <alignment vertical="top"/>
      <protection locked="0"/>
    </xf>
    <xf numFmtId="2" fontId="22" fillId="7" borderId="0" xfId="0" applyNumberFormat="1" applyFont="1" applyFill="1" applyAlignment="1">
      <alignment vertical="top"/>
    </xf>
    <xf numFmtId="2" fontId="22" fillId="7" borderId="9" xfId="0" applyNumberFormat="1" applyFont="1" applyFill="1" applyBorder="1" applyAlignment="1" applyProtection="1">
      <alignment vertical="top"/>
      <protection locked="0"/>
    </xf>
    <xf numFmtId="2" fontId="22" fillId="7" borderId="0" xfId="0" applyNumberFormat="1" applyFont="1" applyFill="1" applyAlignment="1" applyProtection="1">
      <alignment vertical="top"/>
      <protection locked="0"/>
    </xf>
    <xf numFmtId="0" fontId="22" fillId="7" borderId="0" xfId="0" applyFont="1" applyFill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horizontal="center" vertical="top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2" fontId="23" fillId="7" borderId="0" xfId="0" applyNumberFormat="1" applyFont="1" applyFill="1" applyAlignment="1" applyProtection="1">
      <alignment vertical="top"/>
      <protection locked="0"/>
    </xf>
    <xf numFmtId="2" fontId="30" fillId="7" borderId="0" xfId="0" applyNumberFormat="1" applyFont="1" applyFill="1" applyAlignment="1" applyProtection="1">
      <alignment vertical="top"/>
      <protection locked="0"/>
    </xf>
    <xf numFmtId="165" fontId="29" fillId="7" borderId="0" xfId="0" applyNumberFormat="1" applyFont="1" applyFill="1" applyAlignment="1" applyProtection="1">
      <alignment vertical="top"/>
      <protection locked="0"/>
    </xf>
    <xf numFmtId="0" fontId="23" fillId="7" borderId="0" xfId="0" applyFont="1" applyFill="1" applyAlignment="1" applyProtection="1">
      <alignment vertical="top" wrapText="1"/>
      <protection locked="0"/>
    </xf>
    <xf numFmtId="0" fontId="33" fillId="7" borderId="1" xfId="0" applyFont="1" applyFill="1" applyBorder="1" applyAlignment="1" applyProtection="1">
      <alignment horizontal="center" vertical="top"/>
      <protection locked="0"/>
    </xf>
    <xf numFmtId="0" fontId="33" fillId="7" borderId="0" xfId="0" applyFont="1" applyFill="1" applyAlignment="1" applyProtection="1">
      <alignment vertical="top"/>
      <protection locked="0"/>
    </xf>
    <xf numFmtId="0" fontId="30" fillId="7" borderId="0" xfId="0" applyFont="1" applyFill="1" applyAlignment="1" applyProtection="1">
      <alignment vertical="top"/>
      <protection locked="0"/>
    </xf>
    <xf numFmtId="0" fontId="28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 applyProtection="1">
      <alignment horizontal="center" vertical="top"/>
      <protection locked="0"/>
    </xf>
    <xf numFmtId="0" fontId="31" fillId="7" borderId="0" xfId="0" applyFont="1" applyFill="1" applyAlignment="1" applyProtection="1">
      <alignment horizontal="right" vertical="top"/>
      <protection locked="0"/>
    </xf>
    <xf numFmtId="164" fontId="31" fillId="7" borderId="0" xfId="0" applyNumberFormat="1" applyFont="1" applyFill="1" applyAlignment="1" applyProtection="1">
      <alignment vertical="top"/>
      <protection locked="0"/>
    </xf>
    <xf numFmtId="164" fontId="31" fillId="7" borderId="0" xfId="0" applyNumberFormat="1" applyFont="1" applyFill="1" applyAlignment="1" applyProtection="1">
      <alignment horizontal="center" vertical="top"/>
      <protection locked="0"/>
    </xf>
    <xf numFmtId="2" fontId="31" fillId="7" borderId="1" xfId="0" applyNumberFormat="1" applyFont="1" applyFill="1" applyBorder="1" applyAlignment="1">
      <alignment vertical="top"/>
    </xf>
    <xf numFmtId="2" fontId="31" fillId="7" borderId="0" xfId="0" applyNumberFormat="1" applyFont="1" applyFill="1" applyAlignment="1">
      <alignment vertical="top"/>
    </xf>
    <xf numFmtId="2" fontId="31" fillId="7" borderId="0" xfId="0" applyNumberFormat="1" applyFont="1" applyFill="1" applyAlignment="1" applyProtection="1">
      <alignment vertical="top"/>
      <protection locked="0"/>
    </xf>
    <xf numFmtId="2" fontId="31" fillId="7" borderId="14" xfId="0" applyNumberFormat="1" applyFont="1" applyFill="1" applyBorder="1" applyAlignment="1">
      <alignment vertical="top"/>
    </xf>
    <xf numFmtId="0" fontId="31" fillId="7" borderId="0" xfId="0" applyFont="1" applyFill="1" applyAlignment="1" applyProtection="1">
      <alignment vertical="top" wrapText="1"/>
      <protection locked="0"/>
    </xf>
    <xf numFmtId="166" fontId="22" fillId="0" borderId="3" xfId="0" applyNumberFormat="1" applyFont="1" applyBorder="1" applyAlignment="1" applyProtection="1">
      <alignment vertical="top" wrapText="1"/>
      <protection locked="0"/>
    </xf>
    <xf numFmtId="166" fontId="22" fillId="0" borderId="1" xfId="0" applyNumberFormat="1" applyFont="1" applyBorder="1" applyAlignment="1">
      <alignment vertical="top" wrapText="1"/>
    </xf>
    <xf numFmtId="166" fontId="22" fillId="0" borderId="1" xfId="0" applyNumberFormat="1" applyFont="1" applyBorder="1" applyAlignment="1" applyProtection="1">
      <alignment vertical="top" wrapText="1"/>
      <protection locked="0"/>
    </xf>
    <xf numFmtId="166" fontId="28" fillId="0" borderId="1" xfId="0" applyNumberFormat="1" applyFont="1" applyBorder="1" applyAlignment="1">
      <alignment vertical="top" wrapText="1"/>
    </xf>
    <xf numFmtId="165" fontId="34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vertical="top" wrapText="1"/>
    </xf>
    <xf numFmtId="166" fontId="22" fillId="0" borderId="3" xfId="0" applyNumberFormat="1" applyFont="1" applyBorder="1" applyAlignment="1">
      <alignment vertical="top" wrapText="1"/>
    </xf>
    <xf numFmtId="10" fontId="35" fillId="6" borderId="12" xfId="4" applyNumberFormat="1" applyFont="1" applyFill="1" applyBorder="1" applyAlignment="1" applyProtection="1">
      <alignment horizontal="center" vertical="top" wrapText="1"/>
    </xf>
    <xf numFmtId="166" fontId="22" fillId="0" borderId="15" xfId="0" applyNumberFormat="1" applyFont="1" applyBorder="1" applyAlignment="1">
      <alignment vertical="top" wrapText="1"/>
    </xf>
    <xf numFmtId="2" fontId="22" fillId="0" borderId="16" xfId="0" applyNumberFormat="1" applyFont="1" applyBorder="1" applyAlignment="1">
      <alignment vertical="top" wrapText="1"/>
    </xf>
    <xf numFmtId="2" fontId="22" fillId="5" borderId="0" xfId="0" applyNumberFormat="1" applyFont="1" applyFill="1" applyAlignment="1" applyProtection="1">
      <alignment vertical="top" wrapText="1"/>
      <protection locked="0"/>
    </xf>
    <xf numFmtId="2" fontId="28" fillId="0" borderId="0" xfId="0" applyNumberFormat="1" applyFont="1" applyAlignment="1" applyProtection="1">
      <alignment vertical="top" wrapText="1"/>
      <protection locked="0"/>
    </xf>
    <xf numFmtId="166" fontId="22" fillId="0" borderId="17" xfId="0" applyNumberFormat="1" applyFont="1" applyBorder="1" applyAlignment="1">
      <alignment vertical="top" wrapText="1"/>
    </xf>
    <xf numFmtId="166" fontId="22" fillId="0" borderId="8" xfId="0" applyNumberFormat="1" applyFont="1" applyBorder="1" applyAlignment="1">
      <alignment vertical="top" wrapText="1"/>
    </xf>
    <xf numFmtId="166" fontId="28" fillId="0" borderId="8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7" borderId="9" xfId="0" applyFont="1" applyFill="1" applyBorder="1" applyAlignment="1" applyProtection="1">
      <alignment vertical="top"/>
      <protection locked="0"/>
    </xf>
    <xf numFmtId="2" fontId="31" fillId="7" borderId="18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vertical="top"/>
      <protection locked="0"/>
    </xf>
    <xf numFmtId="0" fontId="24" fillId="7" borderId="7" xfId="0" applyFont="1" applyFill="1" applyBorder="1" applyAlignment="1" applyProtection="1">
      <alignment horizontal="center" vertical="top"/>
      <protection locked="0"/>
    </xf>
    <xf numFmtId="2" fontId="25" fillId="7" borderId="1" xfId="0" applyNumberFormat="1" applyFont="1" applyFill="1" applyBorder="1" applyAlignment="1">
      <alignment vertical="top"/>
    </xf>
    <xf numFmtId="2" fontId="35" fillId="7" borderId="0" xfId="0" applyNumberFormat="1" applyFont="1" applyFill="1" applyAlignment="1">
      <alignment vertical="top"/>
    </xf>
    <xf numFmtId="2" fontId="22" fillId="10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Border="1" applyAlignment="1">
      <alignment horizontal="center" vertical="top" wrapText="1"/>
    </xf>
    <xf numFmtId="165" fontId="22" fillId="7" borderId="0" xfId="0" applyNumberFormat="1" applyFont="1" applyFill="1" applyAlignment="1">
      <alignment vertical="top"/>
    </xf>
    <xf numFmtId="2" fontId="28" fillId="0" borderId="8" xfId="0" applyNumberFormat="1" applyFont="1" applyBorder="1" applyAlignment="1">
      <alignment vertical="top"/>
    </xf>
    <xf numFmtId="0" fontId="31" fillId="7" borderId="19" xfId="0" applyFont="1" applyFill="1" applyBorder="1" applyAlignment="1" applyProtection="1">
      <alignment vertical="top"/>
      <protection locked="0"/>
    </xf>
    <xf numFmtId="0" fontId="31" fillId="7" borderId="20" xfId="0" applyFont="1" applyFill="1" applyBorder="1" applyAlignment="1" applyProtection="1">
      <alignment vertical="top"/>
      <protection locked="0"/>
    </xf>
    <xf numFmtId="0" fontId="31" fillId="7" borderId="21" xfId="0" applyFont="1" applyFill="1" applyBorder="1" applyAlignment="1" applyProtection="1">
      <alignment vertical="top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32" fillId="6" borderId="22" xfId="0" applyNumberFormat="1" applyFont="1" applyFill="1" applyBorder="1" applyAlignment="1">
      <alignment horizontal="center" vertical="top" wrapText="1"/>
    </xf>
    <xf numFmtId="2" fontId="22" fillId="0" borderId="17" xfId="0" applyNumberFormat="1" applyFont="1" applyBorder="1" applyAlignment="1" applyProtection="1">
      <alignment vertical="top"/>
      <protection locked="0"/>
    </xf>
    <xf numFmtId="0" fontId="36" fillId="7" borderId="0" xfId="0" applyFont="1" applyFill="1" applyAlignment="1">
      <alignment vertical="center" wrapText="1"/>
    </xf>
    <xf numFmtId="0" fontId="36" fillId="7" borderId="23" xfId="0" applyFont="1" applyFill="1" applyBorder="1" applyAlignment="1">
      <alignment vertical="center" wrapText="1"/>
    </xf>
    <xf numFmtId="166" fontId="31" fillId="7" borderId="1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horizontal="right" vertical="top"/>
      <protection locked="0"/>
    </xf>
    <xf numFmtId="166" fontId="22" fillId="12" borderId="1" xfId="0" applyNumberFormat="1" applyFont="1" applyFill="1" applyBorder="1" applyAlignment="1" applyProtection="1">
      <alignment vertical="top" wrapText="1"/>
      <protection locked="0"/>
    </xf>
    <xf numFmtId="166" fontId="22" fillId="12" borderId="1" xfId="0" applyNumberFormat="1" applyFont="1" applyFill="1" applyBorder="1" applyAlignment="1" applyProtection="1">
      <alignment vertical="top"/>
      <protection locked="0"/>
    </xf>
    <xf numFmtId="2" fontId="31" fillId="13" borderId="1" xfId="0" applyNumberFormat="1" applyFont="1" applyFill="1" applyBorder="1" applyAlignment="1" applyProtection="1">
      <alignment vertical="top"/>
      <protection locked="0"/>
    </xf>
    <xf numFmtId="0" fontId="31" fillId="7" borderId="25" xfId="0" applyFont="1" applyFill="1" applyBorder="1" applyAlignment="1" applyProtection="1">
      <alignment vertical="top"/>
      <protection locked="0"/>
    </xf>
    <xf numFmtId="0" fontId="25" fillId="8" borderId="26" xfId="0" applyFont="1" applyFill="1" applyBorder="1" applyAlignment="1" applyProtection="1">
      <alignment horizontal="center" vertical="top"/>
      <protection locked="0"/>
    </xf>
    <xf numFmtId="0" fontId="36" fillId="7" borderId="0" xfId="0" applyFont="1" applyFill="1" applyAlignment="1" applyProtection="1">
      <alignment horizontal="left" vertical="top"/>
      <protection locked="0"/>
    </xf>
    <xf numFmtId="0" fontId="27" fillId="7" borderId="0" xfId="0" applyFont="1" applyFill="1" applyAlignment="1">
      <alignment vertical="center" wrapText="1"/>
    </xf>
    <xf numFmtId="0" fontId="25" fillId="7" borderId="27" xfId="0" applyFont="1" applyFill="1" applyBorder="1" applyAlignment="1">
      <alignment horizontal="center" vertical="top"/>
    </xf>
    <xf numFmtId="0" fontId="25" fillId="7" borderId="28" xfId="0" applyFont="1" applyFill="1" applyBorder="1" applyAlignment="1">
      <alignment horizontal="center" vertical="top"/>
    </xf>
    <xf numFmtId="0" fontId="25" fillId="7" borderId="4" xfId="0" applyFont="1" applyFill="1" applyBorder="1" applyAlignment="1">
      <alignment horizontal="center" vertical="top"/>
    </xf>
    <xf numFmtId="0" fontId="22" fillId="7" borderId="31" xfId="0" applyFont="1" applyFill="1" applyBorder="1" applyAlignment="1" applyProtection="1">
      <alignment vertical="top"/>
      <protection locked="0"/>
    </xf>
    <xf numFmtId="0" fontId="31" fillId="7" borderId="32" xfId="0" applyFont="1" applyFill="1" applyBorder="1" applyAlignment="1" applyProtection="1">
      <alignment vertical="top"/>
      <protection locked="0"/>
    </xf>
    <xf numFmtId="0" fontId="31" fillId="7" borderId="4" xfId="0" applyFont="1" applyFill="1" applyBorder="1" applyAlignment="1" applyProtection="1">
      <alignment vertical="top"/>
      <protection locked="0"/>
    </xf>
    <xf numFmtId="0" fontId="25" fillId="7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165" fontId="31" fillId="13" borderId="11" xfId="0" applyNumberFormat="1" applyFont="1" applyFill="1" applyBorder="1" applyAlignment="1" applyProtection="1">
      <alignment horizontal="center" vertical="top" wrapText="1"/>
      <protection locked="0"/>
    </xf>
    <xf numFmtId="10" fontId="35" fillId="6" borderId="12" xfId="5" applyNumberFormat="1" applyFont="1" applyFill="1" applyBorder="1" applyAlignment="1" applyProtection="1">
      <alignment horizontal="center" vertical="center" wrapText="1"/>
    </xf>
    <xf numFmtId="0" fontId="2" fillId="6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1" fontId="33" fillId="0" borderId="37" xfId="0" applyNumberFormat="1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8" fillId="7" borderId="28" xfId="0" applyFont="1" applyFill="1" applyBorder="1" applyAlignment="1" applyProtection="1">
      <alignment vertical="top" wrapText="1"/>
      <protection locked="0"/>
    </xf>
    <xf numFmtId="0" fontId="24" fillId="6" borderId="32" xfId="0" applyFont="1" applyFill="1" applyBorder="1" applyAlignment="1" applyProtection="1">
      <alignment vertical="top"/>
      <protection locked="0"/>
    </xf>
    <xf numFmtId="0" fontId="24" fillId="6" borderId="28" xfId="0" applyFont="1" applyFill="1" applyBorder="1" applyAlignment="1" applyProtection="1">
      <alignment vertical="top"/>
      <protection locked="0"/>
    </xf>
    <xf numFmtId="0" fontId="46" fillId="0" borderId="0" xfId="0" applyFont="1"/>
    <xf numFmtId="0" fontId="47" fillId="0" borderId="0" xfId="0" applyFont="1"/>
    <xf numFmtId="0" fontId="47" fillId="0" borderId="77" xfId="0" applyFont="1" applyBorder="1"/>
    <xf numFmtId="0" fontId="46" fillId="0" borderId="60" xfId="0" applyFont="1" applyBorder="1" applyAlignment="1">
      <alignment wrapText="1"/>
    </xf>
    <xf numFmtId="0" fontId="46" fillId="0" borderId="43" xfId="0" applyFont="1" applyBorder="1" applyAlignment="1">
      <alignment wrapText="1"/>
    </xf>
    <xf numFmtId="0" fontId="7" fillId="0" borderId="77" xfId="0" applyFont="1" applyBorder="1" applyAlignment="1">
      <alignment wrapText="1"/>
    </xf>
    <xf numFmtId="0" fontId="47" fillId="10" borderId="55" xfId="0" applyFont="1" applyFill="1" applyBorder="1"/>
    <xf numFmtId="0" fontId="46" fillId="10" borderId="5" xfId="0" applyFont="1" applyFill="1" applyBorder="1"/>
    <xf numFmtId="0" fontId="46" fillId="10" borderId="46" xfId="0" applyFont="1" applyFill="1" applyBorder="1"/>
    <xf numFmtId="44" fontId="7" fillId="18" borderId="55" xfId="1" applyFont="1" applyFill="1" applyBorder="1"/>
    <xf numFmtId="0" fontId="49" fillId="0" borderId="0" xfId="0" applyFont="1"/>
    <xf numFmtId="0" fontId="5" fillId="0" borderId="53" xfId="0" applyFont="1" applyBorder="1"/>
    <xf numFmtId="0" fontId="45" fillId="17" borderId="41" xfId="0" applyFont="1" applyFill="1" applyBorder="1" applyAlignment="1">
      <alignment horizontal="left" wrapText="1"/>
    </xf>
    <xf numFmtId="0" fontId="45" fillId="17" borderId="43" xfId="0" applyFont="1" applyFill="1" applyBorder="1" applyAlignment="1">
      <alignment horizontal="left" wrapText="1"/>
    </xf>
    <xf numFmtId="0" fontId="5" fillId="0" borderId="60" xfId="0" applyFont="1" applyBorder="1"/>
    <xf numFmtId="8" fontId="45" fillId="0" borderId="6" xfId="0" applyNumberFormat="1" applyFont="1" applyBorder="1" applyAlignment="1">
      <alignment horizontal="left" wrapText="1"/>
    </xf>
    <xf numFmtId="8" fontId="45" fillId="0" borderId="46" xfId="0" applyNumberFormat="1" applyFont="1" applyBorder="1" applyAlignment="1">
      <alignment horizontal="left" wrapText="1"/>
    </xf>
    <xf numFmtId="0" fontId="7" fillId="0" borderId="0" xfId="0" applyFont="1" applyAlignment="1">
      <alignment wrapText="1"/>
    </xf>
    <xf numFmtId="44" fontId="7" fillId="0" borderId="0" xfId="1" applyFont="1" applyFill="1" applyBorder="1"/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39" xfId="0" applyFont="1" applyBorder="1" applyAlignment="1" applyProtection="1">
      <alignment horizontal="left" vertical="top" wrapText="1"/>
      <protection locked="0"/>
    </xf>
    <xf numFmtId="0" fontId="31" fillId="0" borderId="55" xfId="0" applyFont="1" applyBorder="1" applyAlignment="1">
      <alignment vertical="top"/>
    </xf>
    <xf numFmtId="2" fontId="31" fillId="6" borderId="1" xfId="0" applyNumberFormat="1" applyFont="1" applyFill="1" applyBorder="1" applyAlignment="1">
      <alignment horizontal="center" vertical="top"/>
    </xf>
    <xf numFmtId="0" fontId="37" fillId="7" borderId="0" xfId="0" applyFont="1" applyFill="1" applyAlignment="1" applyProtection="1">
      <alignment vertical="top"/>
      <protection locked="0"/>
    </xf>
    <xf numFmtId="2" fontId="33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horizontal="center" vertical="top"/>
    </xf>
    <xf numFmtId="0" fontId="31" fillId="6" borderId="10" xfId="0" applyFont="1" applyFill="1" applyBorder="1" applyAlignment="1">
      <alignment horizontal="center" vertical="top" wrapText="1"/>
    </xf>
    <xf numFmtId="2" fontId="27" fillId="6" borderId="22" xfId="0" applyNumberFormat="1" applyFont="1" applyFill="1" applyBorder="1" applyAlignment="1">
      <alignment horizontal="center" vertical="top" wrapText="1"/>
    </xf>
    <xf numFmtId="2" fontId="32" fillId="7" borderId="0" xfId="0" applyNumberFormat="1" applyFont="1" applyFill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0" fontId="31" fillId="7" borderId="34" xfId="0" applyFont="1" applyFill="1" applyBorder="1" applyAlignment="1">
      <alignment horizontal="center" vertical="center" wrapText="1"/>
    </xf>
    <xf numFmtId="2" fontId="31" fillId="7" borderId="34" xfId="0" applyNumberFormat="1" applyFont="1" applyFill="1" applyBorder="1" applyAlignment="1">
      <alignment horizontal="center" vertical="center" wrapText="1"/>
    </xf>
    <xf numFmtId="166" fontId="22" fillId="7" borderId="31" xfId="0" applyNumberFormat="1" applyFont="1" applyFill="1" applyBorder="1" applyAlignment="1">
      <alignment vertical="top" wrapText="1"/>
    </xf>
    <xf numFmtId="167" fontId="22" fillId="0" borderId="3" xfId="0" applyNumberFormat="1" applyFont="1" applyBorder="1" applyAlignment="1">
      <alignment horizontal="center" vertical="top" wrapText="1"/>
    </xf>
    <xf numFmtId="2" fontId="22" fillId="0" borderId="1" xfId="0" applyNumberFormat="1" applyFont="1" applyBorder="1" applyAlignment="1" applyProtection="1">
      <alignment horizontal="center" vertical="top" wrapText="1"/>
      <protection locked="0"/>
    </xf>
    <xf numFmtId="167" fontId="22" fillId="0" borderId="36" xfId="0" applyNumberFormat="1" applyFont="1" applyBorder="1" applyAlignment="1">
      <alignment horizontal="center" vertical="top" wrapText="1"/>
    </xf>
    <xf numFmtId="2" fontId="22" fillId="1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 applyProtection="1">
      <alignment horizontal="left" vertical="top" wrapText="1"/>
      <protection locked="0"/>
    </xf>
    <xf numFmtId="166" fontId="28" fillId="7" borderId="31" xfId="0" applyNumberFormat="1" applyFont="1" applyFill="1" applyBorder="1" applyAlignment="1">
      <alignment vertical="top" wrapText="1"/>
    </xf>
    <xf numFmtId="2" fontId="22" fillId="7" borderId="31" xfId="0" applyNumberFormat="1" applyFont="1" applyFill="1" applyBorder="1" applyAlignment="1">
      <alignment vertical="top" wrapText="1"/>
    </xf>
    <xf numFmtId="2" fontId="31" fillId="7" borderId="31" xfId="0" applyNumberFormat="1" applyFont="1" applyFill="1" applyBorder="1" applyAlignment="1">
      <alignment vertical="top"/>
    </xf>
    <xf numFmtId="166" fontId="31" fillId="7" borderId="0" xfId="0" applyNumberFormat="1" applyFont="1" applyFill="1" applyAlignment="1">
      <alignment vertical="top"/>
    </xf>
    <xf numFmtId="44" fontId="22" fillId="10" borderId="55" xfId="0" applyNumberFormat="1" applyFont="1" applyFill="1" applyBorder="1" applyAlignment="1">
      <alignment vertical="top"/>
    </xf>
    <xf numFmtId="0" fontId="31" fillId="0" borderId="78" xfId="0" applyFont="1" applyBorder="1" applyAlignment="1" applyProtection="1">
      <alignment horizontal="center" vertical="top"/>
      <protection locked="0"/>
    </xf>
    <xf numFmtId="0" fontId="31" fillId="0" borderId="78" xfId="0" applyFont="1" applyBorder="1" applyAlignment="1" applyProtection="1">
      <alignment horizontal="left" vertical="top"/>
      <protection locked="0"/>
    </xf>
    <xf numFmtId="0" fontId="31" fillId="0" borderId="78" xfId="0" applyFont="1" applyBorder="1" applyAlignment="1" applyProtection="1">
      <alignment horizontal="right" vertical="top"/>
      <protection locked="0"/>
    </xf>
    <xf numFmtId="164" fontId="31" fillId="0" borderId="78" xfId="0" applyNumberFormat="1" applyFont="1" applyBorder="1" applyAlignment="1" applyProtection="1">
      <alignment vertical="top"/>
      <protection locked="0"/>
    </xf>
    <xf numFmtId="164" fontId="31" fillId="0" borderId="78" xfId="0" applyNumberFormat="1" applyFont="1" applyBorder="1" applyAlignment="1" applyProtection="1">
      <alignment horizontal="center" vertical="top"/>
      <protection locked="0"/>
    </xf>
    <xf numFmtId="2" fontId="31" fillId="0" borderId="78" xfId="0" applyNumberFormat="1" applyFont="1" applyBorder="1" applyAlignment="1">
      <alignment vertical="top"/>
    </xf>
    <xf numFmtId="2" fontId="31" fillId="0" borderId="78" xfId="0" applyNumberFormat="1" applyFont="1" applyBorder="1" applyAlignment="1" applyProtection="1">
      <alignment vertical="top"/>
      <protection locked="0"/>
    </xf>
    <xf numFmtId="0" fontId="22" fillId="7" borderId="1" xfId="0" applyFont="1" applyFill="1" applyBorder="1" applyAlignment="1" applyProtection="1">
      <alignment vertical="top" wrapText="1"/>
      <protection locked="0"/>
    </xf>
    <xf numFmtId="0" fontId="28" fillId="7" borderId="1" xfId="0" applyFont="1" applyFill="1" applyBorder="1" applyAlignment="1" applyProtection="1">
      <alignment vertical="top" wrapText="1"/>
      <protection locked="0"/>
    </xf>
    <xf numFmtId="0" fontId="22" fillId="7" borderId="1" xfId="0" applyFont="1" applyFill="1" applyBorder="1" applyAlignment="1" applyProtection="1">
      <alignment vertical="top"/>
      <protection locked="0"/>
    </xf>
    <xf numFmtId="0" fontId="22" fillId="19" borderId="1" xfId="0" applyFont="1" applyFill="1" applyBorder="1" applyAlignment="1" applyProtection="1">
      <alignment horizontal="left" vertical="top" wrapText="1"/>
      <protection locked="0"/>
    </xf>
    <xf numFmtId="0" fontId="22" fillId="19" borderId="1" xfId="0" applyFont="1" applyFill="1" applyBorder="1" applyAlignment="1" applyProtection="1">
      <alignment vertical="top" wrapText="1"/>
      <protection locked="0"/>
    </xf>
    <xf numFmtId="166" fontId="22" fillId="19" borderId="1" xfId="0" applyNumberFormat="1" applyFont="1" applyFill="1" applyBorder="1" applyAlignment="1">
      <alignment vertical="top" wrapText="1"/>
    </xf>
    <xf numFmtId="166" fontId="22" fillId="19" borderId="15" xfId="0" applyNumberFormat="1" applyFont="1" applyFill="1" applyBorder="1" applyAlignment="1">
      <alignment vertical="top" wrapText="1"/>
    </xf>
    <xf numFmtId="166" fontId="22" fillId="19" borderId="8" xfId="0" applyNumberFormat="1" applyFont="1" applyFill="1" applyBorder="1" applyAlignment="1">
      <alignment vertical="top" wrapText="1"/>
    </xf>
    <xf numFmtId="168" fontId="41" fillId="7" borderId="55" xfId="0" applyNumberFormat="1" applyFont="1" applyFill="1" applyBorder="1" applyAlignment="1" applyProtection="1">
      <alignment horizontal="left" vertical="top" wrapText="1"/>
      <protection locked="0"/>
    </xf>
    <xf numFmtId="0" fontId="5" fillId="13" borderId="33" xfId="0" applyFont="1" applyFill="1" applyBorder="1" applyAlignment="1">
      <alignment horizontal="left" vertical="top" wrapText="1"/>
    </xf>
    <xf numFmtId="0" fontId="5" fillId="13" borderId="4" xfId="0" applyFont="1" applyFill="1" applyBorder="1" applyAlignment="1">
      <alignment horizontal="left" vertical="top" wrapText="1"/>
    </xf>
    <xf numFmtId="0" fontId="5" fillId="13" borderId="53" xfId="0" applyFont="1" applyFill="1" applyBorder="1" applyAlignment="1">
      <alignment horizontal="left" vertical="top" wrapText="1"/>
    </xf>
    <xf numFmtId="0" fontId="5" fillId="13" borderId="7" xfId="0" applyFont="1" applyFill="1" applyBorder="1" applyAlignment="1">
      <alignment horizontal="left" vertical="top" wrapText="1"/>
    </xf>
    <xf numFmtId="0" fontId="5" fillId="13" borderId="0" xfId="0" applyFont="1" applyFill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29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13" borderId="30" xfId="0" applyFont="1" applyFill="1" applyBorder="1" applyAlignment="1">
      <alignment horizontal="left" vertical="top" wrapText="1"/>
    </xf>
    <xf numFmtId="0" fontId="48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37" fillId="15" borderId="63" xfId="0" applyFont="1" applyFill="1" applyBorder="1" applyAlignment="1" applyProtection="1">
      <alignment horizontal="left" vertical="top"/>
      <protection locked="0"/>
    </xf>
    <xf numFmtId="0" fontId="37" fillId="15" borderId="64" xfId="0" applyFont="1" applyFill="1" applyBorder="1" applyAlignment="1" applyProtection="1">
      <alignment horizontal="left" vertical="top"/>
      <protection locked="0"/>
    </xf>
    <xf numFmtId="0" fontId="37" fillId="15" borderId="65" xfId="0" applyFont="1" applyFill="1" applyBorder="1" applyAlignment="1" applyProtection="1">
      <alignment horizontal="left" vertical="top"/>
      <protection locked="0"/>
    </xf>
    <xf numFmtId="0" fontId="37" fillId="16" borderId="33" xfId="0" applyFont="1" applyFill="1" applyBorder="1" applyAlignment="1">
      <alignment horizontal="center" vertical="top"/>
    </xf>
    <xf numFmtId="0" fontId="37" fillId="16" borderId="4" xfId="0" applyFont="1" applyFill="1" applyBorder="1" applyAlignment="1">
      <alignment horizontal="center" vertical="top"/>
    </xf>
    <xf numFmtId="0" fontId="37" fillId="16" borderId="53" xfId="0" applyFont="1" applyFill="1" applyBorder="1" applyAlignment="1">
      <alignment horizontal="center" vertical="top"/>
    </xf>
    <xf numFmtId="0" fontId="31" fillId="10" borderId="31" xfId="0" applyFont="1" applyFill="1" applyBorder="1" applyAlignment="1" applyProtection="1">
      <alignment vertical="top"/>
      <protection locked="0"/>
    </xf>
    <xf numFmtId="0" fontId="31" fillId="10" borderId="0" xfId="0" applyFont="1" applyFill="1" applyAlignment="1" applyProtection="1">
      <alignment vertical="top"/>
      <protection locked="0"/>
    </xf>
    <xf numFmtId="0" fontId="31" fillId="10" borderId="38" xfId="0" applyFont="1" applyFill="1" applyBorder="1" applyAlignment="1" applyProtection="1">
      <alignment vertical="top"/>
      <protection locked="0"/>
    </xf>
    <xf numFmtId="0" fontId="31" fillId="12" borderId="31" xfId="0" applyFont="1" applyFill="1" applyBorder="1" applyAlignment="1" applyProtection="1">
      <alignment vertical="top"/>
      <protection locked="0"/>
    </xf>
    <xf numFmtId="0" fontId="31" fillId="12" borderId="0" xfId="0" applyFont="1" applyFill="1" applyAlignment="1" applyProtection="1">
      <alignment vertical="top"/>
      <protection locked="0"/>
    </xf>
    <xf numFmtId="0" fontId="31" fillId="12" borderId="38" xfId="0" applyFont="1" applyFill="1" applyBorder="1" applyAlignment="1" applyProtection="1">
      <alignment vertical="top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39" xfId="0" applyFont="1" applyBorder="1" applyAlignment="1" applyProtection="1">
      <alignment horizontal="left" vertical="top" wrapText="1"/>
      <protection locked="0"/>
    </xf>
    <xf numFmtId="0" fontId="27" fillId="6" borderId="29" xfId="0" applyFont="1" applyFill="1" applyBorder="1" applyAlignment="1">
      <alignment horizontal="center" vertical="top"/>
    </xf>
    <xf numFmtId="0" fontId="27" fillId="6" borderId="30" xfId="0" applyFont="1" applyFill="1" applyBorder="1" applyAlignment="1">
      <alignment horizontal="center" vertical="top"/>
    </xf>
    <xf numFmtId="0" fontId="31" fillId="6" borderId="33" xfId="0" applyFont="1" applyFill="1" applyBorder="1" applyAlignment="1">
      <alignment horizontal="center" vertical="top" wrapText="1"/>
    </xf>
    <xf numFmtId="0" fontId="31" fillId="6" borderId="53" xfId="0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wrapText="1"/>
    </xf>
    <xf numFmtId="164" fontId="36" fillId="15" borderId="12" xfId="0" applyNumberFormat="1" applyFont="1" applyFill="1" applyBorder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165" fontId="38" fillId="0" borderId="12" xfId="0" applyNumberFormat="1" applyFont="1" applyBorder="1" applyAlignment="1">
      <alignment horizontal="center" vertical="top" wrapText="1"/>
    </xf>
    <xf numFmtId="0" fontId="37" fillId="16" borderId="61" xfId="0" applyFont="1" applyFill="1" applyBorder="1" applyAlignment="1" applyProtection="1">
      <alignment horizontal="left" vertical="top"/>
      <protection locked="0"/>
    </xf>
    <xf numFmtId="0" fontId="37" fillId="16" borderId="23" xfId="0" applyFont="1" applyFill="1" applyBorder="1" applyAlignment="1" applyProtection="1">
      <alignment horizontal="left" vertical="top"/>
      <protection locked="0"/>
    </xf>
    <xf numFmtId="0" fontId="37" fillId="16" borderId="62" xfId="0" applyFont="1" applyFill="1" applyBorder="1" applyAlignment="1" applyProtection="1">
      <alignment horizontal="left" vertical="top"/>
      <protection locked="0"/>
    </xf>
    <xf numFmtId="0" fontId="31" fillId="13" borderId="31" xfId="0" applyFont="1" applyFill="1" applyBorder="1" applyAlignment="1" applyProtection="1">
      <alignment horizontal="left" vertical="top" wrapText="1"/>
      <protection locked="0"/>
    </xf>
    <xf numFmtId="0" fontId="31" fillId="13" borderId="0" xfId="0" applyFont="1" applyFill="1" applyAlignment="1" applyProtection="1">
      <alignment horizontal="left" vertical="top" wrapText="1"/>
      <protection locked="0"/>
    </xf>
    <xf numFmtId="0" fontId="31" fillId="13" borderId="38" xfId="0" applyFont="1" applyFill="1" applyBorder="1" applyAlignment="1" applyProtection="1">
      <alignment horizontal="left" vertical="top" wrapText="1"/>
      <protection locked="0"/>
    </xf>
    <xf numFmtId="0" fontId="31" fillId="13" borderId="61" xfId="0" applyFont="1" applyFill="1" applyBorder="1" applyAlignment="1" applyProtection="1">
      <alignment horizontal="left" vertical="top" wrapText="1"/>
      <protection locked="0"/>
    </xf>
    <xf numFmtId="0" fontId="31" fillId="13" borderId="23" xfId="0" applyFont="1" applyFill="1" applyBorder="1" applyAlignment="1" applyProtection="1">
      <alignment horizontal="left" vertical="top" wrapText="1"/>
      <protection locked="0"/>
    </xf>
    <xf numFmtId="0" fontId="31" fillId="13" borderId="62" xfId="0" applyFont="1" applyFill="1" applyBorder="1" applyAlignment="1" applyProtection="1">
      <alignment horizontal="left" vertical="top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59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2" fillId="0" borderId="5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8" fillId="0" borderId="16" xfId="0" applyFont="1" applyBorder="1" applyAlignment="1" applyProtection="1">
      <alignment horizontal="right" vertical="top" wrapText="1"/>
      <protection locked="0"/>
    </xf>
    <xf numFmtId="0" fontId="0" fillId="0" borderId="19" xfId="0" applyBorder="1"/>
    <xf numFmtId="0" fontId="0" fillId="0" borderId="50" xfId="0" applyBorder="1"/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50" xfId="0" applyFont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31" fillId="7" borderId="52" xfId="0" applyFont="1" applyFill="1" applyBorder="1" applyAlignment="1" applyProtection="1">
      <alignment horizontal="right" vertical="top"/>
      <protection locked="0"/>
    </xf>
    <xf numFmtId="0" fontId="31" fillId="7" borderId="45" xfId="0" applyFont="1" applyFill="1" applyBorder="1" applyAlignment="1" applyProtection="1">
      <alignment horizontal="right" vertical="top"/>
      <protection locked="0"/>
    </xf>
    <xf numFmtId="0" fontId="31" fillId="7" borderId="48" xfId="0" applyFont="1" applyFill="1" applyBorder="1" applyAlignment="1" applyProtection="1">
      <alignment horizontal="right" vertical="top"/>
      <protection locked="0"/>
    </xf>
    <xf numFmtId="0" fontId="31" fillId="7" borderId="37" xfId="0" applyFont="1" applyFill="1" applyBorder="1" applyAlignment="1" applyProtection="1">
      <alignment horizontal="right" vertical="top"/>
      <protection locked="0"/>
    </xf>
    <xf numFmtId="0" fontId="31" fillId="7" borderId="41" xfId="0" applyFont="1" applyFill="1" applyBorder="1" applyAlignment="1" applyProtection="1">
      <alignment horizontal="right"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31" fillId="7" borderId="41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left" vertical="top"/>
      <protection locked="0"/>
    </xf>
    <xf numFmtId="0" fontId="31" fillId="7" borderId="50" xfId="0" applyFont="1" applyFill="1" applyBorder="1" applyAlignment="1" applyProtection="1">
      <alignment horizontal="right" vertical="top"/>
      <protection locked="0"/>
    </xf>
    <xf numFmtId="9" fontId="24" fillId="13" borderId="32" xfId="0" applyNumberFormat="1" applyFont="1" applyFill="1" applyBorder="1" applyAlignment="1" applyProtection="1">
      <alignment horizontal="center" vertical="top" wrapText="1"/>
      <protection locked="0"/>
    </xf>
    <xf numFmtId="9" fontId="24" fillId="13" borderId="53" xfId="0" applyNumberFormat="1" applyFont="1" applyFill="1" applyBorder="1" applyAlignment="1" applyProtection="1">
      <alignment horizontal="center" vertical="top" wrapText="1"/>
      <protection locked="0"/>
    </xf>
    <xf numFmtId="14" fontId="25" fillId="9" borderId="16" xfId="0" applyNumberFormat="1" applyFont="1" applyFill="1" applyBorder="1" applyAlignment="1" applyProtection="1">
      <alignment horizontal="left" vertical="top"/>
      <protection locked="0"/>
    </xf>
    <xf numFmtId="0" fontId="25" fillId="9" borderId="42" xfId="0" applyFont="1" applyFill="1" applyBorder="1" applyAlignment="1" applyProtection="1">
      <alignment horizontal="left" vertical="top"/>
      <protection locked="0"/>
    </xf>
    <xf numFmtId="0" fontId="31" fillId="7" borderId="2" xfId="0" applyFont="1" applyFill="1" applyBorder="1" applyAlignment="1" applyProtection="1">
      <alignment horizontal="left" vertical="top"/>
      <protection locked="0"/>
    </xf>
    <xf numFmtId="0" fontId="31" fillId="7" borderId="32" xfId="0" applyFont="1" applyFill="1" applyBorder="1" applyAlignment="1" applyProtection="1">
      <alignment horizontal="right" vertical="top"/>
      <protection locked="0"/>
    </xf>
    <xf numFmtId="0" fontId="31" fillId="7" borderId="28" xfId="0" applyFont="1" applyFill="1" applyBorder="1" applyAlignment="1" applyProtection="1">
      <alignment horizontal="right" vertical="top"/>
      <protection locked="0"/>
    </xf>
    <xf numFmtId="0" fontId="25" fillId="9" borderId="16" xfId="0" applyFont="1" applyFill="1" applyBorder="1" applyAlignment="1" applyProtection="1">
      <alignment horizontal="left" vertical="top"/>
      <protection locked="0"/>
    </xf>
    <xf numFmtId="0" fontId="25" fillId="9" borderId="50" xfId="0" applyFont="1" applyFill="1" applyBorder="1" applyAlignment="1" applyProtection="1">
      <alignment horizontal="left" vertical="top"/>
      <protection locked="0"/>
    </xf>
    <xf numFmtId="0" fontId="25" fillId="9" borderId="44" xfId="0" applyFont="1" applyFill="1" applyBorder="1" applyAlignment="1" applyProtection="1">
      <alignment horizontal="left" vertical="top"/>
      <protection locked="0"/>
    </xf>
    <xf numFmtId="0" fontId="25" fillId="9" borderId="20" xfId="0" applyFont="1" applyFill="1" applyBorder="1" applyAlignment="1" applyProtection="1">
      <alignment horizontal="left" vertical="top"/>
      <protection locked="0"/>
    </xf>
    <xf numFmtId="0" fontId="25" fillId="9" borderId="40" xfId="0" applyFont="1" applyFill="1" applyBorder="1" applyAlignment="1" applyProtection="1">
      <alignment horizontal="left" vertical="top"/>
      <protection locked="0"/>
    </xf>
    <xf numFmtId="0" fontId="25" fillId="9" borderId="58" xfId="0" applyFont="1" applyFill="1" applyBorder="1" applyAlignment="1" applyProtection="1">
      <alignment horizontal="left" vertical="top"/>
      <protection locked="0"/>
    </xf>
    <xf numFmtId="0" fontId="41" fillId="4" borderId="28" xfId="0" applyFont="1" applyFill="1" applyBorder="1" applyAlignment="1" applyProtection="1">
      <alignment horizontal="left" vertical="top"/>
      <protection locked="0"/>
    </xf>
    <xf numFmtId="0" fontId="41" fillId="4" borderId="55" xfId="0" applyFont="1" applyFill="1" applyBorder="1" applyAlignment="1" applyProtection="1">
      <alignment horizontal="left" vertical="top"/>
      <protection locked="0"/>
    </xf>
    <xf numFmtId="0" fontId="41" fillId="0" borderId="32" xfId="0" applyFont="1" applyBorder="1" applyAlignment="1" applyProtection="1">
      <alignment horizontal="right" vertical="top"/>
      <protection locked="0"/>
    </xf>
    <xf numFmtId="0" fontId="41" fillId="0" borderId="28" xfId="0" applyFont="1" applyBorder="1" applyAlignment="1" applyProtection="1">
      <alignment horizontal="right" vertical="top"/>
      <protection locked="0"/>
    </xf>
    <xf numFmtId="9" fontId="25" fillId="7" borderId="49" xfId="0" applyNumberFormat="1" applyFont="1" applyFill="1" applyBorder="1" applyAlignment="1">
      <alignment horizontal="left" vertical="top" wrapText="1"/>
    </xf>
    <xf numFmtId="9" fontId="25" fillId="7" borderId="47" xfId="0" applyNumberFormat="1" applyFont="1" applyFill="1" applyBorder="1" applyAlignment="1">
      <alignment horizontal="left" vertical="top" wrapText="1"/>
    </xf>
    <xf numFmtId="9" fontId="25" fillId="7" borderId="16" xfId="4" applyFont="1" applyFill="1" applyBorder="1" applyAlignment="1" applyProtection="1">
      <alignment horizontal="left" vertical="top"/>
      <protection locked="0"/>
    </xf>
    <xf numFmtId="9" fontId="25" fillId="7" borderId="42" xfId="4" applyFont="1" applyFill="1" applyBorder="1" applyAlignment="1" applyProtection="1">
      <alignment horizontal="left" vertical="top"/>
      <protection locked="0"/>
    </xf>
    <xf numFmtId="0" fontId="25" fillId="9" borderId="15" xfId="0" applyFont="1" applyFill="1" applyBorder="1" applyAlignment="1" applyProtection="1">
      <alignment horizontal="left" vertical="top"/>
      <protection locked="0"/>
    </xf>
    <xf numFmtId="0" fontId="25" fillId="9" borderId="56" xfId="0" applyFont="1" applyFill="1" applyBorder="1" applyAlignment="1" applyProtection="1">
      <alignment horizontal="left" vertical="top"/>
      <protection locked="0"/>
    </xf>
    <xf numFmtId="0" fontId="31" fillId="7" borderId="3" xfId="0" applyFont="1" applyFill="1" applyBorder="1" applyAlignment="1" applyProtection="1">
      <alignment horizontal="left" vertical="top"/>
      <protection locked="0"/>
    </xf>
    <xf numFmtId="0" fontId="31" fillId="7" borderId="58" xfId="0" applyFont="1" applyFill="1" applyBorder="1" applyAlignment="1" applyProtection="1">
      <alignment horizontal="left" vertical="top"/>
      <protection locked="0"/>
    </xf>
    <xf numFmtId="0" fontId="31" fillId="7" borderId="60" xfId="0" applyFont="1" applyFill="1" applyBorder="1" applyAlignment="1" applyProtection="1">
      <alignment horizontal="left" vertical="top"/>
      <protection locked="0"/>
    </xf>
    <xf numFmtId="0" fontId="25" fillId="7" borderId="40" xfId="0" applyFont="1" applyFill="1" applyBorder="1" applyAlignment="1">
      <alignment horizontal="left" vertical="top"/>
    </xf>
    <xf numFmtId="0" fontId="25" fillId="7" borderId="57" xfId="0" applyFont="1" applyFill="1" applyBorder="1" applyAlignment="1">
      <alignment horizontal="left" vertical="top"/>
    </xf>
    <xf numFmtId="0" fontId="24" fillId="6" borderId="32" xfId="0" applyFont="1" applyFill="1" applyBorder="1" applyAlignment="1" applyProtection="1">
      <alignment horizontal="center" vertical="top"/>
      <protection locked="0"/>
    </xf>
    <xf numFmtId="0" fontId="24" fillId="6" borderId="28" xfId="0" applyFont="1" applyFill="1" applyBorder="1" applyAlignment="1" applyProtection="1">
      <alignment horizontal="center" vertical="top"/>
      <protection locked="0"/>
    </xf>
    <xf numFmtId="0" fontId="24" fillId="6" borderId="55" xfId="0" applyFont="1" applyFill="1" applyBorder="1" applyAlignment="1" applyProtection="1">
      <alignment horizontal="center" vertical="top"/>
      <protection locked="0"/>
    </xf>
    <xf numFmtId="0" fontId="24" fillId="6" borderId="66" xfId="0" applyFont="1" applyFill="1" applyBorder="1" applyAlignment="1" applyProtection="1">
      <alignment horizontal="left" vertical="top"/>
      <protection locked="0"/>
    </xf>
    <xf numFmtId="0" fontId="24" fillId="6" borderId="67" xfId="0" applyFont="1" applyFill="1" applyBorder="1" applyAlignment="1" applyProtection="1">
      <alignment horizontal="left" vertical="top"/>
      <protection locked="0"/>
    </xf>
    <xf numFmtId="0" fontId="24" fillId="6" borderId="68" xfId="0" applyFont="1" applyFill="1" applyBorder="1" applyAlignment="1" applyProtection="1">
      <alignment horizontal="left" vertical="top"/>
      <protection locked="0"/>
    </xf>
    <xf numFmtId="0" fontId="31" fillId="9" borderId="69" xfId="0" applyFont="1" applyFill="1" applyBorder="1" applyAlignment="1" applyProtection="1">
      <alignment vertical="top"/>
      <protection locked="0"/>
    </xf>
    <xf numFmtId="0" fontId="31" fillId="9" borderId="4" xfId="0" applyFont="1" applyFill="1" applyBorder="1" applyAlignment="1" applyProtection="1">
      <alignment vertical="top"/>
      <protection locked="0"/>
    </xf>
    <xf numFmtId="0" fontId="31" fillId="9" borderId="70" xfId="0" applyFont="1" applyFill="1" applyBorder="1" applyAlignment="1" applyProtection="1">
      <alignment vertical="top"/>
      <protection locked="0"/>
    </xf>
    <xf numFmtId="0" fontId="31" fillId="8" borderId="31" xfId="0" applyFont="1" applyFill="1" applyBorder="1" applyAlignment="1" applyProtection="1">
      <alignment vertical="top"/>
      <protection locked="0"/>
    </xf>
    <xf numFmtId="0" fontId="31" fillId="8" borderId="0" xfId="0" applyFont="1" applyFill="1" applyAlignment="1" applyProtection="1">
      <alignment vertical="top"/>
      <protection locked="0"/>
    </xf>
    <xf numFmtId="0" fontId="31" fillId="8" borderId="38" xfId="0" applyFont="1" applyFill="1" applyBorder="1" applyAlignment="1" applyProtection="1">
      <alignment vertical="top"/>
      <protection locked="0"/>
    </xf>
    <xf numFmtId="0" fontId="31" fillId="7" borderId="56" xfId="0" applyFont="1" applyFill="1" applyBorder="1" applyAlignment="1" applyProtection="1">
      <alignment horizontal="left" vertical="top"/>
      <protection locked="0"/>
    </xf>
    <xf numFmtId="0" fontId="36" fillId="15" borderId="0" xfId="0" applyFont="1" applyFill="1" applyAlignment="1" applyProtection="1">
      <alignment horizontal="left" vertical="top"/>
      <protection locked="0"/>
    </xf>
    <xf numFmtId="0" fontId="33" fillId="7" borderId="1" xfId="0" applyFont="1" applyFill="1" applyBorder="1" applyAlignment="1" applyProtection="1">
      <alignment horizontal="left" vertical="top"/>
      <protection locked="0"/>
    </xf>
    <xf numFmtId="0" fontId="24" fillId="7" borderId="45" xfId="0" applyFont="1" applyFill="1" applyBorder="1" applyAlignment="1">
      <alignment horizontal="center" vertical="center" wrapText="1"/>
    </xf>
    <xf numFmtId="0" fontId="24" fillId="7" borderId="46" xfId="0" applyFont="1" applyFill="1" applyBorder="1" applyAlignment="1">
      <alignment horizontal="center" vertical="center" wrapText="1"/>
    </xf>
    <xf numFmtId="7" fontId="24" fillId="7" borderId="1" xfId="1" applyNumberFormat="1" applyFont="1" applyFill="1" applyBorder="1" applyAlignment="1" applyProtection="1">
      <alignment horizontal="center" vertical="center" wrapText="1"/>
    </xf>
    <xf numFmtId="7" fontId="24" fillId="7" borderId="6" xfId="1" applyNumberFormat="1" applyFont="1" applyFill="1" applyBorder="1" applyAlignment="1" applyProtection="1">
      <alignment horizontal="center" vertical="center" wrapText="1"/>
    </xf>
    <xf numFmtId="0" fontId="31" fillId="7" borderId="43" xfId="0" applyFont="1" applyFill="1" applyBorder="1" applyAlignment="1">
      <alignment horizontal="left" vertical="center" wrapText="1"/>
    </xf>
    <xf numFmtId="0" fontId="31" fillId="7" borderId="45" xfId="0" applyFont="1" applyFill="1" applyBorder="1" applyAlignment="1">
      <alignment horizontal="left" vertical="center" wrapText="1"/>
    </xf>
    <xf numFmtId="0" fontId="31" fillId="7" borderId="41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left" vertical="center" wrapText="1"/>
    </xf>
    <xf numFmtId="0" fontId="23" fillId="0" borderId="37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9" fontId="31" fillId="6" borderId="33" xfId="0" applyNumberFormat="1" applyFont="1" applyFill="1" applyBorder="1" applyAlignment="1">
      <alignment horizontal="center" vertical="top" wrapText="1"/>
    </xf>
    <xf numFmtId="9" fontId="31" fillId="6" borderId="4" xfId="0" applyNumberFormat="1" applyFont="1" applyFill="1" applyBorder="1" applyAlignment="1">
      <alignment horizontal="center" vertical="top" wrapText="1"/>
    </xf>
    <xf numFmtId="9" fontId="31" fillId="6" borderId="53" xfId="0" applyNumberFormat="1" applyFont="1" applyFill="1" applyBorder="1" applyAlignment="1">
      <alignment horizontal="center" vertical="top" wrapText="1"/>
    </xf>
    <xf numFmtId="9" fontId="31" fillId="6" borderId="29" xfId="0" applyNumberFormat="1" applyFont="1" applyFill="1" applyBorder="1" applyAlignment="1">
      <alignment horizontal="center" vertical="top" wrapText="1"/>
    </xf>
    <xf numFmtId="9" fontId="31" fillId="6" borderId="23" xfId="0" applyNumberFormat="1" applyFont="1" applyFill="1" applyBorder="1" applyAlignment="1">
      <alignment horizontal="center" vertical="top" wrapText="1"/>
    </xf>
    <xf numFmtId="9" fontId="31" fillId="6" borderId="30" xfId="0" applyNumberFormat="1" applyFont="1" applyFill="1" applyBorder="1" applyAlignment="1">
      <alignment horizontal="center" vertical="top" wrapText="1"/>
    </xf>
    <xf numFmtId="0" fontId="23" fillId="0" borderId="49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37" fillId="14" borderId="32" xfId="0" applyFont="1" applyFill="1" applyBorder="1" applyAlignment="1">
      <alignment horizontal="center" vertical="top" wrapText="1"/>
    </xf>
    <xf numFmtId="0" fontId="37" fillId="14" borderId="28" xfId="0" applyFont="1" applyFill="1" applyBorder="1" applyAlignment="1">
      <alignment horizontal="center" vertical="top" wrapText="1"/>
    </xf>
    <xf numFmtId="0" fontId="37" fillId="14" borderId="55" xfId="0" applyFont="1" applyFill="1" applyBorder="1" applyAlignment="1">
      <alignment horizontal="center" vertical="top" wrapText="1"/>
    </xf>
    <xf numFmtId="0" fontId="22" fillId="0" borderId="36" xfId="0" applyFont="1" applyBorder="1" applyAlignment="1" applyProtection="1">
      <alignment horizontal="center" vertical="center" textRotation="90" wrapText="1"/>
      <protection locked="0"/>
    </xf>
    <xf numFmtId="0" fontId="22" fillId="0" borderId="3" xfId="0" applyFont="1" applyBorder="1" applyAlignment="1" applyProtection="1">
      <alignment horizontal="center" vertical="center" textRotation="90" wrapText="1"/>
      <protection locked="0"/>
    </xf>
    <xf numFmtId="0" fontId="31" fillId="7" borderId="33" xfId="0" applyFont="1" applyFill="1" applyBorder="1" applyAlignment="1" applyProtection="1">
      <alignment horizontal="right" vertical="top"/>
      <protection locked="0"/>
    </xf>
    <xf numFmtId="0" fontId="31" fillId="7" borderId="4" xfId="0" applyFont="1" applyFill="1" applyBorder="1" applyAlignment="1" applyProtection="1">
      <alignment horizontal="right" vertical="top"/>
      <protection locked="0"/>
    </xf>
    <xf numFmtId="0" fontId="41" fillId="0" borderId="28" xfId="0" applyFont="1" applyBorder="1" applyAlignment="1" applyProtection="1">
      <alignment horizontal="left" vertical="top"/>
      <protection locked="0"/>
    </xf>
    <xf numFmtId="0" fontId="31" fillId="0" borderId="32" xfId="0" applyFont="1" applyBorder="1" applyAlignment="1">
      <alignment horizontal="center" vertical="top"/>
    </xf>
    <xf numFmtId="0" fontId="31" fillId="0" borderId="28" xfId="0" applyFont="1" applyBorder="1" applyAlignment="1">
      <alignment horizontal="center" vertical="top"/>
    </xf>
    <xf numFmtId="0" fontId="24" fillId="6" borderId="32" xfId="0" applyFont="1" applyFill="1" applyBorder="1" applyAlignment="1" applyProtection="1">
      <alignment horizontal="left" vertical="top"/>
      <protection locked="0"/>
    </xf>
    <xf numFmtId="0" fontId="24" fillId="6" borderId="28" xfId="0" applyFont="1" applyFill="1" applyBorder="1" applyAlignment="1" applyProtection="1">
      <alignment horizontal="left" vertical="top"/>
      <protection locked="0"/>
    </xf>
    <xf numFmtId="0" fontId="24" fillId="6" borderId="55" xfId="0" applyFont="1" applyFill="1" applyBorder="1" applyAlignment="1" applyProtection="1">
      <alignment horizontal="left" vertical="top"/>
      <protection locked="0"/>
    </xf>
    <xf numFmtId="0" fontId="31" fillId="7" borderId="74" xfId="0" applyFont="1" applyFill="1" applyBorder="1" applyAlignment="1" applyProtection="1">
      <alignment horizontal="left" vertical="top"/>
      <protection locked="0"/>
    </xf>
    <xf numFmtId="0" fontId="25" fillId="9" borderId="21" xfId="0" applyFont="1" applyFill="1" applyBorder="1" applyAlignment="1" applyProtection="1">
      <alignment horizontal="left" vertical="top"/>
      <protection locked="0"/>
    </xf>
    <xf numFmtId="0" fontId="31" fillId="7" borderId="25" xfId="0" applyFont="1" applyFill="1" applyBorder="1" applyAlignment="1" applyProtection="1">
      <alignment horizontal="left" vertical="top"/>
      <protection locked="0"/>
    </xf>
    <xf numFmtId="0" fontId="31" fillId="9" borderId="33" xfId="0" applyFont="1" applyFill="1" applyBorder="1" applyAlignment="1" applyProtection="1">
      <alignment horizontal="left" vertical="top"/>
      <protection locked="0"/>
    </xf>
    <xf numFmtId="0" fontId="31" fillId="9" borderId="4" xfId="0" applyFont="1" applyFill="1" applyBorder="1" applyAlignment="1" applyProtection="1">
      <alignment horizontal="left" vertical="top"/>
      <protection locked="0"/>
    </xf>
    <xf numFmtId="0" fontId="31" fillId="9" borderId="53" xfId="0" applyFont="1" applyFill="1" applyBorder="1" applyAlignment="1" applyProtection="1">
      <alignment horizontal="left" vertical="top"/>
      <protection locked="0"/>
    </xf>
    <xf numFmtId="14" fontId="25" fillId="9" borderId="42" xfId="0" applyNumberFormat="1" applyFont="1" applyFill="1" applyBorder="1" applyAlignment="1" applyProtection="1">
      <alignment horizontal="left" vertical="top"/>
      <protection locked="0"/>
    </xf>
    <xf numFmtId="0" fontId="31" fillId="7" borderId="73" xfId="0" applyFont="1" applyFill="1" applyBorder="1" applyAlignment="1" applyProtection="1">
      <alignment horizontal="right" vertical="top"/>
      <protection locked="0"/>
    </xf>
    <xf numFmtId="0" fontId="25" fillId="9" borderId="19" xfId="0" applyFont="1" applyFill="1" applyBorder="1" applyAlignment="1" applyProtection="1">
      <alignment horizontal="left" vertical="top"/>
      <protection locked="0"/>
    </xf>
    <xf numFmtId="0" fontId="31" fillId="7" borderId="24" xfId="0" applyFont="1" applyFill="1" applyBorder="1" applyAlignment="1" applyProtection="1">
      <alignment horizontal="right" vertical="top"/>
      <protection locked="0"/>
    </xf>
    <xf numFmtId="0" fontId="31" fillId="10" borderId="7" xfId="0" applyFont="1" applyFill="1" applyBorder="1" applyAlignment="1" applyProtection="1">
      <alignment horizontal="left" vertical="top"/>
      <protection locked="0"/>
    </xf>
    <xf numFmtId="0" fontId="31" fillId="10" borderId="0" xfId="0" applyFont="1" applyFill="1" applyAlignment="1" applyProtection="1">
      <alignment horizontal="left" vertical="top"/>
      <protection locked="0"/>
    </xf>
    <xf numFmtId="0" fontId="31" fillId="10" borderId="13" xfId="0" applyFont="1" applyFill="1" applyBorder="1" applyAlignment="1" applyProtection="1">
      <alignment horizontal="left" vertical="top"/>
      <protection locked="0"/>
    </xf>
    <xf numFmtId="0" fontId="31" fillId="7" borderId="19" xfId="0" applyFont="1" applyFill="1" applyBorder="1" applyAlignment="1" applyProtection="1">
      <alignment horizontal="right" vertical="top"/>
      <protection locked="0"/>
    </xf>
    <xf numFmtId="0" fontId="31" fillId="8" borderId="7" xfId="0" applyFont="1" applyFill="1" applyBorder="1" applyAlignment="1" applyProtection="1">
      <alignment horizontal="left" vertical="top"/>
      <protection locked="0"/>
    </xf>
    <xf numFmtId="0" fontId="31" fillId="8" borderId="0" xfId="0" applyFont="1" applyFill="1" applyAlignment="1" applyProtection="1">
      <alignment horizontal="left" vertical="top"/>
      <protection locked="0"/>
    </xf>
    <xf numFmtId="0" fontId="31" fillId="8" borderId="13" xfId="0" applyFont="1" applyFill="1" applyBorder="1" applyAlignment="1" applyProtection="1">
      <alignment horizontal="left" vertical="top"/>
      <protection locked="0"/>
    </xf>
    <xf numFmtId="0" fontId="31" fillId="13" borderId="7" xfId="0" applyFont="1" applyFill="1" applyBorder="1" applyAlignment="1" applyProtection="1">
      <alignment horizontal="left" vertical="top" wrapText="1"/>
      <protection locked="0"/>
    </xf>
    <xf numFmtId="0" fontId="31" fillId="13" borderId="13" xfId="0" applyFont="1" applyFill="1" applyBorder="1" applyAlignment="1" applyProtection="1">
      <alignment horizontal="left" vertical="top" wrapText="1"/>
      <protection locked="0"/>
    </xf>
    <xf numFmtId="0" fontId="31" fillId="13" borderId="29" xfId="0" applyFont="1" applyFill="1" applyBorder="1" applyAlignment="1" applyProtection="1">
      <alignment horizontal="left" vertical="top" wrapText="1"/>
      <protection locked="0"/>
    </xf>
    <xf numFmtId="0" fontId="31" fillId="13" borderId="30" xfId="0" applyFont="1" applyFill="1" applyBorder="1" applyAlignment="1" applyProtection="1">
      <alignment horizontal="left" vertical="top" wrapText="1"/>
      <protection locked="0"/>
    </xf>
    <xf numFmtId="0" fontId="44" fillId="7" borderId="48" xfId="0" applyFont="1" applyFill="1" applyBorder="1" applyAlignment="1" applyProtection="1">
      <alignment horizontal="right" vertical="top"/>
      <protection locked="0"/>
    </xf>
    <xf numFmtId="0" fontId="44" fillId="7" borderId="37" xfId="0" applyFont="1" applyFill="1" applyBorder="1" applyAlignment="1" applyProtection="1">
      <alignment horizontal="right" vertical="top"/>
      <protection locked="0"/>
    </xf>
    <xf numFmtId="0" fontId="31" fillId="9" borderId="19" xfId="0" applyFont="1" applyFill="1" applyBorder="1" applyAlignment="1" applyProtection="1">
      <alignment horizontal="left" vertical="top"/>
      <protection locked="0"/>
    </xf>
    <xf numFmtId="0" fontId="31" fillId="9" borderId="50" xfId="0" applyFont="1" applyFill="1" applyBorder="1" applyAlignment="1" applyProtection="1">
      <alignment horizontal="left" vertical="top"/>
      <protection locked="0"/>
    </xf>
    <xf numFmtId="0" fontId="31" fillId="7" borderId="72" xfId="0" applyFont="1" applyFill="1" applyBorder="1" applyAlignment="1" applyProtection="1">
      <alignment horizontal="right" vertical="top"/>
      <protection locked="0"/>
    </xf>
    <xf numFmtId="0" fontId="25" fillId="9" borderId="71" xfId="0" applyFont="1" applyFill="1" applyBorder="1" applyAlignment="1" applyProtection="1">
      <alignment horizontal="left" vertical="top"/>
      <protection locked="0"/>
    </xf>
    <xf numFmtId="0" fontId="31" fillId="12" borderId="7" xfId="0" applyFont="1" applyFill="1" applyBorder="1" applyAlignment="1" applyProtection="1">
      <alignment horizontal="left" vertical="top"/>
      <protection locked="0"/>
    </xf>
    <xf numFmtId="0" fontId="31" fillId="12" borderId="0" xfId="0" applyFont="1" applyFill="1" applyAlignment="1" applyProtection="1">
      <alignment horizontal="left" vertical="top"/>
      <protection locked="0"/>
    </xf>
    <xf numFmtId="0" fontId="31" fillId="12" borderId="13" xfId="0" applyFont="1" applyFill="1" applyBorder="1" applyAlignment="1" applyProtection="1">
      <alignment horizontal="left" vertical="top"/>
      <protection locked="0"/>
    </xf>
    <xf numFmtId="0" fontId="44" fillId="7" borderId="41" xfId="0" applyFont="1" applyFill="1" applyBorder="1" applyAlignment="1" applyProtection="1">
      <alignment horizontal="right" vertical="top"/>
      <protection locked="0"/>
    </xf>
    <xf numFmtId="0" fontId="44" fillId="7" borderId="1" xfId="0" applyFont="1" applyFill="1" applyBorder="1" applyAlignment="1" applyProtection="1">
      <alignment horizontal="right" vertical="top"/>
      <protection locked="0"/>
    </xf>
    <xf numFmtId="9" fontId="25" fillId="9" borderId="16" xfId="5" applyFont="1" applyFill="1" applyBorder="1" applyAlignment="1" applyProtection="1">
      <alignment horizontal="left" vertical="top"/>
      <protection locked="0"/>
    </xf>
    <xf numFmtId="9" fontId="25" fillId="9" borderId="42" xfId="5" applyFont="1" applyFill="1" applyBorder="1" applyAlignment="1" applyProtection="1">
      <alignment horizontal="left" vertical="top"/>
      <protection locked="0"/>
    </xf>
    <xf numFmtId="0" fontId="31" fillId="9" borderId="21" xfId="0" applyFont="1" applyFill="1" applyBorder="1" applyAlignment="1" applyProtection="1">
      <alignment horizontal="left" vertical="top"/>
      <protection locked="0"/>
    </xf>
    <xf numFmtId="0" fontId="31" fillId="9" borderId="58" xfId="0" applyFont="1" applyFill="1" applyBorder="1" applyAlignment="1" applyProtection="1">
      <alignment horizontal="left" vertical="top"/>
      <protection locked="0"/>
    </xf>
    <xf numFmtId="0" fontId="31" fillId="7" borderId="21" xfId="0" applyFont="1" applyFill="1" applyBorder="1" applyAlignment="1" applyProtection="1">
      <alignment horizontal="left" vertical="top"/>
      <protection locked="0"/>
    </xf>
    <xf numFmtId="0" fontId="31" fillId="9" borderId="20" xfId="0" applyFont="1" applyFill="1" applyBorder="1" applyAlignment="1" applyProtection="1">
      <alignment horizontal="left" vertical="top"/>
      <protection locked="0"/>
    </xf>
    <xf numFmtId="0" fontId="31" fillId="9" borderId="71" xfId="0" applyFont="1" applyFill="1" applyBorder="1" applyAlignment="1" applyProtection="1">
      <alignment horizontal="left" vertical="top"/>
      <protection locked="0"/>
    </xf>
    <xf numFmtId="0" fontId="25" fillId="0" borderId="32" xfId="0" applyFont="1" applyBorder="1" applyAlignment="1" applyProtection="1">
      <alignment horizontal="center" vertical="top"/>
      <protection locked="0"/>
    </xf>
    <xf numFmtId="0" fontId="25" fillId="0" borderId="76" xfId="0" applyFont="1" applyBorder="1" applyAlignment="1" applyProtection="1">
      <alignment horizontal="center" vertical="top"/>
      <protection locked="0"/>
    </xf>
    <xf numFmtId="0" fontId="37" fillId="15" borderId="32" xfId="0" applyFont="1" applyFill="1" applyBorder="1" applyAlignment="1" applyProtection="1">
      <alignment horizontal="left" vertical="top"/>
      <protection locked="0"/>
    </xf>
    <xf numFmtId="0" fontId="37" fillId="15" borderId="28" xfId="0" applyFont="1" applyFill="1" applyBorder="1" applyAlignment="1" applyProtection="1">
      <alignment horizontal="left" vertical="top"/>
      <protection locked="0"/>
    </xf>
    <xf numFmtId="0" fontId="37" fillId="15" borderId="55" xfId="0" applyFont="1" applyFill="1" applyBorder="1" applyAlignment="1" applyProtection="1">
      <alignment horizontal="left" vertical="top"/>
      <protection locked="0"/>
    </xf>
    <xf numFmtId="7" fontId="24" fillId="7" borderId="1" xfId="2" applyNumberFormat="1" applyFont="1" applyFill="1" applyBorder="1" applyAlignment="1" applyProtection="1">
      <alignment horizontal="center" vertical="center" wrapText="1"/>
    </xf>
    <xf numFmtId="7" fontId="24" fillId="7" borderId="6" xfId="2" applyNumberFormat="1" applyFont="1" applyFill="1" applyBorder="1" applyAlignment="1" applyProtection="1">
      <alignment horizontal="center" vertical="center" wrapText="1"/>
    </xf>
    <xf numFmtId="0" fontId="37" fillId="16" borderId="32" xfId="0" applyFont="1" applyFill="1" applyBorder="1" applyAlignment="1" applyProtection="1">
      <alignment horizontal="left" vertical="top"/>
      <protection locked="0"/>
    </xf>
    <xf numFmtId="0" fontId="37" fillId="16" borderId="28" xfId="0" applyFont="1" applyFill="1" applyBorder="1" applyAlignment="1" applyProtection="1">
      <alignment horizontal="left" vertical="top"/>
      <protection locked="0"/>
    </xf>
    <xf numFmtId="0" fontId="37" fillId="16" borderId="55" xfId="0" applyFont="1" applyFill="1" applyBorder="1" applyAlignment="1" applyProtection="1">
      <alignment horizontal="left" vertical="top"/>
      <protection locked="0"/>
    </xf>
    <xf numFmtId="0" fontId="40" fillId="0" borderId="37" xfId="0" applyFont="1" applyBorder="1" applyAlignment="1" applyProtection="1">
      <alignment horizontal="center" vertical="center" textRotation="90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0" fontId="22" fillId="19" borderId="1" xfId="0" applyFont="1" applyFill="1" applyBorder="1" applyAlignment="1" applyProtection="1">
      <alignment horizontal="left" vertical="top" wrapText="1"/>
      <protection locked="0"/>
    </xf>
    <xf numFmtId="0" fontId="39" fillId="14" borderId="32" xfId="0" applyFont="1" applyFill="1" applyBorder="1" applyAlignment="1">
      <alignment horizontal="center" vertical="top" wrapText="1"/>
    </xf>
    <xf numFmtId="0" fontId="39" fillId="14" borderId="28" xfId="0" applyFont="1" applyFill="1" applyBorder="1" applyAlignment="1">
      <alignment horizontal="center" vertical="top" wrapText="1"/>
    </xf>
    <xf numFmtId="0" fontId="39" fillId="14" borderId="55" xfId="0" applyFont="1" applyFill="1" applyBorder="1" applyAlignment="1">
      <alignment horizontal="center" vertical="top" wrapText="1"/>
    </xf>
    <xf numFmtId="0" fontId="39" fillId="16" borderId="33" xfId="0" applyFont="1" applyFill="1" applyBorder="1" applyAlignment="1">
      <alignment horizontal="center" vertical="top"/>
    </xf>
    <xf numFmtId="0" fontId="39" fillId="16" borderId="4" xfId="0" applyFont="1" applyFill="1" applyBorder="1" applyAlignment="1">
      <alignment horizontal="center" vertical="top"/>
    </xf>
    <xf numFmtId="0" fontId="39" fillId="16" borderId="53" xfId="0" applyFont="1" applyFill="1" applyBorder="1" applyAlignment="1">
      <alignment horizontal="center" vertical="top"/>
    </xf>
    <xf numFmtId="0" fontId="39" fillId="14" borderId="32" xfId="0" applyFont="1" applyFill="1" applyBorder="1" applyAlignment="1">
      <alignment horizontal="center" vertical="top"/>
    </xf>
    <xf numFmtId="0" fontId="39" fillId="14" borderId="28" xfId="0" applyFont="1" applyFill="1" applyBorder="1" applyAlignment="1">
      <alignment horizontal="center" vertical="top"/>
    </xf>
    <xf numFmtId="0" fontId="39" fillId="14" borderId="55" xfId="0" applyFont="1" applyFill="1" applyBorder="1" applyAlignment="1">
      <alignment horizontal="center" vertical="top"/>
    </xf>
    <xf numFmtId="2" fontId="27" fillId="6" borderId="10" xfId="0" applyNumberFormat="1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0" xfId="0" applyNumberFormat="1" applyFont="1" applyFill="1" applyBorder="1" applyAlignment="1">
      <alignment horizontal="center" vertical="top" wrapText="1"/>
    </xf>
    <xf numFmtId="9" fontId="31" fillId="6" borderId="12" xfId="0" applyNumberFormat="1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textRotation="90" wrapText="1"/>
    </xf>
    <xf numFmtId="164" fontId="36" fillId="15" borderId="22" xfId="0" applyNumberFormat="1" applyFont="1" applyFill="1" applyBorder="1" applyAlignment="1">
      <alignment horizontal="center" vertical="top" textRotation="90" wrapText="1"/>
    </xf>
    <xf numFmtId="164" fontId="31" fillId="0" borderId="75" xfId="0" applyNumberFormat="1" applyFont="1" applyBorder="1" applyAlignment="1">
      <alignment horizontal="center" vertical="top" wrapText="1"/>
    </xf>
    <xf numFmtId="164" fontId="31" fillId="0" borderId="12" xfId="0" applyNumberFormat="1" applyFont="1" applyBorder="1" applyAlignment="1">
      <alignment horizontal="center" vertical="top" wrapText="1"/>
    </xf>
    <xf numFmtId="0" fontId="23" fillId="18" borderId="49" xfId="0" applyFont="1" applyFill="1" applyBorder="1" applyAlignment="1">
      <alignment horizontal="center" vertical="center" wrapText="1"/>
    </xf>
    <xf numFmtId="0" fontId="23" fillId="18" borderId="51" xfId="0" applyFont="1" applyFill="1" applyBorder="1" applyAlignment="1">
      <alignment horizontal="center" vertical="center" wrapText="1"/>
    </xf>
    <xf numFmtId="0" fontId="23" fillId="18" borderId="54" xfId="0" applyFont="1" applyFill="1" applyBorder="1" applyAlignment="1">
      <alignment horizontal="center" vertical="center" wrapText="1"/>
    </xf>
    <xf numFmtId="0" fontId="23" fillId="18" borderId="35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23" fillId="18" borderId="56" xfId="0" applyFont="1" applyFill="1" applyBorder="1" applyAlignment="1">
      <alignment horizontal="center" vertical="center" wrapText="1"/>
    </xf>
    <xf numFmtId="0" fontId="22" fillId="0" borderId="49" xfId="0" applyFont="1" applyBorder="1" applyAlignment="1" applyProtection="1">
      <alignment horizontal="left" vertical="top" wrapText="1"/>
      <protection locked="0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51" xfId="0" applyFont="1" applyBorder="1" applyAlignment="1" applyProtection="1">
      <alignment horizontal="left" vertical="top" wrapText="1"/>
      <protection locked="0"/>
    </xf>
  </cellXfs>
  <cellStyles count="7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  <cellStyle name="Normal 3" xfId="6" xr:uid="{00000000-0005-0000-0000-000005000000}"/>
    <cellStyle name="Percent" xfId="4" builtinId="5"/>
    <cellStyle name="Percent 2" xfId="5" xr:uid="{00000000-0005-0000-0000-000007000000}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9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0</xdr:rowOff>
        </xdr:from>
        <xdr:to>
          <xdr:col>2</xdr:col>
          <xdr:colOff>965200</xdr:colOff>
          <xdr:row>1</xdr:row>
          <xdr:rowOff>31750</xdr:rowOff>
        </xdr:to>
        <xdr:sp macro="" textlink="">
          <xdr:nvSpPr>
            <xdr:cNvPr id="28678" name="Button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7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 ISSUE SUMMARY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13</xdr:row>
          <xdr:rowOff>527050</xdr:rowOff>
        </xdr:from>
        <xdr:to>
          <xdr:col>0</xdr:col>
          <xdr:colOff>279400</xdr:colOff>
          <xdr:row>14</xdr:row>
          <xdr:rowOff>209550</xdr:rowOff>
        </xdr:to>
        <xdr:sp macro="" textlink="">
          <xdr:nvSpPr>
            <xdr:cNvPr id="28695" name="Button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7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222250</xdr:rowOff>
        </xdr:from>
        <xdr:to>
          <xdr:col>0</xdr:col>
          <xdr:colOff>260350</xdr:colOff>
          <xdr:row>13</xdr:row>
          <xdr:rowOff>546100</xdr:rowOff>
        </xdr:to>
        <xdr:sp macro="" textlink="">
          <xdr:nvSpPr>
            <xdr:cNvPr id="28696" name="Button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7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 - DEF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get%20Services\Training%20Documents%20and%20Procedures\Revenue%20Distribution%20Training\Revenue%20Distribution%20Worksheet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ira\Documents\DistributionWorksheets%202018%20Training%20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Worksheets Included"/>
      <sheetName val="Drop-Down List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DUI (Reduce Base)"/>
      <sheetName val="2-DUI (Reduce Base)"/>
      <sheetName val="3-RD (Reduce Base)"/>
      <sheetName val="4-RRBF"/>
      <sheetName val="5-RRTS (BF &amp; No 2%)"/>
      <sheetName val="6-RLBF"/>
      <sheetName val="7-RLTS"/>
      <sheetName val="8-RLBF (No 30%)"/>
      <sheetName val="9-SpBF"/>
      <sheetName val="10-SpTS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FG"/>
      <sheetName val="19-Standard Distribution"/>
    </sheetNames>
    <sheetDataSet>
      <sheetData sheetId="0">
        <row r="3">
          <cell r="A3" t="str">
            <v>January 2023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4">
        <row r="30">
          <cell r="B30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List"/>
      <sheetName val="2009 UPDATE"/>
      <sheetName val="Cover Page"/>
      <sheetName val="Worksheets Included"/>
      <sheetName val="2014 UPDATE"/>
      <sheetName val="2013 UPDATE"/>
      <sheetName val="2012 UPDATE"/>
      <sheetName val="2011 UPDATE"/>
      <sheetName val="2010 UPDATE"/>
      <sheetName val="Local Penalties"/>
      <sheetName val="TEST SUMMARY"/>
      <sheetName val="Sheet1"/>
      <sheetName val="Section"/>
      <sheetName val="Acct Mapping"/>
      <sheetName val="Pmt Plan Tmpl"/>
      <sheetName val="1-DUI (ALT)"/>
      <sheetName val="1-DUI (Reduce Base)"/>
      <sheetName val="3-RD (Reduce Base)"/>
      <sheetName val="4-RRBF"/>
      <sheetName val="5-RRTS (BF &amp; No 2%)"/>
      <sheetName val="7-RLTS"/>
      <sheetName val="8-RLBF (No 30%)"/>
      <sheetName val="9-SpBF"/>
      <sheetName val="Speeding BF"/>
      <sheetName val="Reckless Driving "/>
      <sheetName val="DUI"/>
      <sheetName val="POI"/>
      <sheetName val="H&amp;S"/>
      <sheetName val="Juvenile MV"/>
      <sheetName val="Speeding TS"/>
      <sheetName val="Red Light BF"/>
      <sheetName val="Red Light BF (No 30%)"/>
      <sheetName val="Red Light TS"/>
      <sheetName val="RailRoad TS"/>
      <sheetName val="Child Seat TS"/>
      <sheetName val="H&amp;S PC1463.23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HS (Enh-Red Base)"/>
      <sheetName val="19-FG"/>
    </sheetNames>
    <sheetDataSet>
      <sheetData sheetId="0">
        <row r="12">
          <cell r="A12" t="str">
            <v>Yes</v>
          </cell>
        </row>
        <row r="13">
          <cell r="A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3"/>
  <sheetViews>
    <sheetView workbookViewId="0">
      <selection activeCell="A12" sqref="A12:A13"/>
    </sheetView>
  </sheetViews>
  <sheetFormatPr defaultRowHeight="12.5" x14ac:dyDescent="0.25"/>
  <cols>
    <col min="1" max="1" width="18.453125" customWidth="1"/>
  </cols>
  <sheetData>
    <row r="1" spans="1:1" x14ac:dyDescent="0.25">
      <c r="A1" s="191" t="s">
        <v>240</v>
      </c>
    </row>
    <row r="2" spans="1:1" x14ac:dyDescent="0.25">
      <c r="A2" s="191" t="s">
        <v>239</v>
      </c>
    </row>
    <row r="4" spans="1:1" x14ac:dyDescent="0.25">
      <c r="A4" s="36" t="s">
        <v>256</v>
      </c>
    </row>
    <row r="5" spans="1:1" x14ac:dyDescent="0.25">
      <c r="A5" s="36" t="s">
        <v>257</v>
      </c>
    </row>
    <row r="6" spans="1:1" x14ac:dyDescent="0.25">
      <c r="A6" s="36" t="s">
        <v>258</v>
      </c>
    </row>
    <row r="8" spans="1:1" x14ac:dyDescent="0.25">
      <c r="A8" s="36" t="s">
        <v>256</v>
      </c>
    </row>
    <row r="9" spans="1:1" x14ac:dyDescent="0.25">
      <c r="A9" s="36" t="s">
        <v>257</v>
      </c>
    </row>
    <row r="10" spans="1:1" x14ac:dyDescent="0.25">
      <c r="A10" s="36" t="s">
        <v>259</v>
      </c>
    </row>
    <row r="12" spans="1:1" x14ac:dyDescent="0.25">
      <c r="A12" s="36" t="s">
        <v>256</v>
      </c>
    </row>
    <row r="13" spans="1:1" x14ac:dyDescent="0.25">
      <c r="A13" s="36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C00000"/>
  </sheetPr>
  <dimension ref="A1:H19"/>
  <sheetViews>
    <sheetView workbookViewId="0">
      <selection activeCell="N29" sqref="N29:O29"/>
    </sheetView>
  </sheetViews>
  <sheetFormatPr defaultColWidth="9.1796875" defaultRowHeight="12.5" x14ac:dyDescent="0.25"/>
  <cols>
    <col min="1" max="1" width="27.54296875" style="3" customWidth="1"/>
    <col min="2" max="2" width="11.7265625" style="3" customWidth="1"/>
    <col min="3" max="3" width="14.7265625" style="3" customWidth="1"/>
    <col min="4" max="4" width="20.54296875" style="3" customWidth="1"/>
    <col min="5" max="5" width="45.81640625" style="3" customWidth="1"/>
    <col min="6" max="6" width="18.54296875" style="3" bestFit="1" customWidth="1"/>
    <col min="7" max="16384" width="9.1796875" style="3"/>
  </cols>
  <sheetData>
    <row r="1" spans="1:8" s="41" customFormat="1" ht="18" x14ac:dyDescent="0.25">
      <c r="A1" s="41" t="s">
        <v>159</v>
      </c>
    </row>
    <row r="2" spans="1:8" ht="13" thickBot="1" x14ac:dyDescent="0.3">
      <c r="A2" s="38" t="s">
        <v>152</v>
      </c>
    </row>
    <row r="3" spans="1:8" ht="15" customHeight="1" x14ac:dyDescent="0.25">
      <c r="A3" s="38"/>
      <c r="F3" s="264" t="s">
        <v>245</v>
      </c>
      <c r="G3" s="265"/>
      <c r="H3" s="266"/>
    </row>
    <row r="4" spans="1:8" s="2" customFormat="1" ht="26" x14ac:dyDescent="0.25">
      <c r="A4" s="40" t="s">
        <v>135</v>
      </c>
      <c r="B4" s="40" t="s">
        <v>8</v>
      </c>
      <c r="C4" s="40" t="s">
        <v>138</v>
      </c>
      <c r="D4" s="40" t="s">
        <v>139</v>
      </c>
      <c r="E4" s="195" t="s">
        <v>167</v>
      </c>
      <c r="F4" s="267"/>
      <c r="G4" s="268"/>
      <c r="H4" s="269"/>
    </row>
    <row r="5" spans="1:8" s="1" customFormat="1" ht="25" x14ac:dyDescent="0.25">
      <c r="A5" s="39" t="s">
        <v>134</v>
      </c>
      <c r="B5" s="39" t="s">
        <v>136</v>
      </c>
      <c r="C5" s="39" t="s">
        <v>246</v>
      </c>
      <c r="D5" s="39" t="s">
        <v>140</v>
      </c>
      <c r="E5" s="196" t="s">
        <v>142</v>
      </c>
      <c r="F5" s="267"/>
      <c r="G5" s="268"/>
      <c r="H5" s="269"/>
    </row>
    <row r="6" spans="1:8" s="1" customFormat="1" ht="25.5" thickBot="1" x14ac:dyDescent="0.3">
      <c r="A6" s="39" t="s">
        <v>143</v>
      </c>
      <c r="B6" s="39" t="s">
        <v>144</v>
      </c>
      <c r="C6" s="39" t="s">
        <v>145</v>
      </c>
      <c r="D6" s="39" t="s">
        <v>154</v>
      </c>
      <c r="E6" s="196" t="s">
        <v>168</v>
      </c>
      <c r="F6" s="270"/>
      <c r="G6" s="271"/>
      <c r="H6" s="272"/>
    </row>
    <row r="7" spans="1:8" s="1" customFormat="1" ht="25" x14ac:dyDescent="0.25">
      <c r="A7" s="39" t="s">
        <v>146</v>
      </c>
      <c r="B7" s="39" t="s">
        <v>52</v>
      </c>
      <c r="C7" s="39" t="s">
        <v>137</v>
      </c>
      <c r="D7" s="39" t="s">
        <v>147</v>
      </c>
      <c r="E7" s="39" t="s">
        <v>148</v>
      </c>
    </row>
    <row r="8" spans="1:8" s="1" customFormat="1" ht="25" x14ac:dyDescent="0.25">
      <c r="A8" s="39" t="s">
        <v>58</v>
      </c>
      <c r="B8" s="39" t="s">
        <v>59</v>
      </c>
      <c r="C8" s="39" t="s">
        <v>149</v>
      </c>
      <c r="D8" s="39" t="s">
        <v>150</v>
      </c>
      <c r="E8" s="39" t="s">
        <v>151</v>
      </c>
    </row>
    <row r="9" spans="1:8" s="1" customFormat="1" x14ac:dyDescent="0.25">
      <c r="A9" s="43"/>
      <c r="B9" s="43"/>
      <c r="C9" s="43"/>
      <c r="D9" s="43"/>
      <c r="E9" s="43"/>
    </row>
    <row r="10" spans="1:8" s="41" customFormat="1" ht="18" x14ac:dyDescent="0.25">
      <c r="A10" s="41" t="s">
        <v>161</v>
      </c>
    </row>
    <row r="11" spans="1:8" s="1" customFormat="1" x14ac:dyDescent="0.25">
      <c r="A11" s="43"/>
      <c r="B11" s="43"/>
      <c r="C11" s="43"/>
      <c r="D11" s="43"/>
      <c r="E11" s="43"/>
    </row>
    <row r="12" spans="1:8" s="1" customFormat="1" ht="26" x14ac:dyDescent="0.25">
      <c r="A12" s="40" t="s">
        <v>135</v>
      </c>
      <c r="B12" s="40" t="s">
        <v>8</v>
      </c>
      <c r="C12" s="40" t="s">
        <v>138</v>
      </c>
      <c r="D12" s="40" t="s">
        <v>139</v>
      </c>
      <c r="E12" s="40" t="s">
        <v>165</v>
      </c>
      <c r="F12" s="2"/>
    </row>
    <row r="13" spans="1:8" ht="62.5" x14ac:dyDescent="0.25">
      <c r="A13" s="42" t="s">
        <v>162</v>
      </c>
      <c r="B13" s="42" t="s">
        <v>65</v>
      </c>
      <c r="C13" s="45" t="s">
        <v>164</v>
      </c>
      <c r="D13" s="42" t="s">
        <v>163</v>
      </c>
      <c r="E13" s="45" t="s">
        <v>166</v>
      </c>
      <c r="F13" s="38"/>
    </row>
    <row r="14" spans="1:8" s="1" customFormat="1" x14ac:dyDescent="0.25">
      <c r="A14" s="43"/>
      <c r="B14" s="43"/>
      <c r="C14" s="43"/>
      <c r="D14" s="43"/>
      <c r="E14" s="43"/>
    </row>
    <row r="15" spans="1:8" s="41" customFormat="1" ht="18" x14ac:dyDescent="0.25">
      <c r="A15" s="41" t="s">
        <v>160</v>
      </c>
    </row>
    <row r="16" spans="1:8" s="1" customFormat="1" ht="13" x14ac:dyDescent="0.25">
      <c r="A16" s="44" t="s">
        <v>156</v>
      </c>
      <c r="B16" s="43"/>
      <c r="C16" s="43"/>
      <c r="D16" s="43"/>
      <c r="E16" s="43"/>
    </row>
    <row r="17" spans="1:6" s="1" customFormat="1" x14ac:dyDescent="0.25">
      <c r="A17" s="43"/>
      <c r="B17" s="43"/>
      <c r="C17" s="43"/>
      <c r="D17" s="43"/>
      <c r="E17" s="43"/>
    </row>
    <row r="18" spans="1:6" s="1" customFormat="1" ht="26" x14ac:dyDescent="0.25">
      <c r="A18" s="40" t="s">
        <v>135</v>
      </c>
      <c r="B18" s="40" t="s">
        <v>8</v>
      </c>
      <c r="C18" s="40" t="s">
        <v>138</v>
      </c>
      <c r="D18" s="40" t="s">
        <v>139</v>
      </c>
      <c r="E18" s="40" t="s">
        <v>141</v>
      </c>
      <c r="F18" s="40" t="s">
        <v>157</v>
      </c>
    </row>
    <row r="19" spans="1:6" ht="50" x14ac:dyDescent="0.25">
      <c r="A19" s="42" t="s">
        <v>31</v>
      </c>
      <c r="B19" s="42" t="s">
        <v>61</v>
      </c>
      <c r="C19" s="42" t="s">
        <v>247</v>
      </c>
      <c r="D19" s="42" t="s">
        <v>155</v>
      </c>
      <c r="E19" s="42" t="s">
        <v>153</v>
      </c>
      <c r="F19" s="39" t="s">
        <v>244</v>
      </c>
    </row>
  </sheetData>
  <mergeCells count="1">
    <mergeCell ref="F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7"/>
  <sheetViews>
    <sheetView workbookViewId="0">
      <selection activeCell="B6" sqref="B6"/>
    </sheetView>
  </sheetViews>
  <sheetFormatPr defaultRowHeight="12.5" x14ac:dyDescent="0.25"/>
  <cols>
    <col min="1" max="1" width="51.7265625" bestFit="1" customWidth="1"/>
    <col min="2" max="2" width="18.54296875" bestFit="1" customWidth="1"/>
    <col min="5" max="5" width="15.54296875" bestFit="1" customWidth="1"/>
  </cols>
  <sheetData>
    <row r="1" spans="1:2" s="204" customFormat="1" ht="18" thickBot="1" x14ac:dyDescent="0.4">
      <c r="A1" s="205" t="s">
        <v>285</v>
      </c>
      <c r="B1" s="209" t="s">
        <v>109</v>
      </c>
    </row>
    <row r="3" spans="1:2" ht="17.5" x14ac:dyDescent="0.35">
      <c r="A3" s="273" t="s">
        <v>287</v>
      </c>
      <c r="B3" s="273"/>
    </row>
    <row r="4" spans="1:2" ht="13" thickBot="1" x14ac:dyDescent="0.3"/>
    <row r="5" spans="1:2" s="203" customFormat="1" ht="31" x14ac:dyDescent="0.35">
      <c r="A5" s="206" t="s">
        <v>288</v>
      </c>
      <c r="B5" s="210" t="s">
        <v>256</v>
      </c>
    </row>
    <row r="6" spans="1:2" s="203" customFormat="1" ht="31.5" thickBot="1" x14ac:dyDescent="0.4">
      <c r="A6" s="207" t="s">
        <v>289</v>
      </c>
      <c r="B6" s="211" t="s">
        <v>256</v>
      </c>
    </row>
    <row r="7" spans="1:2" ht="13" thickBot="1" x14ac:dyDescent="0.3"/>
    <row r="8" spans="1:2" s="17" customFormat="1" ht="16" thickBot="1" x14ac:dyDescent="0.4">
      <c r="A8" s="208" t="str">
        <f>"GC 76000 Local Penalties for " &amp;B1&amp; " County"</f>
        <v>GC 76000 Local Penalties for San Diego County</v>
      </c>
      <c r="B8" s="212">
        <f>IF(AND(B5="Yes", B6="Yes"), VLOOKUP(B1,A12:B69,2), 7)</f>
        <v>7</v>
      </c>
    </row>
    <row r="9" spans="1:2" s="17" customFormat="1" ht="15.5" x14ac:dyDescent="0.35">
      <c r="A9" s="220"/>
      <c r="B9" s="221"/>
    </row>
    <row r="10" spans="1:2" ht="13" thickBot="1" x14ac:dyDescent="0.3"/>
    <row r="11" spans="1:2" x14ac:dyDescent="0.25">
      <c r="A11" s="217" t="s">
        <v>283</v>
      </c>
      <c r="B11" s="214" t="s">
        <v>290</v>
      </c>
    </row>
    <row r="12" spans="1:2" x14ac:dyDescent="0.25">
      <c r="A12" s="215" t="s">
        <v>73</v>
      </c>
      <c r="B12" s="218">
        <v>5</v>
      </c>
    </row>
    <row r="13" spans="1:2" x14ac:dyDescent="0.25">
      <c r="A13" s="215" t="s">
        <v>74</v>
      </c>
      <c r="B13" s="218">
        <v>5</v>
      </c>
    </row>
    <row r="14" spans="1:2" x14ac:dyDescent="0.25">
      <c r="A14" s="215" t="s">
        <v>75</v>
      </c>
      <c r="B14" s="218">
        <v>5</v>
      </c>
    </row>
    <row r="15" spans="1:2" x14ac:dyDescent="0.25">
      <c r="A15" s="215" t="s">
        <v>76</v>
      </c>
      <c r="B15" s="218">
        <v>7</v>
      </c>
    </row>
    <row r="16" spans="1:2" x14ac:dyDescent="0.25">
      <c r="A16" s="215" t="s">
        <v>282</v>
      </c>
      <c r="B16" s="218">
        <v>3</v>
      </c>
    </row>
    <row r="17" spans="1:2" x14ac:dyDescent="0.25">
      <c r="A17" s="215" t="s">
        <v>78</v>
      </c>
      <c r="B17" s="218">
        <v>6</v>
      </c>
    </row>
    <row r="18" spans="1:2" x14ac:dyDescent="0.25">
      <c r="A18" s="215" t="s">
        <v>79</v>
      </c>
      <c r="B18" s="218">
        <v>5</v>
      </c>
    </row>
    <row r="19" spans="1:2" x14ac:dyDescent="0.25">
      <c r="A19" s="215" t="s">
        <v>80</v>
      </c>
      <c r="B19" s="218">
        <v>7</v>
      </c>
    </row>
    <row r="20" spans="1:2" x14ac:dyDescent="0.25">
      <c r="A20" s="215" t="s">
        <v>81</v>
      </c>
      <c r="B20" s="218">
        <v>5</v>
      </c>
    </row>
    <row r="21" spans="1:2" x14ac:dyDescent="0.25">
      <c r="A21" s="215" t="s">
        <v>82</v>
      </c>
      <c r="B21" s="218">
        <v>7</v>
      </c>
    </row>
    <row r="22" spans="1:2" x14ac:dyDescent="0.25">
      <c r="A22" s="215" t="s">
        <v>83</v>
      </c>
      <c r="B22" s="218">
        <v>4</v>
      </c>
    </row>
    <row r="23" spans="1:2" x14ac:dyDescent="0.25">
      <c r="A23" s="215" t="s">
        <v>84</v>
      </c>
      <c r="B23" s="218">
        <v>5</v>
      </c>
    </row>
    <row r="24" spans="1:2" x14ac:dyDescent="0.25">
      <c r="A24" s="215" t="s">
        <v>85</v>
      </c>
      <c r="B24" s="218">
        <v>6</v>
      </c>
    </row>
    <row r="25" spans="1:2" x14ac:dyDescent="0.25">
      <c r="A25" s="215" t="s">
        <v>86</v>
      </c>
      <c r="B25" s="218">
        <v>4</v>
      </c>
    </row>
    <row r="26" spans="1:2" x14ac:dyDescent="0.25">
      <c r="A26" s="215" t="s">
        <v>87</v>
      </c>
      <c r="B26" s="218">
        <v>7</v>
      </c>
    </row>
    <row r="27" spans="1:2" x14ac:dyDescent="0.25">
      <c r="A27" s="215" t="s">
        <v>88</v>
      </c>
      <c r="B27" s="218">
        <v>7</v>
      </c>
    </row>
    <row r="28" spans="1:2" x14ac:dyDescent="0.25">
      <c r="A28" s="215" t="s">
        <v>89</v>
      </c>
      <c r="B28" s="218">
        <v>7</v>
      </c>
    </row>
    <row r="29" spans="1:2" x14ac:dyDescent="0.25">
      <c r="A29" s="215" t="s">
        <v>90</v>
      </c>
      <c r="B29" s="218">
        <v>2</v>
      </c>
    </row>
    <row r="30" spans="1:2" x14ac:dyDescent="0.25">
      <c r="A30" s="215" t="s">
        <v>91</v>
      </c>
      <c r="B30" s="218">
        <v>5</v>
      </c>
    </row>
    <row r="31" spans="1:2" x14ac:dyDescent="0.25">
      <c r="A31" s="215" t="s">
        <v>92</v>
      </c>
      <c r="B31" s="218">
        <v>7</v>
      </c>
    </row>
    <row r="32" spans="1:2" x14ac:dyDescent="0.25">
      <c r="A32" s="215" t="s">
        <v>93</v>
      </c>
      <c r="B32" s="218">
        <v>5</v>
      </c>
    </row>
    <row r="33" spans="1:2" x14ac:dyDescent="0.25">
      <c r="A33" s="215" t="s">
        <v>94</v>
      </c>
      <c r="B33" s="218">
        <v>2.5</v>
      </c>
    </row>
    <row r="34" spans="1:2" x14ac:dyDescent="0.25">
      <c r="A34" s="215" t="s">
        <v>95</v>
      </c>
      <c r="B34" s="218">
        <v>7</v>
      </c>
    </row>
    <row r="35" spans="1:2" x14ac:dyDescent="0.25">
      <c r="A35" s="215" t="s">
        <v>96</v>
      </c>
      <c r="B35" s="218">
        <v>4.75</v>
      </c>
    </row>
    <row r="36" spans="1:2" x14ac:dyDescent="0.25">
      <c r="A36" s="215" t="s">
        <v>97</v>
      </c>
      <c r="B36" s="218">
        <v>3.5</v>
      </c>
    </row>
    <row r="37" spans="1:2" x14ac:dyDescent="0.25">
      <c r="A37" s="215" t="s">
        <v>98</v>
      </c>
      <c r="B37" s="218">
        <v>4</v>
      </c>
    </row>
    <row r="38" spans="1:2" x14ac:dyDescent="0.25">
      <c r="A38" s="215" t="s">
        <v>99</v>
      </c>
      <c r="B38" s="218">
        <v>5</v>
      </c>
    </row>
    <row r="39" spans="1:2" x14ac:dyDescent="0.25">
      <c r="A39" s="215" t="s">
        <v>100</v>
      </c>
      <c r="B39" s="218">
        <v>3</v>
      </c>
    </row>
    <row r="40" spans="1:2" x14ac:dyDescent="0.25">
      <c r="A40" s="215" t="s">
        <v>101</v>
      </c>
      <c r="B40" s="218">
        <v>4.75</v>
      </c>
    </row>
    <row r="41" spans="1:2" x14ac:dyDescent="0.25">
      <c r="A41" s="215" t="s">
        <v>102</v>
      </c>
      <c r="B41" s="218">
        <v>5.29</v>
      </c>
    </row>
    <row r="42" spans="1:2" x14ac:dyDescent="0.25">
      <c r="A42" s="215" t="s">
        <v>104</v>
      </c>
      <c r="B42" s="218">
        <v>4.75</v>
      </c>
    </row>
    <row r="43" spans="1:2" x14ac:dyDescent="0.25">
      <c r="A43" s="215" t="s">
        <v>103</v>
      </c>
      <c r="B43" s="218">
        <v>7</v>
      </c>
    </row>
    <row r="44" spans="1:2" x14ac:dyDescent="0.25">
      <c r="A44" s="215" t="s">
        <v>105</v>
      </c>
      <c r="B44" s="218">
        <v>4.5999999999999996</v>
      </c>
    </row>
    <row r="45" spans="1:2" x14ac:dyDescent="0.25">
      <c r="A45" s="215" t="s">
        <v>106</v>
      </c>
      <c r="B45" s="218">
        <v>5</v>
      </c>
    </row>
    <row r="46" spans="1:2" x14ac:dyDescent="0.25">
      <c r="A46" s="215" t="s">
        <v>107</v>
      </c>
      <c r="B46" s="218">
        <v>5</v>
      </c>
    </row>
    <row r="47" spans="1:2" x14ac:dyDescent="0.25">
      <c r="A47" s="215" t="s">
        <v>108</v>
      </c>
      <c r="B47" s="218">
        <v>5</v>
      </c>
    </row>
    <row r="48" spans="1:2" x14ac:dyDescent="0.25">
      <c r="A48" s="215" t="s">
        <v>109</v>
      </c>
      <c r="B48" s="218">
        <v>7</v>
      </c>
    </row>
    <row r="49" spans="1:2" x14ac:dyDescent="0.25">
      <c r="A49" s="215" t="s">
        <v>110</v>
      </c>
      <c r="B49" s="218">
        <v>6.99</v>
      </c>
    </row>
    <row r="50" spans="1:2" x14ac:dyDescent="0.25">
      <c r="A50" s="215" t="s">
        <v>111</v>
      </c>
      <c r="B50" s="218">
        <v>3.75</v>
      </c>
    </row>
    <row r="51" spans="1:2" x14ac:dyDescent="0.25">
      <c r="A51" s="215" t="s">
        <v>112</v>
      </c>
      <c r="B51" s="218">
        <v>5</v>
      </c>
    </row>
    <row r="52" spans="1:2" x14ac:dyDescent="0.25">
      <c r="A52" s="215" t="s">
        <v>113</v>
      </c>
      <c r="B52" s="218">
        <v>4.75</v>
      </c>
    </row>
    <row r="53" spans="1:2" x14ac:dyDescent="0.25">
      <c r="A53" s="215" t="s">
        <v>114</v>
      </c>
      <c r="B53" s="218">
        <v>3.5</v>
      </c>
    </row>
    <row r="54" spans="1:2" x14ac:dyDescent="0.25">
      <c r="A54" s="215" t="s">
        <v>115</v>
      </c>
      <c r="B54" s="218">
        <v>5.5</v>
      </c>
    </row>
    <row r="55" spans="1:2" x14ac:dyDescent="0.25">
      <c r="A55" s="215" t="s">
        <v>116</v>
      </c>
      <c r="B55" s="218">
        <v>7</v>
      </c>
    </row>
    <row r="56" spans="1:2" x14ac:dyDescent="0.25">
      <c r="A56" s="215" t="s">
        <v>117</v>
      </c>
      <c r="B56" s="218">
        <v>3.5</v>
      </c>
    </row>
    <row r="57" spans="1:2" x14ac:dyDescent="0.25">
      <c r="A57" s="215" t="s">
        <v>118</v>
      </c>
      <c r="B57" s="218">
        <v>7</v>
      </c>
    </row>
    <row r="58" spans="1:2" x14ac:dyDescent="0.25">
      <c r="A58" s="215" t="s">
        <v>119</v>
      </c>
      <c r="B58" s="218">
        <v>5</v>
      </c>
    </row>
    <row r="59" spans="1:2" x14ac:dyDescent="0.25">
      <c r="A59" s="215" t="s">
        <v>120</v>
      </c>
      <c r="B59" s="218">
        <v>5</v>
      </c>
    </row>
    <row r="60" spans="1:2" x14ac:dyDescent="0.25">
      <c r="A60" s="215" t="s">
        <v>121</v>
      </c>
      <c r="B60" s="218">
        <v>5</v>
      </c>
    </row>
    <row r="61" spans="1:2" x14ac:dyDescent="0.25">
      <c r="A61" s="215" t="s">
        <v>122</v>
      </c>
      <c r="B61" s="218">
        <v>5</v>
      </c>
    </row>
    <row r="62" spans="1:2" x14ac:dyDescent="0.25">
      <c r="A62" s="215" t="s">
        <v>123</v>
      </c>
      <c r="B62" s="218">
        <v>6</v>
      </c>
    </row>
    <row r="63" spans="1:2" x14ac:dyDescent="0.25">
      <c r="A63" s="215" t="s">
        <v>124</v>
      </c>
      <c r="B63" s="218">
        <v>7</v>
      </c>
    </row>
    <row r="64" spans="1:2" x14ac:dyDescent="0.25">
      <c r="A64" s="215" t="s">
        <v>125</v>
      </c>
      <c r="B64" s="218">
        <v>4.5</v>
      </c>
    </row>
    <row r="65" spans="1:2" x14ac:dyDescent="0.25">
      <c r="A65" s="215" t="s">
        <v>126</v>
      </c>
      <c r="B65" s="218">
        <v>5</v>
      </c>
    </row>
    <row r="66" spans="1:2" x14ac:dyDescent="0.25">
      <c r="A66" s="215" t="s">
        <v>127</v>
      </c>
      <c r="B66" s="218">
        <v>7</v>
      </c>
    </row>
    <row r="67" spans="1:2" x14ac:dyDescent="0.25">
      <c r="A67" s="215" t="s">
        <v>128</v>
      </c>
      <c r="B67" s="218">
        <v>5</v>
      </c>
    </row>
    <row r="68" spans="1:2" x14ac:dyDescent="0.25">
      <c r="A68" s="215" t="s">
        <v>129</v>
      </c>
      <c r="B68" s="218">
        <v>7</v>
      </c>
    </row>
    <row r="69" spans="1:2" ht="13" thickBot="1" x14ac:dyDescent="0.3">
      <c r="A69" s="216" t="s">
        <v>130</v>
      </c>
      <c r="B69" s="219">
        <v>3</v>
      </c>
    </row>
    <row r="75" spans="1:2" x14ac:dyDescent="0.25">
      <c r="A75" s="213" t="s">
        <v>284</v>
      </c>
    </row>
    <row r="76" spans="1:2" x14ac:dyDescent="0.25">
      <c r="A76" s="213" t="s">
        <v>256</v>
      </c>
    </row>
    <row r="77" spans="1:2" x14ac:dyDescent="0.25">
      <c r="A77" s="213" t="s">
        <v>257</v>
      </c>
    </row>
  </sheetData>
  <mergeCells count="1">
    <mergeCell ref="A3:B3"/>
  </mergeCells>
  <dataValidations count="2">
    <dataValidation type="list" allowBlank="1" showInputMessage="1" showErrorMessage="1" sqref="B5:B6" xr:uid="{00000000-0002-0000-0A00-000000000000}">
      <formula1>$A$76:$A$77</formula1>
    </dataValidation>
    <dataValidation type="list" allowBlank="1" showInputMessage="1" showErrorMessage="1" sqref="B1" xr:uid="{00000000-0002-0000-0A00-000001000000}">
      <formula1>Counties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D59"/>
  <sheetViews>
    <sheetView workbookViewId="0">
      <selection activeCell="D2" sqref="D2"/>
    </sheetView>
  </sheetViews>
  <sheetFormatPr defaultRowHeight="14.5" x14ac:dyDescent="0.35"/>
  <cols>
    <col min="4" max="4" width="38" style="37" bestFit="1" customWidth="1"/>
  </cols>
  <sheetData>
    <row r="1" spans="1:4" ht="15" thickBot="1" x14ac:dyDescent="0.4">
      <c r="D1" s="37" t="s">
        <v>133</v>
      </c>
    </row>
    <row r="2" spans="1:4" x14ac:dyDescent="0.35">
      <c r="A2" s="34" t="s">
        <v>73</v>
      </c>
      <c r="B2" s="36" t="s">
        <v>131</v>
      </c>
      <c r="C2" s="36" t="s">
        <v>132</v>
      </c>
      <c r="D2" s="37" t="str">
        <f>CONCATENATE($B$2,A2,$C$2)</f>
        <v>Superior Court of Alameda County</v>
      </c>
    </row>
    <row r="3" spans="1:4" x14ac:dyDescent="0.35">
      <c r="A3" s="35" t="s">
        <v>74</v>
      </c>
      <c r="D3" s="37" t="str">
        <f t="shared" ref="D3:D59" si="0">CONCATENATE($B$2,A3,$C$2)</f>
        <v>Superior Court of Alpine County</v>
      </c>
    </row>
    <row r="4" spans="1:4" x14ac:dyDescent="0.35">
      <c r="A4" s="35" t="s">
        <v>75</v>
      </c>
      <c r="D4" s="37" t="str">
        <f t="shared" si="0"/>
        <v>Superior Court of Amador County</v>
      </c>
    </row>
    <row r="5" spans="1:4" x14ac:dyDescent="0.35">
      <c r="A5" s="35" t="s">
        <v>76</v>
      </c>
      <c r="D5" s="37" t="str">
        <f t="shared" si="0"/>
        <v>Superior Court of Butte County</v>
      </c>
    </row>
    <row r="6" spans="1:4" x14ac:dyDescent="0.35">
      <c r="A6" s="35" t="s">
        <v>77</v>
      </c>
      <c r="D6" s="37" t="str">
        <f t="shared" si="0"/>
        <v>Superior Court of Claveras County</v>
      </c>
    </row>
    <row r="7" spans="1:4" x14ac:dyDescent="0.35">
      <c r="A7" s="35" t="s">
        <v>78</v>
      </c>
      <c r="D7" s="37" t="str">
        <f t="shared" si="0"/>
        <v>Superior Court of Colusa County</v>
      </c>
    </row>
    <row r="8" spans="1:4" x14ac:dyDescent="0.35">
      <c r="A8" s="35" t="s">
        <v>79</v>
      </c>
      <c r="D8" s="37" t="str">
        <f t="shared" si="0"/>
        <v>Superior Court of Contra Costa County</v>
      </c>
    </row>
    <row r="9" spans="1:4" x14ac:dyDescent="0.35">
      <c r="A9" s="35" t="s">
        <v>80</v>
      </c>
      <c r="D9" s="37" t="str">
        <f t="shared" si="0"/>
        <v>Superior Court of Del Norte County</v>
      </c>
    </row>
    <row r="10" spans="1:4" x14ac:dyDescent="0.35">
      <c r="A10" s="35" t="s">
        <v>81</v>
      </c>
      <c r="D10" s="37" t="str">
        <f t="shared" si="0"/>
        <v>Superior Court of El Dorado County</v>
      </c>
    </row>
    <row r="11" spans="1:4" x14ac:dyDescent="0.35">
      <c r="A11" s="35" t="s">
        <v>82</v>
      </c>
      <c r="D11" s="37" t="str">
        <f t="shared" si="0"/>
        <v>Superior Court of Fresno County</v>
      </c>
    </row>
    <row r="12" spans="1:4" x14ac:dyDescent="0.35">
      <c r="A12" s="35" t="s">
        <v>83</v>
      </c>
      <c r="D12" s="37" t="str">
        <f t="shared" si="0"/>
        <v>Superior Court of Glenn County</v>
      </c>
    </row>
    <row r="13" spans="1:4" x14ac:dyDescent="0.35">
      <c r="A13" s="35" t="s">
        <v>84</v>
      </c>
      <c r="D13" s="37" t="str">
        <f t="shared" si="0"/>
        <v>Superior Court of Humboldt County</v>
      </c>
    </row>
    <row r="14" spans="1:4" x14ac:dyDescent="0.35">
      <c r="A14" s="35" t="s">
        <v>85</v>
      </c>
      <c r="D14" s="37" t="str">
        <f t="shared" si="0"/>
        <v>Superior Court of Imperial County</v>
      </c>
    </row>
    <row r="15" spans="1:4" x14ac:dyDescent="0.35">
      <c r="A15" s="35" t="s">
        <v>86</v>
      </c>
      <c r="D15" s="37" t="str">
        <f t="shared" si="0"/>
        <v>Superior Court of Inyo County</v>
      </c>
    </row>
    <row r="16" spans="1:4" x14ac:dyDescent="0.35">
      <c r="A16" s="35" t="s">
        <v>87</v>
      </c>
      <c r="D16" s="37" t="str">
        <f t="shared" si="0"/>
        <v>Superior Court of Kern County</v>
      </c>
    </row>
    <row r="17" spans="1:4" x14ac:dyDescent="0.35">
      <c r="A17" s="35" t="s">
        <v>88</v>
      </c>
      <c r="D17" s="37" t="str">
        <f t="shared" si="0"/>
        <v>Superior Court of Kings County</v>
      </c>
    </row>
    <row r="18" spans="1:4" x14ac:dyDescent="0.35">
      <c r="A18" s="35" t="s">
        <v>89</v>
      </c>
      <c r="D18" s="37" t="str">
        <f t="shared" si="0"/>
        <v>Superior Court of Lake County</v>
      </c>
    </row>
    <row r="19" spans="1:4" x14ac:dyDescent="0.35">
      <c r="A19" s="35" t="s">
        <v>90</v>
      </c>
      <c r="D19" s="37" t="str">
        <f t="shared" si="0"/>
        <v>Superior Court of Lassen County</v>
      </c>
    </row>
    <row r="20" spans="1:4" x14ac:dyDescent="0.35">
      <c r="A20" s="35" t="s">
        <v>91</v>
      </c>
      <c r="D20" s="37" t="str">
        <f t="shared" si="0"/>
        <v>Superior Court of Los Angeles County</v>
      </c>
    </row>
    <row r="21" spans="1:4" x14ac:dyDescent="0.35">
      <c r="A21" s="35" t="s">
        <v>92</v>
      </c>
      <c r="D21" s="37" t="str">
        <f t="shared" si="0"/>
        <v>Superior Court of Madera County</v>
      </c>
    </row>
    <row r="22" spans="1:4" x14ac:dyDescent="0.35">
      <c r="A22" s="35" t="s">
        <v>93</v>
      </c>
      <c r="D22" s="37" t="str">
        <f t="shared" si="0"/>
        <v>Superior Court of Marin County</v>
      </c>
    </row>
    <row r="23" spans="1:4" x14ac:dyDescent="0.35">
      <c r="A23" s="35" t="s">
        <v>94</v>
      </c>
      <c r="D23" s="37" t="str">
        <f t="shared" si="0"/>
        <v>Superior Court of Mariposa County</v>
      </c>
    </row>
    <row r="24" spans="1:4" x14ac:dyDescent="0.35">
      <c r="A24" s="35" t="s">
        <v>95</v>
      </c>
      <c r="D24" s="37" t="str">
        <f t="shared" si="0"/>
        <v>Superior Court of Mendocino County</v>
      </c>
    </row>
    <row r="25" spans="1:4" x14ac:dyDescent="0.35">
      <c r="A25" s="35" t="s">
        <v>96</v>
      </c>
      <c r="D25" s="37" t="str">
        <f t="shared" si="0"/>
        <v>Superior Court of Merced County</v>
      </c>
    </row>
    <row r="26" spans="1:4" x14ac:dyDescent="0.35">
      <c r="A26" s="35" t="s">
        <v>97</v>
      </c>
      <c r="D26" s="37" t="str">
        <f t="shared" si="0"/>
        <v>Superior Court of Modoc County</v>
      </c>
    </row>
    <row r="27" spans="1:4" x14ac:dyDescent="0.35">
      <c r="A27" s="35" t="s">
        <v>98</v>
      </c>
      <c r="D27" s="37" t="str">
        <f t="shared" si="0"/>
        <v>Superior Court of Mono County</v>
      </c>
    </row>
    <row r="28" spans="1:4" x14ac:dyDescent="0.35">
      <c r="A28" s="35" t="s">
        <v>99</v>
      </c>
      <c r="D28" s="37" t="str">
        <f t="shared" si="0"/>
        <v>Superior Court of Monterey County</v>
      </c>
    </row>
    <row r="29" spans="1:4" x14ac:dyDescent="0.35">
      <c r="A29" s="35" t="s">
        <v>100</v>
      </c>
      <c r="D29" s="37" t="str">
        <f t="shared" si="0"/>
        <v>Superior Court of Napa County</v>
      </c>
    </row>
    <row r="30" spans="1:4" x14ac:dyDescent="0.35">
      <c r="A30" s="35" t="s">
        <v>101</v>
      </c>
      <c r="D30" s="37" t="str">
        <f t="shared" si="0"/>
        <v>Superior Court of Nevada County</v>
      </c>
    </row>
    <row r="31" spans="1:4" x14ac:dyDescent="0.35">
      <c r="A31" s="35" t="s">
        <v>102</v>
      </c>
      <c r="D31" s="37" t="str">
        <f t="shared" si="0"/>
        <v>Superior Court of Orange County</v>
      </c>
    </row>
    <row r="32" spans="1:4" x14ac:dyDescent="0.35">
      <c r="A32" s="35" t="s">
        <v>103</v>
      </c>
      <c r="D32" s="37" t="str">
        <f t="shared" si="0"/>
        <v>Superior Court of Plumas County</v>
      </c>
    </row>
    <row r="33" spans="1:4" x14ac:dyDescent="0.35">
      <c r="A33" s="35" t="s">
        <v>104</v>
      </c>
      <c r="D33" s="37" t="str">
        <f t="shared" si="0"/>
        <v>Superior Court of Placer County</v>
      </c>
    </row>
    <row r="34" spans="1:4" x14ac:dyDescent="0.35">
      <c r="A34" s="35" t="s">
        <v>105</v>
      </c>
      <c r="D34" s="37" t="str">
        <f t="shared" si="0"/>
        <v>Superior Court of Riverside County</v>
      </c>
    </row>
    <row r="35" spans="1:4" x14ac:dyDescent="0.35">
      <c r="A35" s="35" t="s">
        <v>106</v>
      </c>
      <c r="D35" s="37" t="str">
        <f t="shared" si="0"/>
        <v>Superior Court of Sacramento County</v>
      </c>
    </row>
    <row r="36" spans="1:4" x14ac:dyDescent="0.35">
      <c r="A36" s="35" t="s">
        <v>107</v>
      </c>
      <c r="D36" s="37" t="str">
        <f t="shared" si="0"/>
        <v>Superior Court of San Benito County</v>
      </c>
    </row>
    <row r="37" spans="1:4" x14ac:dyDescent="0.35">
      <c r="A37" s="35" t="s">
        <v>108</v>
      </c>
      <c r="D37" s="37" t="str">
        <f t="shared" si="0"/>
        <v>Superior Court of San Bernardino County</v>
      </c>
    </row>
    <row r="38" spans="1:4" x14ac:dyDescent="0.35">
      <c r="A38" s="35" t="s">
        <v>109</v>
      </c>
      <c r="D38" s="37" t="str">
        <f t="shared" si="0"/>
        <v>Superior Court of San Diego County</v>
      </c>
    </row>
    <row r="39" spans="1:4" x14ac:dyDescent="0.35">
      <c r="A39" s="35" t="s">
        <v>110</v>
      </c>
      <c r="D39" s="37" t="str">
        <f t="shared" si="0"/>
        <v>Superior Court of San Francisco County</v>
      </c>
    </row>
    <row r="40" spans="1:4" x14ac:dyDescent="0.35">
      <c r="A40" s="35" t="s">
        <v>111</v>
      </c>
      <c r="D40" s="37" t="str">
        <f t="shared" si="0"/>
        <v>Superior Court of San Joaquin County</v>
      </c>
    </row>
    <row r="41" spans="1:4" x14ac:dyDescent="0.35">
      <c r="A41" s="35" t="s">
        <v>112</v>
      </c>
      <c r="D41" s="37" t="str">
        <f t="shared" si="0"/>
        <v>Superior Court of San Luis Obispo County</v>
      </c>
    </row>
    <row r="42" spans="1:4" x14ac:dyDescent="0.35">
      <c r="A42" s="35" t="s">
        <v>113</v>
      </c>
      <c r="D42" s="37" t="str">
        <f t="shared" si="0"/>
        <v>Superior Court of San Mateo County</v>
      </c>
    </row>
    <row r="43" spans="1:4" x14ac:dyDescent="0.35">
      <c r="A43" s="35" t="s">
        <v>114</v>
      </c>
      <c r="D43" s="37" t="str">
        <f t="shared" si="0"/>
        <v>Superior Court of Santa Barbara County</v>
      </c>
    </row>
    <row r="44" spans="1:4" x14ac:dyDescent="0.35">
      <c r="A44" s="35" t="s">
        <v>115</v>
      </c>
      <c r="D44" s="37" t="str">
        <f t="shared" si="0"/>
        <v>Superior Court of Santa Clara County</v>
      </c>
    </row>
    <row r="45" spans="1:4" x14ac:dyDescent="0.35">
      <c r="A45" s="35" t="s">
        <v>116</v>
      </c>
      <c r="D45" s="37" t="str">
        <f t="shared" si="0"/>
        <v>Superior Court of Santa Cruz County</v>
      </c>
    </row>
    <row r="46" spans="1:4" x14ac:dyDescent="0.35">
      <c r="A46" s="35" t="s">
        <v>117</v>
      </c>
      <c r="D46" s="37" t="str">
        <f t="shared" si="0"/>
        <v>Superior Court of Shasta County</v>
      </c>
    </row>
    <row r="47" spans="1:4" x14ac:dyDescent="0.35">
      <c r="A47" s="35" t="s">
        <v>118</v>
      </c>
      <c r="D47" s="37" t="str">
        <f t="shared" si="0"/>
        <v>Superior Court of Sierra County</v>
      </c>
    </row>
    <row r="48" spans="1:4" x14ac:dyDescent="0.35">
      <c r="A48" s="35" t="s">
        <v>119</v>
      </c>
      <c r="D48" s="37" t="str">
        <f t="shared" si="0"/>
        <v>Superior Court of Siskiyou County</v>
      </c>
    </row>
    <row r="49" spans="1:4" x14ac:dyDescent="0.35">
      <c r="A49" s="35" t="s">
        <v>120</v>
      </c>
      <c r="D49" s="37" t="str">
        <f t="shared" si="0"/>
        <v>Superior Court of Solano County</v>
      </c>
    </row>
    <row r="50" spans="1:4" x14ac:dyDescent="0.35">
      <c r="A50" s="35" t="s">
        <v>121</v>
      </c>
      <c r="D50" s="37" t="str">
        <f t="shared" si="0"/>
        <v>Superior Court of Sonoma County</v>
      </c>
    </row>
    <row r="51" spans="1:4" x14ac:dyDescent="0.35">
      <c r="A51" s="35" t="s">
        <v>122</v>
      </c>
      <c r="D51" s="37" t="str">
        <f t="shared" si="0"/>
        <v>Superior Court of Stanislaus County</v>
      </c>
    </row>
    <row r="52" spans="1:4" x14ac:dyDescent="0.35">
      <c r="A52" s="35" t="s">
        <v>123</v>
      </c>
      <c r="D52" s="37" t="str">
        <f t="shared" si="0"/>
        <v>Superior Court of Sutter County</v>
      </c>
    </row>
    <row r="53" spans="1:4" x14ac:dyDescent="0.35">
      <c r="A53" s="35" t="s">
        <v>124</v>
      </c>
      <c r="D53" s="37" t="str">
        <f t="shared" si="0"/>
        <v>Superior Court of Tehama County</v>
      </c>
    </row>
    <row r="54" spans="1:4" x14ac:dyDescent="0.35">
      <c r="A54" s="35" t="s">
        <v>125</v>
      </c>
      <c r="D54" s="37" t="str">
        <f t="shared" si="0"/>
        <v>Superior Court of Trinity County</v>
      </c>
    </row>
    <row r="55" spans="1:4" x14ac:dyDescent="0.35">
      <c r="A55" s="35" t="s">
        <v>126</v>
      </c>
      <c r="D55" s="37" t="str">
        <f t="shared" si="0"/>
        <v>Superior Court of Tulare County</v>
      </c>
    </row>
    <row r="56" spans="1:4" x14ac:dyDescent="0.35">
      <c r="A56" s="35" t="s">
        <v>127</v>
      </c>
      <c r="D56" s="37" t="str">
        <f t="shared" si="0"/>
        <v>Superior Court of Tuolumne County</v>
      </c>
    </row>
    <row r="57" spans="1:4" x14ac:dyDescent="0.35">
      <c r="A57" s="35" t="s">
        <v>128</v>
      </c>
      <c r="D57" s="37" t="str">
        <f t="shared" si="0"/>
        <v>Superior Court of Ventura County</v>
      </c>
    </row>
    <row r="58" spans="1:4" x14ac:dyDescent="0.35">
      <c r="A58" s="35" t="s">
        <v>129</v>
      </c>
      <c r="D58" s="37" t="str">
        <f t="shared" si="0"/>
        <v>Superior Court of Yolo County</v>
      </c>
    </row>
    <row r="59" spans="1:4" x14ac:dyDescent="0.35">
      <c r="A59" s="35" t="s">
        <v>130</v>
      </c>
      <c r="D59" s="37" t="str">
        <f t="shared" si="0"/>
        <v>Superior Court of Yuba County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indexed="42"/>
  </sheetPr>
  <dimension ref="A2:B7"/>
  <sheetViews>
    <sheetView workbookViewId="0">
      <selection activeCell="E39" sqref="E39"/>
    </sheetView>
  </sheetViews>
  <sheetFormatPr defaultRowHeight="12.5" x14ac:dyDescent="0.25"/>
  <cols>
    <col min="2" max="2" width="30.81640625" bestFit="1" customWidth="1"/>
  </cols>
  <sheetData>
    <row r="2" spans="1:2" s="5" customFormat="1" ht="13" x14ac:dyDescent="0.3">
      <c r="A2" s="6" t="s">
        <v>24</v>
      </c>
      <c r="B2" s="6" t="s">
        <v>40</v>
      </c>
    </row>
    <row r="3" spans="1:2" x14ac:dyDescent="0.25">
      <c r="A3" t="s">
        <v>35</v>
      </c>
      <c r="B3" t="s">
        <v>23</v>
      </c>
    </row>
    <row r="4" spans="1:2" x14ac:dyDescent="0.25">
      <c r="A4" t="s">
        <v>36</v>
      </c>
      <c r="B4" t="s">
        <v>41</v>
      </c>
    </row>
    <row r="5" spans="1:2" x14ac:dyDescent="0.25">
      <c r="A5" t="s">
        <v>37</v>
      </c>
      <c r="B5" t="s">
        <v>42</v>
      </c>
    </row>
    <row r="6" spans="1:2" x14ac:dyDescent="0.25">
      <c r="A6" t="s">
        <v>33</v>
      </c>
      <c r="B6" t="s">
        <v>43</v>
      </c>
    </row>
    <row r="7" spans="1:2" x14ac:dyDescent="0.25">
      <c r="A7" t="s">
        <v>39</v>
      </c>
      <c r="B7" t="s">
        <v>27</v>
      </c>
    </row>
  </sheetData>
  <customSheetViews>
    <customSheetView guid="{07F1F502-9FC7-4878-A746-52E1655BD4FA}" showRuler="0">
      <selection activeCell="E39" sqref="E39"/>
      <pageMargins left="0.75" right="0.75" top="1" bottom="1" header="0.5" footer="0.5"/>
      <pageSetup orientation="portrait" r:id="rId1"/>
      <headerFooter alignWithMargins="0"/>
    </customSheetView>
  </customSheetViews>
  <phoneticPr fontId="3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3" tint="0.39997558519241921"/>
  </sheetPr>
  <dimension ref="A1:D21"/>
  <sheetViews>
    <sheetView workbookViewId="0">
      <selection activeCell="C43" sqref="C43:F43"/>
    </sheetView>
  </sheetViews>
  <sheetFormatPr defaultColWidth="9.1796875" defaultRowHeight="12.5" x14ac:dyDescent="0.25"/>
  <cols>
    <col min="1" max="1" width="46.7265625" style="8" bestFit="1" customWidth="1"/>
    <col min="2" max="2" width="45.453125" style="8" bestFit="1" customWidth="1"/>
    <col min="3" max="3" width="30.7265625" style="8" customWidth="1"/>
    <col min="4" max="4" width="26.7265625" style="8" customWidth="1"/>
    <col min="5" max="16384" width="9.1796875" style="8"/>
  </cols>
  <sheetData>
    <row r="1" spans="1:4" s="7" customFormat="1" ht="14.25" customHeight="1" x14ac:dyDescent="0.35">
      <c r="A1" s="17" t="e">
        <f>#REF!</f>
        <v>#REF!</v>
      </c>
    </row>
    <row r="2" spans="1:4" s="7" customFormat="1" ht="14.25" customHeight="1" x14ac:dyDescent="0.35">
      <c r="A2" s="7" t="s">
        <v>50</v>
      </c>
    </row>
    <row r="3" spans="1:4" ht="14.25" customHeight="1" x14ac:dyDescent="0.25"/>
    <row r="4" spans="1:4" ht="14.25" customHeight="1" x14ac:dyDescent="0.25"/>
    <row r="5" spans="1:4" ht="14.25" customHeight="1" x14ac:dyDescent="0.25"/>
    <row r="6" spans="1:4" s="10" customFormat="1" ht="13" x14ac:dyDescent="0.3">
      <c r="A6" s="9" t="s">
        <v>49</v>
      </c>
      <c r="B6" s="9" t="s">
        <v>0</v>
      </c>
      <c r="C6" s="9" t="s">
        <v>249</v>
      </c>
      <c r="D6" s="9" t="s">
        <v>250</v>
      </c>
    </row>
    <row r="7" spans="1:4" ht="13" x14ac:dyDescent="0.25">
      <c r="A7" s="199" t="s">
        <v>267</v>
      </c>
      <c r="B7" s="199" t="s">
        <v>21</v>
      </c>
      <c r="C7" s="12"/>
      <c r="D7" s="13"/>
    </row>
    <row r="8" spans="1:4" ht="13" x14ac:dyDescent="0.25">
      <c r="A8" s="199" t="s">
        <v>268</v>
      </c>
      <c r="B8" s="11" t="s">
        <v>19</v>
      </c>
      <c r="C8" s="12"/>
      <c r="D8" s="13"/>
    </row>
    <row r="9" spans="1:4" x14ac:dyDescent="0.25">
      <c r="A9" s="199" t="s">
        <v>269</v>
      </c>
      <c r="B9" s="199" t="s">
        <v>277</v>
      </c>
      <c r="C9" s="13"/>
      <c r="D9" s="13"/>
    </row>
    <row r="10" spans="1:4" x14ac:dyDescent="0.25">
      <c r="A10" s="199" t="s">
        <v>270</v>
      </c>
      <c r="B10" s="199" t="s">
        <v>278</v>
      </c>
      <c r="C10" s="13"/>
      <c r="D10" s="13"/>
    </row>
    <row r="11" spans="1:4" x14ac:dyDescent="0.25">
      <c r="A11" s="14" t="s">
        <v>55</v>
      </c>
      <c r="B11" s="14" t="s">
        <v>253</v>
      </c>
      <c r="C11" s="13"/>
      <c r="D11" s="13"/>
    </row>
    <row r="12" spans="1:4" x14ac:dyDescent="0.25">
      <c r="A12" s="11" t="s">
        <v>53</v>
      </c>
      <c r="B12" s="11" t="s">
        <v>28</v>
      </c>
      <c r="C12" s="13"/>
      <c r="D12" s="13"/>
    </row>
    <row r="13" spans="1:4" x14ac:dyDescent="0.25">
      <c r="A13" s="13" t="s">
        <v>266</v>
      </c>
      <c r="B13" s="14" t="s">
        <v>29</v>
      </c>
      <c r="C13" s="13"/>
      <c r="D13" s="13"/>
    </row>
    <row r="14" spans="1:4" x14ac:dyDescent="0.25">
      <c r="A14" s="199" t="s">
        <v>265</v>
      </c>
      <c r="B14" s="199" t="s">
        <v>279</v>
      </c>
      <c r="C14" s="13"/>
      <c r="D14" s="15"/>
    </row>
    <row r="15" spans="1:4" x14ac:dyDescent="0.25">
      <c r="A15" s="13" t="s">
        <v>271</v>
      </c>
      <c r="B15" s="13" t="s">
        <v>29</v>
      </c>
      <c r="C15" s="15"/>
      <c r="D15" s="15"/>
    </row>
    <row r="16" spans="1:4" x14ac:dyDescent="0.25">
      <c r="A16" s="199" t="s">
        <v>272</v>
      </c>
      <c r="B16" s="199" t="s">
        <v>276</v>
      </c>
      <c r="C16" s="15"/>
      <c r="D16" s="15"/>
    </row>
    <row r="17" spans="1:4" x14ac:dyDescent="0.25">
      <c r="A17" s="199" t="s">
        <v>273</v>
      </c>
      <c r="B17" s="199" t="s">
        <v>261</v>
      </c>
      <c r="C17" s="15"/>
      <c r="D17" s="15"/>
    </row>
    <row r="18" spans="1:4" x14ac:dyDescent="0.25">
      <c r="A18" s="199" t="s">
        <v>274</v>
      </c>
      <c r="B18" s="11" t="s">
        <v>9</v>
      </c>
      <c r="C18" s="15"/>
      <c r="D18" s="15"/>
    </row>
    <row r="19" spans="1:4" x14ac:dyDescent="0.25">
      <c r="A19" s="199" t="s">
        <v>275</v>
      </c>
      <c r="B19" s="11" t="s">
        <v>32</v>
      </c>
      <c r="C19" s="15"/>
      <c r="D19" s="15"/>
    </row>
    <row r="20" spans="1:4" ht="13" x14ac:dyDescent="0.25">
      <c r="A20" s="13" t="s">
        <v>38</v>
      </c>
      <c r="B20" s="14" t="s">
        <v>34</v>
      </c>
      <c r="C20" s="12"/>
      <c r="D20" s="12"/>
    </row>
    <row r="21" spans="1:4" x14ac:dyDescent="0.25">
      <c r="A21" s="16"/>
      <c r="B21" s="16"/>
      <c r="C21" s="16"/>
      <c r="D21" s="16"/>
    </row>
  </sheetData>
  <customSheetViews>
    <customSheetView guid="{07F1F502-9FC7-4878-A746-52E1655BD4FA}" showRuler="0">
      <selection activeCell="A37" sqref="A37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5" tint="0.59999389629810485"/>
  </sheetPr>
  <dimension ref="A1:H25"/>
  <sheetViews>
    <sheetView workbookViewId="0">
      <selection activeCell="C43" sqref="C43:F43"/>
    </sheetView>
  </sheetViews>
  <sheetFormatPr defaultColWidth="9.1796875" defaultRowHeight="12.5" x14ac:dyDescent="0.25"/>
  <cols>
    <col min="1" max="1" width="28.26953125" style="18" bestFit="1" customWidth="1"/>
    <col min="2" max="2" width="9.81640625" style="3" bestFit="1" customWidth="1"/>
    <col min="3" max="3" width="10.1796875" style="3" bestFit="1" customWidth="1"/>
    <col min="4" max="6" width="9.1796875" style="3"/>
    <col min="7" max="7" width="10.1796875" style="3" bestFit="1" customWidth="1"/>
    <col min="8" max="16384" width="9.1796875" style="3"/>
  </cols>
  <sheetData>
    <row r="1" spans="1:8" s="26" customFormat="1" ht="15.5" x14ac:dyDescent="0.25">
      <c r="A1" s="25" t="s">
        <v>70</v>
      </c>
    </row>
    <row r="3" spans="1:8" ht="13" x14ac:dyDescent="0.25">
      <c r="A3" s="22" t="s">
        <v>62</v>
      </c>
      <c r="B3" s="32"/>
    </row>
    <row r="4" spans="1:8" ht="13" x14ac:dyDescent="0.25">
      <c r="A4" s="22" t="s">
        <v>63</v>
      </c>
      <c r="B4" s="32"/>
    </row>
    <row r="5" spans="1:8" ht="13" x14ac:dyDescent="0.25">
      <c r="A5" s="22" t="s">
        <v>64</v>
      </c>
      <c r="B5" s="32"/>
    </row>
    <row r="6" spans="1:8" ht="13" x14ac:dyDescent="0.25">
      <c r="A6" s="22" t="s">
        <v>14</v>
      </c>
      <c r="B6" s="33"/>
    </row>
    <row r="7" spans="1:8" ht="13" x14ac:dyDescent="0.25">
      <c r="A7" s="27"/>
      <c r="B7" s="28"/>
    </row>
    <row r="8" spans="1:8" ht="13" x14ac:dyDescent="0.25">
      <c r="C8" s="274" t="s">
        <v>71</v>
      </c>
      <c r="D8" s="274"/>
      <c r="E8" s="274"/>
      <c r="F8" s="274"/>
      <c r="G8" s="274"/>
      <c r="H8" s="274"/>
    </row>
    <row r="9" spans="1:8" ht="13" x14ac:dyDescent="0.25">
      <c r="A9" s="23" t="s">
        <v>72</v>
      </c>
      <c r="B9" s="19" t="s">
        <v>69</v>
      </c>
      <c r="C9" s="20"/>
      <c r="D9" s="20"/>
      <c r="E9" s="20"/>
      <c r="F9" s="20"/>
      <c r="G9" s="20"/>
      <c r="H9" s="20"/>
    </row>
    <row r="10" spans="1:8" x14ac:dyDescent="0.25">
      <c r="A10" s="29"/>
      <c r="B10" s="24">
        <f t="shared" ref="B10:B22" si="0">SUM(C10:H10)</f>
        <v>0</v>
      </c>
      <c r="C10" s="31"/>
      <c r="D10" s="31"/>
      <c r="E10" s="31"/>
      <c r="F10" s="31"/>
      <c r="G10" s="31"/>
      <c r="H10" s="31"/>
    </row>
    <row r="11" spans="1:8" x14ac:dyDescent="0.25">
      <c r="A11" s="29"/>
      <c r="B11" s="24">
        <f t="shared" si="0"/>
        <v>0</v>
      </c>
      <c r="C11" s="31"/>
      <c r="D11" s="31"/>
      <c r="E11" s="31"/>
      <c r="F11" s="31"/>
      <c r="G11" s="31"/>
      <c r="H11" s="31"/>
    </row>
    <row r="12" spans="1:8" x14ac:dyDescent="0.25">
      <c r="A12" s="30"/>
      <c r="B12" s="24">
        <f t="shared" si="0"/>
        <v>0</v>
      </c>
      <c r="C12" s="31"/>
      <c r="D12" s="31"/>
      <c r="E12" s="31"/>
      <c r="F12" s="31"/>
      <c r="G12" s="31"/>
      <c r="H12" s="31"/>
    </row>
    <row r="13" spans="1:8" x14ac:dyDescent="0.25">
      <c r="A13" s="29"/>
      <c r="B13" s="24">
        <f t="shared" si="0"/>
        <v>0</v>
      </c>
      <c r="C13" s="31"/>
      <c r="D13" s="31"/>
      <c r="E13" s="31"/>
      <c r="F13" s="31"/>
      <c r="G13" s="31"/>
      <c r="H13" s="31"/>
    </row>
    <row r="14" spans="1:8" x14ac:dyDescent="0.25">
      <c r="A14" s="30"/>
      <c r="B14" s="24">
        <f t="shared" si="0"/>
        <v>0</v>
      </c>
      <c r="C14" s="31"/>
      <c r="D14" s="31"/>
      <c r="E14" s="31"/>
      <c r="F14" s="31"/>
      <c r="G14" s="31"/>
      <c r="H14" s="31"/>
    </row>
    <row r="15" spans="1:8" x14ac:dyDescent="0.25">
      <c r="A15" s="30"/>
      <c r="B15" s="24">
        <f t="shared" si="0"/>
        <v>0</v>
      </c>
      <c r="C15" s="31"/>
      <c r="D15" s="31"/>
      <c r="E15" s="31"/>
      <c r="F15" s="31"/>
      <c r="G15" s="31"/>
      <c r="H15" s="31"/>
    </row>
    <row r="16" spans="1:8" x14ac:dyDescent="0.25">
      <c r="A16" s="30"/>
      <c r="B16" s="24">
        <f t="shared" si="0"/>
        <v>0</v>
      </c>
      <c r="C16" s="31"/>
      <c r="D16" s="31"/>
      <c r="E16" s="31"/>
      <c r="F16" s="31"/>
      <c r="G16" s="31"/>
      <c r="H16" s="31"/>
    </row>
    <row r="17" spans="1:8" x14ac:dyDescent="0.25">
      <c r="A17" s="30"/>
      <c r="B17" s="24">
        <f t="shared" si="0"/>
        <v>0</v>
      </c>
      <c r="C17" s="31"/>
      <c r="D17" s="31"/>
      <c r="E17" s="31"/>
      <c r="F17" s="31"/>
      <c r="G17" s="31"/>
      <c r="H17" s="31"/>
    </row>
    <row r="18" spans="1:8" x14ac:dyDescent="0.25">
      <c r="A18" s="29"/>
      <c r="B18" s="24">
        <f t="shared" si="0"/>
        <v>0</v>
      </c>
      <c r="C18" s="31"/>
      <c r="D18" s="31"/>
      <c r="E18" s="31"/>
      <c r="F18" s="31"/>
      <c r="G18" s="31"/>
      <c r="H18" s="31"/>
    </row>
    <row r="19" spans="1:8" x14ac:dyDescent="0.25">
      <c r="A19" s="29"/>
      <c r="B19" s="24">
        <f t="shared" si="0"/>
        <v>0</v>
      </c>
      <c r="C19" s="31"/>
      <c r="D19" s="31"/>
      <c r="E19" s="31"/>
      <c r="F19" s="31"/>
      <c r="G19" s="31"/>
      <c r="H19" s="31"/>
    </row>
    <row r="20" spans="1:8" x14ac:dyDescent="0.25">
      <c r="A20" s="29"/>
      <c r="B20" s="24">
        <f t="shared" si="0"/>
        <v>0</v>
      </c>
      <c r="C20" s="31"/>
      <c r="D20" s="31"/>
      <c r="E20" s="31"/>
      <c r="F20" s="31"/>
      <c r="G20" s="31"/>
      <c r="H20" s="31"/>
    </row>
    <row r="21" spans="1:8" x14ac:dyDescent="0.25">
      <c r="A21" s="29"/>
      <c r="B21" s="24">
        <f t="shared" si="0"/>
        <v>0</v>
      </c>
      <c r="C21" s="31"/>
      <c r="D21" s="31"/>
      <c r="E21" s="31"/>
      <c r="F21" s="31"/>
      <c r="G21" s="31"/>
      <c r="H21" s="31"/>
    </row>
    <row r="22" spans="1:8" x14ac:dyDescent="0.25">
      <c r="A22" s="29"/>
      <c r="B22" s="24">
        <f t="shared" si="0"/>
        <v>0</v>
      </c>
      <c r="C22" s="31"/>
      <c r="D22" s="31"/>
      <c r="E22" s="31"/>
      <c r="F22" s="31"/>
      <c r="G22" s="31"/>
      <c r="H22" s="31"/>
    </row>
    <row r="24" spans="1:8" ht="13" x14ac:dyDescent="0.25">
      <c r="A24" s="21" t="s">
        <v>69</v>
      </c>
      <c r="B24" s="4">
        <f t="shared" ref="B24:H24" si="1">SUM(B10:B23)</f>
        <v>0</v>
      </c>
      <c r="C24" s="3">
        <f t="shared" si="1"/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</row>
    <row r="25" spans="1:8" x14ac:dyDescent="0.25">
      <c r="C25" s="3">
        <f>SUM(C24:H24)</f>
        <v>0</v>
      </c>
    </row>
  </sheetData>
  <customSheetViews>
    <customSheetView guid="{07F1F502-9FC7-4878-A746-52E1655BD4FA}" showRuler="0">
      <selection activeCell="H40" sqref="H40"/>
      <pageMargins left="0.75" right="0.75" top="1" bottom="1" header="0.5" footer="0.5"/>
      <headerFooter alignWithMargins="0"/>
    </customSheetView>
  </customSheetViews>
  <mergeCells count="1">
    <mergeCell ref="C8:H8"/>
  </mergeCells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34"/>
    <pageSetUpPr fitToPage="1"/>
  </sheetPr>
  <dimension ref="A1:X50"/>
  <sheetViews>
    <sheetView zoomScale="90" zoomScaleNormal="90" workbookViewId="0">
      <pane ySplit="1" topLeftCell="A11" activePane="bottomLeft" state="frozen"/>
      <selection activeCell="N29" sqref="N29:O29"/>
      <selection pane="bottomLeft" activeCell="N29" sqref="N29:O29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5.54296875" style="87" customWidth="1"/>
    <col min="4" max="4" width="12" style="87" customWidth="1"/>
    <col min="5" max="5" width="12.81640625" style="88" customWidth="1"/>
    <col min="6" max="6" width="16" style="121" customWidth="1"/>
    <col min="7" max="7" width="9.1796875" style="46" customWidth="1"/>
    <col min="8" max="8" width="29.453125" style="46" hidden="1" customWidth="1"/>
    <col min="9" max="9" width="14" style="46" customWidth="1"/>
    <col min="10" max="10" width="14.1796875" style="46" customWidth="1"/>
    <col min="11" max="11" width="6" style="46" customWidth="1"/>
    <col min="12" max="12" width="14" style="92" customWidth="1"/>
    <col min="13" max="13" width="1.7265625" style="89" customWidth="1"/>
    <col min="14" max="14" width="17.54296875" style="46" customWidth="1"/>
    <col min="15" max="15" width="1.54296875" style="46" customWidth="1"/>
    <col min="16" max="16" width="14.26953125" style="46" customWidth="1"/>
    <col min="17" max="17" width="2.54296875" style="89" customWidth="1"/>
    <col min="18" max="18" width="12.26953125" style="90" customWidth="1"/>
    <col min="19" max="19" width="20.26953125" style="91" customWidth="1"/>
    <col min="20" max="20" width="2.1796875" style="50" customWidth="1"/>
    <col min="21" max="21" width="11.26953125" style="50" customWidth="1"/>
    <col min="22" max="22" width="13.26953125" style="50" customWidth="1"/>
    <col min="23" max="24" width="9.1796875" style="50"/>
    <col min="25" max="16384" width="9.1796875" style="46"/>
  </cols>
  <sheetData>
    <row r="1" spans="1:24" ht="20.25" customHeight="1" thickBot="1" x14ac:dyDescent="0.3">
      <c r="A1" s="342" t="s">
        <v>215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0" t="s">
        <v>230</v>
      </c>
      <c r="M1" s="340"/>
      <c r="N1" s="340"/>
      <c r="O1" s="340"/>
      <c r="P1" s="340"/>
      <c r="Q1" s="340"/>
      <c r="R1" s="340"/>
      <c r="S1" s="341"/>
    </row>
    <row r="2" spans="1:24" s="50" customFormat="1" ht="11.25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</row>
    <row r="3" spans="1:24" s="50" customFormat="1" ht="19.5" thickTop="1" thickBot="1" x14ac:dyDescent="0.3">
      <c r="A3" s="355" t="s">
        <v>191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7"/>
      <c r="O3" s="160"/>
      <c r="P3" s="358" t="s">
        <v>218</v>
      </c>
      <c r="Q3" s="359"/>
      <c r="R3" s="359"/>
      <c r="S3" s="360"/>
      <c r="U3" s="159" t="s">
        <v>207</v>
      </c>
    </row>
    <row r="4" spans="1:24" s="53" customFormat="1" ht="15.5" x14ac:dyDescent="0.25">
      <c r="A4" s="352" t="s">
        <v>188</v>
      </c>
      <c r="B4" s="331"/>
      <c r="C4" s="331"/>
      <c r="D4" s="353" t="str">
        <f>L1</f>
        <v>CASE NUMBER</v>
      </c>
      <c r="E4" s="354"/>
      <c r="F4" s="367" t="s">
        <v>22</v>
      </c>
      <c r="G4" s="350"/>
      <c r="H4" s="180"/>
      <c r="I4" s="348" t="s">
        <v>220</v>
      </c>
      <c r="J4" s="349"/>
      <c r="K4" s="350" t="s">
        <v>214</v>
      </c>
      <c r="L4" s="350"/>
      <c r="M4" s="350"/>
      <c r="N4" s="181">
        <v>390</v>
      </c>
      <c r="O4" s="52"/>
      <c r="P4" s="361" t="s">
        <v>193</v>
      </c>
      <c r="Q4" s="362"/>
      <c r="R4" s="362"/>
      <c r="S4" s="363"/>
      <c r="U4" s="157" t="s">
        <v>25</v>
      </c>
      <c r="V4" s="161">
        <f>SUMIF(G16:G43,"STATE",L16:L43)</f>
        <v>860.54000000000008</v>
      </c>
    </row>
    <row r="5" spans="1:24" s="53" customFormat="1" ht="15.5" x14ac:dyDescent="0.25">
      <c r="A5" s="324" t="s">
        <v>3</v>
      </c>
      <c r="B5" s="325"/>
      <c r="C5" s="325"/>
      <c r="D5" s="329"/>
      <c r="E5" s="330"/>
      <c r="F5" s="326" t="s">
        <v>201</v>
      </c>
      <c r="G5" s="323"/>
      <c r="H5" s="167"/>
      <c r="I5" s="334" t="s">
        <v>222</v>
      </c>
      <c r="J5" s="335"/>
      <c r="K5" s="323" t="s">
        <v>17</v>
      </c>
      <c r="L5" s="323"/>
      <c r="M5" s="323"/>
      <c r="N5" s="54"/>
      <c r="O5" s="52"/>
      <c r="P5" s="364" t="s">
        <v>194</v>
      </c>
      <c r="Q5" s="365"/>
      <c r="R5" s="365"/>
      <c r="S5" s="366"/>
      <c r="U5" s="157" t="s">
        <v>26</v>
      </c>
      <c r="V5" s="161">
        <f>SUMIF(G16:G43,"COUNTY",L16:L43)</f>
        <v>1069.46</v>
      </c>
    </row>
    <row r="6" spans="1:24" s="53" customFormat="1" ht="16" thickBot="1" x14ac:dyDescent="0.3">
      <c r="A6" s="324" t="s">
        <v>10</v>
      </c>
      <c r="B6" s="325"/>
      <c r="C6" s="325"/>
      <c r="D6" s="334"/>
      <c r="E6" s="330"/>
      <c r="F6" s="326" t="s">
        <v>15</v>
      </c>
      <c r="G6" s="323"/>
      <c r="H6" s="167"/>
      <c r="I6" s="334" t="s">
        <v>223</v>
      </c>
      <c r="J6" s="335"/>
      <c r="K6" s="321" t="s">
        <v>190</v>
      </c>
      <c r="L6" s="321"/>
      <c r="M6" s="321"/>
      <c r="N6" s="184">
        <f>N4+N5*10</f>
        <v>390</v>
      </c>
      <c r="O6" s="52"/>
      <c r="P6" s="281" t="s">
        <v>195</v>
      </c>
      <c r="Q6" s="282"/>
      <c r="R6" s="282"/>
      <c r="S6" s="283"/>
      <c r="U6" s="157" t="s">
        <v>45</v>
      </c>
      <c r="V6" s="161">
        <f>SUMIF(G16:G43,"CITY",L16:L43)</f>
        <v>0</v>
      </c>
    </row>
    <row r="7" spans="1:24" s="53" customFormat="1" ht="16" thickBot="1" x14ac:dyDescent="0.3">
      <c r="A7" s="324" t="s">
        <v>4</v>
      </c>
      <c r="B7" s="325"/>
      <c r="C7" s="325"/>
      <c r="D7" s="334" t="s">
        <v>221</v>
      </c>
      <c r="E7" s="330"/>
      <c r="F7" s="318" t="s">
        <v>16</v>
      </c>
      <c r="G7" s="319"/>
      <c r="H7" s="168"/>
      <c r="I7" s="336"/>
      <c r="J7" s="337"/>
      <c r="K7" s="332"/>
      <c r="L7" s="333"/>
      <c r="M7" s="333"/>
      <c r="N7" s="185"/>
      <c r="O7" s="52"/>
      <c r="P7" s="284" t="s">
        <v>192</v>
      </c>
      <c r="Q7" s="285"/>
      <c r="R7" s="285"/>
      <c r="S7" s="286"/>
      <c r="U7" s="157" t="s">
        <v>187</v>
      </c>
      <c r="V7" s="161">
        <f>SUMIF(G16:G43,"COURT",L16:L43)</f>
        <v>0</v>
      </c>
    </row>
    <row r="8" spans="1:24" s="53" customFormat="1" ht="15.5" x14ac:dyDescent="0.25">
      <c r="A8" s="322" t="s">
        <v>47</v>
      </c>
      <c r="B8" s="323"/>
      <c r="C8" s="323"/>
      <c r="D8" s="346">
        <v>1</v>
      </c>
      <c r="E8" s="347"/>
      <c r="F8" s="351" t="s">
        <v>210</v>
      </c>
      <c r="G8" s="331"/>
      <c r="H8" s="169"/>
      <c r="I8" s="338"/>
      <c r="J8" s="339"/>
      <c r="K8" s="331" t="s">
        <v>214</v>
      </c>
      <c r="L8" s="331"/>
      <c r="M8" s="331"/>
      <c r="N8" s="51">
        <v>0</v>
      </c>
      <c r="O8" s="52"/>
      <c r="P8" s="300" t="s">
        <v>212</v>
      </c>
      <c r="Q8" s="301"/>
      <c r="R8" s="301"/>
      <c r="S8" s="302"/>
      <c r="U8" s="176" t="s">
        <v>208</v>
      </c>
      <c r="V8" s="161">
        <f>SUMIF(G16:G43,"Crt OR Cty",L16:L43)</f>
        <v>10</v>
      </c>
    </row>
    <row r="9" spans="1:24" s="53" customFormat="1" ht="18" customHeight="1" thickBot="1" x14ac:dyDescent="0.3">
      <c r="A9" s="320" t="s">
        <v>46</v>
      </c>
      <c r="B9" s="321"/>
      <c r="C9" s="321"/>
      <c r="D9" s="344">
        <f>100%-D8</f>
        <v>0</v>
      </c>
      <c r="E9" s="345"/>
      <c r="F9" s="326" t="s">
        <v>201</v>
      </c>
      <c r="G9" s="323"/>
      <c r="H9" s="167"/>
      <c r="I9" s="334"/>
      <c r="J9" s="335"/>
      <c r="K9" s="323" t="s">
        <v>17</v>
      </c>
      <c r="L9" s="323"/>
      <c r="M9" s="323"/>
      <c r="N9" s="54"/>
      <c r="P9" s="303"/>
      <c r="Q9" s="304"/>
      <c r="R9" s="304"/>
      <c r="S9" s="305"/>
      <c r="U9" s="158" t="s">
        <v>203</v>
      </c>
      <c r="V9" s="134">
        <f>SUM(V4:V8)</f>
        <v>1940</v>
      </c>
      <c r="W9" s="59"/>
    </row>
    <row r="10" spans="1:24" s="53" customFormat="1" ht="16.5" customHeight="1" thickBot="1" x14ac:dyDescent="0.3">
      <c r="A10" s="376" t="s">
        <v>224</v>
      </c>
      <c r="B10" s="377"/>
      <c r="C10" s="377"/>
      <c r="D10" s="372">
        <f>N6+N10</f>
        <v>390</v>
      </c>
      <c r="E10" s="373"/>
      <c r="F10" s="326" t="s">
        <v>15</v>
      </c>
      <c r="G10" s="323"/>
      <c r="H10" s="167"/>
      <c r="I10" s="334"/>
      <c r="J10" s="335"/>
      <c r="K10" s="321" t="s">
        <v>190</v>
      </c>
      <c r="L10" s="321"/>
      <c r="M10" s="321"/>
      <c r="N10" s="184">
        <f>N8+N9*10</f>
        <v>0</v>
      </c>
      <c r="P10" s="297" t="s">
        <v>196</v>
      </c>
      <c r="Q10" s="298"/>
      <c r="R10" s="298"/>
      <c r="S10" s="299"/>
      <c r="V10" s="162">
        <f>V9-L45</f>
        <v>0</v>
      </c>
      <c r="W10" s="59"/>
    </row>
    <row r="11" spans="1:24" s="53" customFormat="1" ht="16.5" customHeight="1" thickBot="1" x14ac:dyDescent="0.3">
      <c r="A11" s="374" t="s">
        <v>225</v>
      </c>
      <c r="B11" s="375"/>
      <c r="C11" s="375"/>
      <c r="D11" s="370">
        <f>ROUNDUP(D10/10,0)</f>
        <v>39</v>
      </c>
      <c r="E11" s="371"/>
      <c r="F11" s="318" t="s">
        <v>16</v>
      </c>
      <c r="G11" s="319"/>
      <c r="H11" s="168"/>
      <c r="I11" s="336"/>
      <c r="J11" s="337"/>
      <c r="K11" s="397"/>
      <c r="L11" s="398"/>
      <c r="M11" s="398"/>
      <c r="N11" s="186"/>
      <c r="P11" s="275" t="s">
        <v>202</v>
      </c>
      <c r="Q11" s="276"/>
      <c r="R11" s="276"/>
      <c r="S11" s="277"/>
      <c r="W11" s="59"/>
    </row>
    <row r="12" spans="1:24" s="53" customFormat="1" ht="1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8"/>
      <c r="S12" s="56"/>
      <c r="W12" s="59"/>
    </row>
    <row r="13" spans="1:24" s="98" customFormat="1" ht="15.75" customHeight="1" thickBot="1" x14ac:dyDescent="0.3">
      <c r="A13" s="174"/>
      <c r="B13" s="174"/>
      <c r="C13" s="174"/>
      <c r="D13" s="174"/>
      <c r="E13" s="174"/>
      <c r="F13" s="96"/>
      <c r="G13" s="97"/>
      <c r="I13" s="392" t="s">
        <v>185</v>
      </c>
      <c r="J13" s="393"/>
      <c r="K13" s="393"/>
      <c r="L13" s="394"/>
      <c r="M13" s="99"/>
      <c r="N13" s="278" t="s">
        <v>186</v>
      </c>
      <c r="O13" s="279"/>
      <c r="P13" s="280"/>
      <c r="Q13" s="100"/>
      <c r="R13" s="143"/>
      <c r="S13" s="144"/>
      <c r="T13" s="97"/>
      <c r="U13" s="97"/>
      <c r="V13" s="97"/>
      <c r="W13" s="97"/>
      <c r="X13" s="97"/>
    </row>
    <row r="14" spans="1:24" ht="44.25" customHeight="1" thickBot="1" x14ac:dyDescent="0.3">
      <c r="A14" s="101">
        <v>0.02</v>
      </c>
      <c r="B14" s="101" t="s">
        <v>51</v>
      </c>
      <c r="C14" s="380" t="s">
        <v>183</v>
      </c>
      <c r="D14" s="381"/>
      <c r="E14" s="381"/>
      <c r="F14" s="382"/>
      <c r="G14" s="102" t="s">
        <v>206</v>
      </c>
      <c r="H14" s="103" t="s">
        <v>0</v>
      </c>
      <c r="I14" s="170" t="s">
        <v>204</v>
      </c>
      <c r="J14" s="109" t="s">
        <v>209</v>
      </c>
      <c r="K14" s="107" t="s">
        <v>5</v>
      </c>
      <c r="L14" s="108" t="s">
        <v>197</v>
      </c>
      <c r="M14" s="61"/>
      <c r="N14" s="291" t="s">
        <v>217</v>
      </c>
      <c r="O14" s="292"/>
      <c r="P14" s="109" t="s">
        <v>205</v>
      </c>
      <c r="Q14" s="110"/>
      <c r="R14" s="295" t="s">
        <v>213</v>
      </c>
      <c r="S14" s="293" t="s">
        <v>54</v>
      </c>
    </row>
    <row r="15" spans="1:24" ht="19.5" customHeight="1" thickBot="1" x14ac:dyDescent="0.3">
      <c r="A15" s="104"/>
      <c r="B15" s="104"/>
      <c r="C15" s="383"/>
      <c r="D15" s="384"/>
      <c r="E15" s="384"/>
      <c r="F15" s="385"/>
      <c r="G15" s="105"/>
      <c r="H15" s="105"/>
      <c r="I15" s="106"/>
      <c r="J15" s="146">
        <f>J33/I33</f>
        <v>0.71794871794871795</v>
      </c>
      <c r="K15" s="327" t="s">
        <v>184</v>
      </c>
      <c r="L15" s="328"/>
      <c r="M15" s="62"/>
      <c r="N15" s="289"/>
      <c r="O15" s="290"/>
      <c r="P15" s="171"/>
      <c r="Q15" s="110"/>
      <c r="R15" s="296"/>
      <c r="S15" s="294"/>
    </row>
    <row r="16" spans="1:24" s="68" customFormat="1" ht="15.75" customHeight="1" thickTop="1" x14ac:dyDescent="0.25">
      <c r="A16" s="63" t="s">
        <v>7</v>
      </c>
      <c r="B16" s="395" t="s">
        <v>198</v>
      </c>
      <c r="C16" s="317" t="s">
        <v>199</v>
      </c>
      <c r="D16" s="317"/>
      <c r="E16" s="317"/>
      <c r="F16" s="317"/>
      <c r="G16" s="64" t="s">
        <v>26</v>
      </c>
      <c r="H16" s="65" t="s">
        <v>12</v>
      </c>
      <c r="I16" s="139">
        <v>50</v>
      </c>
      <c r="J16" s="145">
        <f>I16</f>
        <v>50</v>
      </c>
      <c r="K16" s="147">
        <f>IF(A16="Y", IF($K$15="BASE-UP",I16*2%, IF($K$15="TOP-DOWN", J16*2%,0)),0)</f>
        <v>1</v>
      </c>
      <c r="L16" s="151">
        <f t="shared" ref="L16:L32" si="0">IF($K$15="BASE-UP", I16-K16, IF($K$15="TOP-DOWN", J16-K16,0))</f>
        <v>49</v>
      </c>
      <c r="M16" s="149"/>
      <c r="N16" s="306"/>
      <c r="O16" s="307"/>
      <c r="P16" s="172">
        <v>50</v>
      </c>
      <c r="Q16" s="66"/>
      <c r="R16" s="145">
        <f>P16-L16</f>
        <v>1</v>
      </c>
      <c r="S16" s="94"/>
      <c r="T16" s="114"/>
      <c r="U16" s="114"/>
      <c r="V16" s="114"/>
      <c r="W16" s="114"/>
      <c r="X16" s="114"/>
    </row>
    <row r="17" spans="1:24" s="68" customFormat="1" ht="15.75" customHeight="1" x14ac:dyDescent="0.25">
      <c r="A17" s="63" t="s">
        <v>7</v>
      </c>
      <c r="B17" s="395"/>
      <c r="C17" s="310" t="s">
        <v>231</v>
      </c>
      <c r="D17" s="310"/>
      <c r="E17" s="310"/>
      <c r="F17" s="310"/>
      <c r="G17" s="70" t="s">
        <v>26</v>
      </c>
      <c r="H17" s="71" t="s">
        <v>12</v>
      </c>
      <c r="I17" s="141">
        <v>50</v>
      </c>
      <c r="J17" s="140">
        <f>I17</f>
        <v>50</v>
      </c>
      <c r="K17" s="147">
        <f t="shared" ref="K17:K42" si="1">IF(A17="Y", IF($K$15="BASE-UP",I17*2%, IF($K$15="TOP-DOWN", J17*2%,0)),0)</f>
        <v>1</v>
      </c>
      <c r="L17" s="152">
        <f t="shared" si="0"/>
        <v>49</v>
      </c>
      <c r="M17" s="149"/>
      <c r="N17" s="287"/>
      <c r="O17" s="288"/>
      <c r="P17" s="72"/>
      <c r="Q17" s="66"/>
      <c r="R17" s="140">
        <f t="shared" ref="R17:R43" si="2">P17-L17</f>
        <v>-49</v>
      </c>
      <c r="S17" s="67"/>
      <c r="T17" s="114"/>
      <c r="U17" s="114"/>
      <c r="V17" s="114"/>
      <c r="W17" s="114"/>
      <c r="X17" s="114"/>
    </row>
    <row r="18" spans="1:24" s="68" customFormat="1" ht="15.75" customHeight="1" x14ac:dyDescent="0.25">
      <c r="A18" s="63" t="s">
        <v>7</v>
      </c>
      <c r="B18" s="395"/>
      <c r="C18" s="310" t="s">
        <v>200</v>
      </c>
      <c r="D18" s="310"/>
      <c r="E18" s="310"/>
      <c r="F18" s="310"/>
      <c r="G18" s="70" t="s">
        <v>25</v>
      </c>
      <c r="H18" s="71" t="s">
        <v>44</v>
      </c>
      <c r="I18" s="141">
        <v>20</v>
      </c>
      <c r="J18" s="140">
        <f>I18</f>
        <v>20</v>
      </c>
      <c r="K18" s="147">
        <f t="shared" si="1"/>
        <v>0.4</v>
      </c>
      <c r="L18" s="152">
        <f t="shared" si="0"/>
        <v>19.600000000000001</v>
      </c>
      <c r="M18" s="149"/>
      <c r="N18" s="287"/>
      <c r="O18" s="288"/>
      <c r="P18" s="72"/>
      <c r="Q18" s="66"/>
      <c r="R18" s="140">
        <f t="shared" si="2"/>
        <v>-19.600000000000001</v>
      </c>
      <c r="S18" s="67"/>
      <c r="T18" s="114"/>
      <c r="U18" s="114"/>
      <c r="V18" s="114"/>
      <c r="W18" s="114"/>
      <c r="X18" s="114"/>
    </row>
    <row r="19" spans="1:24" s="68" customFormat="1" ht="15.75" customHeight="1" x14ac:dyDescent="0.25">
      <c r="A19" s="63" t="s">
        <v>7</v>
      </c>
      <c r="B19" s="395"/>
      <c r="C19" s="310" t="s">
        <v>169</v>
      </c>
      <c r="D19" s="310"/>
      <c r="E19" s="310"/>
      <c r="F19" s="310"/>
      <c r="G19" s="70" t="s">
        <v>26</v>
      </c>
      <c r="H19" s="71" t="s">
        <v>21</v>
      </c>
      <c r="I19" s="140">
        <f>(D10-SUM(I16:I18))*D8</f>
        <v>270</v>
      </c>
      <c r="J19" s="140">
        <f>((SUM(I16:I20)*J15)-SUM(J16:J18))*D8</f>
        <v>160</v>
      </c>
      <c r="K19" s="147">
        <f t="shared" si="1"/>
        <v>5.4</v>
      </c>
      <c r="L19" s="152">
        <f t="shared" si="0"/>
        <v>264.60000000000002</v>
      </c>
      <c r="M19" s="149"/>
      <c r="N19" s="287"/>
      <c r="O19" s="288"/>
      <c r="P19" s="72"/>
      <c r="Q19" s="66"/>
      <c r="R19" s="140">
        <f t="shared" si="2"/>
        <v>-264.60000000000002</v>
      </c>
      <c r="S19" s="67"/>
      <c r="T19" s="114"/>
      <c r="U19" s="114"/>
      <c r="V19" s="114"/>
      <c r="W19" s="114"/>
      <c r="X19" s="114"/>
    </row>
    <row r="20" spans="1:24" s="68" customFormat="1" ht="15.75" customHeight="1" x14ac:dyDescent="0.25">
      <c r="A20" s="63" t="s">
        <v>7</v>
      </c>
      <c r="B20" s="396"/>
      <c r="C20" s="310" t="s">
        <v>170</v>
      </c>
      <c r="D20" s="310"/>
      <c r="E20" s="310"/>
      <c r="F20" s="310"/>
      <c r="G20" s="70" t="s">
        <v>45</v>
      </c>
      <c r="H20" s="71" t="s">
        <v>19</v>
      </c>
      <c r="I20" s="140">
        <f>(D10-SUM(I16:I18))*D9</f>
        <v>0</v>
      </c>
      <c r="J20" s="140">
        <f>((SUM(I16:I20)*J15)-SUM(J16:J18))*D9</f>
        <v>0</v>
      </c>
      <c r="K20" s="147">
        <f t="shared" si="1"/>
        <v>0</v>
      </c>
      <c r="L20" s="152">
        <f t="shared" si="0"/>
        <v>0</v>
      </c>
      <c r="M20" s="149"/>
      <c r="N20" s="287"/>
      <c r="O20" s="288"/>
      <c r="P20" s="72"/>
      <c r="Q20" s="66"/>
      <c r="R20" s="140">
        <f t="shared" si="2"/>
        <v>0</v>
      </c>
      <c r="S20" s="67"/>
      <c r="T20" s="114"/>
      <c r="U20" s="114"/>
      <c r="V20" s="114"/>
      <c r="W20" s="114"/>
      <c r="X20" s="114"/>
    </row>
    <row r="21" spans="1:24" s="68" customFormat="1" ht="15.75" customHeight="1" x14ac:dyDescent="0.25">
      <c r="A21" s="63" t="s">
        <v>7</v>
      </c>
      <c r="B21" s="69">
        <v>7</v>
      </c>
      <c r="C21" s="310" t="s">
        <v>171</v>
      </c>
      <c r="D21" s="310"/>
      <c r="E21" s="310"/>
      <c r="F21" s="310"/>
      <c r="G21" s="70" t="s">
        <v>25</v>
      </c>
      <c r="H21" s="71" t="s">
        <v>20</v>
      </c>
      <c r="I21" s="140">
        <f>$D$11*B21</f>
        <v>273</v>
      </c>
      <c r="J21" s="140">
        <f>$J$15*I21</f>
        <v>196</v>
      </c>
      <c r="K21" s="147">
        <f t="shared" si="1"/>
        <v>5.46</v>
      </c>
      <c r="L21" s="152">
        <f t="shared" si="0"/>
        <v>267.54000000000002</v>
      </c>
      <c r="M21" s="149"/>
      <c r="N21" s="287"/>
      <c r="O21" s="288"/>
      <c r="P21" s="74"/>
      <c r="Q21" s="75"/>
      <c r="R21" s="140">
        <f t="shared" si="2"/>
        <v>-267.54000000000002</v>
      </c>
      <c r="S21" s="67"/>
      <c r="T21" s="114"/>
      <c r="U21" s="114"/>
      <c r="V21" s="114"/>
      <c r="W21" s="114"/>
      <c r="X21" s="114"/>
    </row>
    <row r="22" spans="1:24" s="68" customFormat="1" ht="15.75" customHeight="1" x14ac:dyDescent="0.25">
      <c r="A22" s="63" t="s">
        <v>7</v>
      </c>
      <c r="B22" s="69">
        <v>3</v>
      </c>
      <c r="C22" s="287" t="s">
        <v>172</v>
      </c>
      <c r="D22" s="308"/>
      <c r="E22" s="308"/>
      <c r="F22" s="309"/>
      <c r="G22" s="70" t="s">
        <v>26</v>
      </c>
      <c r="H22" s="71" t="s">
        <v>21</v>
      </c>
      <c r="I22" s="140">
        <f t="shared" ref="I22:I31" si="3">$D$11*B22</f>
        <v>117</v>
      </c>
      <c r="J22" s="140">
        <f t="shared" ref="J22:J32" si="4">$J$15*I22</f>
        <v>84</v>
      </c>
      <c r="K22" s="147">
        <f t="shared" si="1"/>
        <v>2.34</v>
      </c>
      <c r="L22" s="152">
        <f t="shared" si="0"/>
        <v>114.66</v>
      </c>
      <c r="M22" s="149"/>
      <c r="N22" s="287"/>
      <c r="O22" s="288"/>
      <c r="P22" s="72"/>
      <c r="Q22" s="66"/>
      <c r="R22" s="140">
        <f t="shared" si="2"/>
        <v>-114.66</v>
      </c>
      <c r="S22" s="67"/>
      <c r="T22" s="114"/>
      <c r="U22" s="114"/>
      <c r="V22" s="114"/>
      <c r="W22" s="114"/>
      <c r="X22" s="114"/>
    </row>
    <row r="23" spans="1:24" s="68" customFormat="1" ht="15.75" customHeight="1" x14ac:dyDescent="0.25">
      <c r="A23" s="63" t="s">
        <v>7</v>
      </c>
      <c r="B23" s="69">
        <v>1</v>
      </c>
      <c r="C23" s="287" t="s">
        <v>173</v>
      </c>
      <c r="D23" s="308"/>
      <c r="E23" s="308"/>
      <c r="F23" s="309"/>
      <c r="G23" s="70" t="s">
        <v>26</v>
      </c>
      <c r="H23" s="71" t="s">
        <v>48</v>
      </c>
      <c r="I23" s="140">
        <f t="shared" si="3"/>
        <v>39</v>
      </c>
      <c r="J23" s="140">
        <f t="shared" si="4"/>
        <v>28</v>
      </c>
      <c r="K23" s="147">
        <f t="shared" si="1"/>
        <v>0.78</v>
      </c>
      <c r="L23" s="152">
        <f t="shared" si="0"/>
        <v>38.22</v>
      </c>
      <c r="M23" s="149"/>
      <c r="N23" s="287"/>
      <c r="O23" s="288"/>
      <c r="P23" s="72"/>
      <c r="Q23" s="66"/>
      <c r="R23" s="140">
        <f t="shared" si="2"/>
        <v>-38.22</v>
      </c>
      <c r="S23" s="67"/>
      <c r="T23" s="114"/>
      <c r="U23" s="114"/>
      <c r="V23" s="114"/>
      <c r="W23" s="114"/>
      <c r="X23" s="114"/>
    </row>
    <row r="24" spans="1:24" s="68" customFormat="1" ht="15.75" customHeight="1" x14ac:dyDescent="0.25">
      <c r="A24" s="63" t="s">
        <v>7</v>
      </c>
      <c r="B24" s="69">
        <v>3</v>
      </c>
      <c r="C24" s="287" t="s">
        <v>226</v>
      </c>
      <c r="D24" s="308"/>
      <c r="E24" s="308"/>
      <c r="F24" s="309"/>
      <c r="G24" s="70" t="s">
        <v>25</v>
      </c>
      <c r="H24" s="71" t="s">
        <v>60</v>
      </c>
      <c r="I24" s="140">
        <f t="shared" si="3"/>
        <v>117</v>
      </c>
      <c r="J24" s="140">
        <f t="shared" si="4"/>
        <v>84</v>
      </c>
      <c r="K24" s="147">
        <f t="shared" si="1"/>
        <v>2.34</v>
      </c>
      <c r="L24" s="152">
        <f t="shared" si="0"/>
        <v>114.66</v>
      </c>
      <c r="M24" s="149"/>
      <c r="N24" s="287"/>
      <c r="O24" s="288"/>
      <c r="P24" s="72"/>
      <c r="Q24" s="66"/>
      <c r="R24" s="140">
        <f t="shared" si="2"/>
        <v>-114.66</v>
      </c>
      <c r="S24" s="67"/>
      <c r="T24" s="114"/>
      <c r="U24" s="114"/>
      <c r="V24" s="114"/>
      <c r="W24" s="114"/>
      <c r="X24" s="114"/>
    </row>
    <row r="25" spans="1:24" s="68" customFormat="1" ht="15.75" customHeight="1" x14ac:dyDescent="0.25">
      <c r="A25" s="63" t="s">
        <v>7</v>
      </c>
      <c r="B25" s="163">
        <v>2</v>
      </c>
      <c r="C25" s="310" t="s">
        <v>174</v>
      </c>
      <c r="D25" s="310"/>
      <c r="E25" s="386" t="str">
        <f>IF(SUM(B25:B28)=7,"GC 76000 PA ($7 for every 10) breakdown per local board of supervisor resolution (BOS).","ERROR! GC 76000 PA total is not $7. Check Court's board resolution.")</f>
        <v>GC 76000 PA ($7 for every 10) breakdown per local board of supervisor resolution (BOS).</v>
      </c>
      <c r="F25" s="387"/>
      <c r="G25" s="70" t="s">
        <v>26</v>
      </c>
      <c r="H25" s="71" t="s">
        <v>56</v>
      </c>
      <c r="I25" s="140">
        <f t="shared" si="3"/>
        <v>78</v>
      </c>
      <c r="J25" s="140">
        <f t="shared" si="4"/>
        <v>56</v>
      </c>
      <c r="K25" s="147">
        <f t="shared" si="1"/>
        <v>1.56</v>
      </c>
      <c r="L25" s="152">
        <f t="shared" si="0"/>
        <v>76.44</v>
      </c>
      <c r="M25" s="149"/>
      <c r="N25" s="287"/>
      <c r="O25" s="288"/>
      <c r="P25" s="72"/>
      <c r="Q25" s="66"/>
      <c r="R25" s="140">
        <f t="shared" si="2"/>
        <v>-76.44</v>
      </c>
      <c r="S25" s="67"/>
      <c r="T25" s="114"/>
      <c r="U25" s="114"/>
      <c r="V25" s="114"/>
      <c r="W25" s="114"/>
      <c r="X25" s="114"/>
    </row>
    <row r="26" spans="1:24" s="68" customFormat="1" ht="15.75" customHeight="1" x14ac:dyDescent="0.25">
      <c r="A26" s="63" t="s">
        <v>7</v>
      </c>
      <c r="B26" s="163">
        <v>3</v>
      </c>
      <c r="C26" s="310" t="s">
        <v>175</v>
      </c>
      <c r="D26" s="310"/>
      <c r="E26" s="388"/>
      <c r="F26" s="389"/>
      <c r="G26" s="70" t="s">
        <v>26</v>
      </c>
      <c r="H26" s="71" t="s">
        <v>28</v>
      </c>
      <c r="I26" s="140">
        <f t="shared" si="3"/>
        <v>117</v>
      </c>
      <c r="J26" s="140">
        <f t="shared" si="4"/>
        <v>84</v>
      </c>
      <c r="K26" s="147">
        <f t="shared" si="1"/>
        <v>2.34</v>
      </c>
      <c r="L26" s="152">
        <f t="shared" si="0"/>
        <v>114.66</v>
      </c>
      <c r="M26" s="149"/>
      <c r="N26" s="287"/>
      <c r="O26" s="288"/>
      <c r="P26" s="72"/>
      <c r="Q26" s="66"/>
      <c r="R26" s="140">
        <f t="shared" si="2"/>
        <v>-114.66</v>
      </c>
      <c r="S26" s="67"/>
      <c r="T26" s="114"/>
      <c r="U26" s="114"/>
      <c r="V26" s="114"/>
      <c r="W26" s="114"/>
      <c r="X26" s="114"/>
    </row>
    <row r="27" spans="1:24" s="68" customFormat="1" ht="15.75" customHeight="1" x14ac:dyDescent="0.25">
      <c r="A27" s="63" t="s">
        <v>7</v>
      </c>
      <c r="B27" s="163">
        <v>2</v>
      </c>
      <c r="C27" s="310" t="s">
        <v>176</v>
      </c>
      <c r="D27" s="310"/>
      <c r="E27" s="388"/>
      <c r="F27" s="389"/>
      <c r="G27" s="70" t="s">
        <v>26</v>
      </c>
      <c r="H27" s="71" t="s">
        <v>57</v>
      </c>
      <c r="I27" s="140">
        <f t="shared" si="3"/>
        <v>78</v>
      </c>
      <c r="J27" s="140">
        <f t="shared" si="4"/>
        <v>56</v>
      </c>
      <c r="K27" s="147">
        <f t="shared" si="1"/>
        <v>1.56</v>
      </c>
      <c r="L27" s="152">
        <f t="shared" si="0"/>
        <v>76.44</v>
      </c>
      <c r="M27" s="149"/>
      <c r="N27" s="287"/>
      <c r="O27" s="288"/>
      <c r="P27" s="72"/>
      <c r="Q27" s="66"/>
      <c r="R27" s="140">
        <f t="shared" si="2"/>
        <v>-76.44</v>
      </c>
      <c r="S27" s="67"/>
      <c r="T27" s="114"/>
      <c r="U27" s="114"/>
      <c r="V27" s="114"/>
      <c r="W27" s="114"/>
      <c r="X27" s="114"/>
    </row>
    <row r="28" spans="1:24" s="68" customFormat="1" ht="15.75" customHeight="1" x14ac:dyDescent="0.25">
      <c r="A28" s="63" t="s">
        <v>7</v>
      </c>
      <c r="B28" s="163"/>
      <c r="C28" s="310" t="s">
        <v>211</v>
      </c>
      <c r="D28" s="310"/>
      <c r="E28" s="390"/>
      <c r="F28" s="391"/>
      <c r="G28" s="70" t="s">
        <v>26</v>
      </c>
      <c r="H28" s="71"/>
      <c r="I28" s="140">
        <f t="shared" si="3"/>
        <v>0</v>
      </c>
      <c r="J28" s="140">
        <f t="shared" si="4"/>
        <v>0</v>
      </c>
      <c r="K28" s="147">
        <f t="shared" si="1"/>
        <v>0</v>
      </c>
      <c r="L28" s="152">
        <f t="shared" si="0"/>
        <v>0</v>
      </c>
      <c r="M28" s="149"/>
      <c r="N28" s="287"/>
      <c r="O28" s="288"/>
      <c r="P28" s="72"/>
      <c r="Q28" s="66"/>
      <c r="R28" s="140">
        <f t="shared" si="2"/>
        <v>0</v>
      </c>
      <c r="S28" s="67"/>
      <c r="T28" s="114"/>
      <c r="U28" s="114"/>
      <c r="V28" s="114"/>
      <c r="W28" s="114"/>
      <c r="X28" s="114"/>
    </row>
    <row r="29" spans="1:24" s="68" customFormat="1" ht="15.75" customHeight="1" x14ac:dyDescent="0.25">
      <c r="A29" s="63" t="s">
        <v>7</v>
      </c>
      <c r="B29" s="73">
        <v>2</v>
      </c>
      <c r="C29" s="287" t="s">
        <v>234</v>
      </c>
      <c r="D29" s="308"/>
      <c r="E29" s="308"/>
      <c r="F29" s="309"/>
      <c r="G29" s="70" t="s">
        <v>26</v>
      </c>
      <c r="H29" s="71" t="s">
        <v>29</v>
      </c>
      <c r="I29" s="140">
        <f t="shared" si="3"/>
        <v>78</v>
      </c>
      <c r="J29" s="140">
        <f t="shared" si="4"/>
        <v>56</v>
      </c>
      <c r="K29" s="147">
        <f t="shared" si="1"/>
        <v>1.56</v>
      </c>
      <c r="L29" s="152">
        <f t="shared" si="0"/>
        <v>76.44</v>
      </c>
      <c r="M29" s="149"/>
      <c r="N29" s="287"/>
      <c r="O29" s="288"/>
      <c r="P29" s="72"/>
      <c r="Q29" s="66"/>
      <c r="R29" s="140">
        <f>P29-L29</f>
        <v>-76.44</v>
      </c>
      <c r="S29" s="67"/>
      <c r="T29" s="114"/>
      <c r="U29" s="114"/>
      <c r="V29" s="114"/>
      <c r="W29" s="114"/>
      <c r="X29" s="114"/>
    </row>
    <row r="30" spans="1:24" s="68" customFormat="1" ht="15.75" customHeight="1" x14ac:dyDescent="0.25">
      <c r="A30" s="63" t="s">
        <v>7</v>
      </c>
      <c r="B30" s="164">
        <f>5-B25</f>
        <v>3</v>
      </c>
      <c r="C30" s="287" t="s">
        <v>228</v>
      </c>
      <c r="D30" s="308"/>
      <c r="E30" s="308"/>
      <c r="F30" s="378" t="s">
        <v>229</v>
      </c>
      <c r="G30" s="70" t="s">
        <v>25</v>
      </c>
      <c r="H30" s="71" t="s">
        <v>30</v>
      </c>
      <c r="I30" s="140">
        <f t="shared" si="3"/>
        <v>117</v>
      </c>
      <c r="J30" s="140">
        <f t="shared" si="4"/>
        <v>84</v>
      </c>
      <c r="K30" s="147">
        <f t="shared" si="1"/>
        <v>2.34</v>
      </c>
      <c r="L30" s="152">
        <f t="shared" si="0"/>
        <v>114.66</v>
      </c>
      <c r="M30" s="149"/>
      <c r="N30" s="287"/>
      <c r="O30" s="288"/>
      <c r="P30" s="72"/>
      <c r="Q30" s="66"/>
      <c r="R30" s="140">
        <f t="shared" si="2"/>
        <v>-114.66</v>
      </c>
      <c r="S30" s="67"/>
      <c r="T30" s="114"/>
      <c r="U30" s="114"/>
      <c r="V30" s="114"/>
      <c r="W30" s="114"/>
      <c r="X30" s="114"/>
    </row>
    <row r="31" spans="1:24" s="68" customFormat="1" ht="15.75" customHeight="1" x14ac:dyDescent="0.25">
      <c r="A31" s="63" t="s">
        <v>7</v>
      </c>
      <c r="B31" s="164">
        <f>B25</f>
        <v>2</v>
      </c>
      <c r="C31" s="287" t="s">
        <v>227</v>
      </c>
      <c r="D31" s="308"/>
      <c r="E31" s="308"/>
      <c r="F31" s="379"/>
      <c r="G31" s="70" t="s">
        <v>25</v>
      </c>
      <c r="H31" s="71" t="s">
        <v>158</v>
      </c>
      <c r="I31" s="140">
        <f t="shared" si="3"/>
        <v>78</v>
      </c>
      <c r="J31" s="140">
        <f t="shared" si="4"/>
        <v>56</v>
      </c>
      <c r="K31" s="147">
        <f t="shared" si="1"/>
        <v>1.56</v>
      </c>
      <c r="L31" s="152">
        <f t="shared" si="0"/>
        <v>76.44</v>
      </c>
      <c r="M31" s="149"/>
      <c r="N31" s="287"/>
      <c r="O31" s="288"/>
      <c r="P31" s="72"/>
      <c r="Q31" s="66"/>
      <c r="R31" s="140">
        <f t="shared" si="2"/>
        <v>-76.44</v>
      </c>
      <c r="S31" s="67"/>
      <c r="T31" s="114"/>
      <c r="U31" s="114"/>
      <c r="V31" s="114"/>
      <c r="W31" s="114"/>
      <c r="X31" s="114"/>
    </row>
    <row r="32" spans="1:24" s="68" customFormat="1" ht="15.75" customHeight="1" x14ac:dyDescent="0.25">
      <c r="A32" s="63"/>
      <c r="B32" s="69"/>
      <c r="C32" s="287" t="s">
        <v>177</v>
      </c>
      <c r="D32" s="308"/>
      <c r="E32" s="308"/>
      <c r="F32" s="309"/>
      <c r="G32" s="70" t="s">
        <v>25</v>
      </c>
      <c r="H32" s="71" t="s">
        <v>9</v>
      </c>
      <c r="I32" s="140">
        <f>$D$10*20%</f>
        <v>78</v>
      </c>
      <c r="J32" s="140">
        <f t="shared" si="4"/>
        <v>56</v>
      </c>
      <c r="K32" s="147"/>
      <c r="L32" s="152">
        <f t="shared" si="0"/>
        <v>78</v>
      </c>
      <c r="M32" s="149"/>
      <c r="N32" s="287"/>
      <c r="O32" s="288"/>
      <c r="P32" s="72"/>
      <c r="Q32" s="66"/>
      <c r="R32" s="140">
        <f t="shared" si="2"/>
        <v>-78</v>
      </c>
      <c r="S32" s="67"/>
      <c r="T32" s="114"/>
      <c r="U32" s="114"/>
      <c r="V32" s="114"/>
      <c r="W32" s="114"/>
      <c r="X32" s="114"/>
    </row>
    <row r="33" spans="1:24" s="80" customFormat="1" ht="15.75" customHeight="1" x14ac:dyDescent="0.25">
      <c r="A33" s="63"/>
      <c r="B33" s="76"/>
      <c r="C33" s="311" t="s">
        <v>178</v>
      </c>
      <c r="D33" s="312"/>
      <c r="E33" s="312"/>
      <c r="F33" s="313"/>
      <c r="G33" s="77"/>
      <c r="H33" s="78"/>
      <c r="I33" s="142">
        <f>SUM(I16:I32)</f>
        <v>1560</v>
      </c>
      <c r="J33" s="142">
        <f>J45-SUM(J34:J42)</f>
        <v>1120</v>
      </c>
      <c r="K33" s="147"/>
      <c r="L33" s="153">
        <f>SUM(L16:L32)</f>
        <v>1530.3600000000004</v>
      </c>
      <c r="M33" s="150"/>
      <c r="N33" s="287"/>
      <c r="O33" s="288"/>
      <c r="P33" s="166">
        <f>SUM(P16:P32)</f>
        <v>50</v>
      </c>
      <c r="Q33" s="111"/>
      <c r="R33" s="142">
        <f t="shared" si="2"/>
        <v>-1480.3600000000004</v>
      </c>
      <c r="S33" s="79"/>
      <c r="T33" s="129"/>
      <c r="U33" s="129"/>
      <c r="V33" s="129"/>
      <c r="W33" s="129"/>
      <c r="X33" s="129"/>
    </row>
    <row r="34" spans="1:24" s="68" customFormat="1" ht="15.75" customHeight="1" x14ac:dyDescent="0.25">
      <c r="A34" s="63" t="s">
        <v>6</v>
      </c>
      <c r="B34" s="69"/>
      <c r="C34" s="287" t="s">
        <v>235</v>
      </c>
      <c r="D34" s="308"/>
      <c r="E34" s="308"/>
      <c r="F34" s="309"/>
      <c r="G34" s="70" t="s">
        <v>25</v>
      </c>
      <c r="H34" s="81" t="s">
        <v>32</v>
      </c>
      <c r="I34" s="177">
        <v>30</v>
      </c>
      <c r="J34" s="140">
        <f>I34</f>
        <v>30</v>
      </c>
      <c r="K34" s="147">
        <f t="shared" si="1"/>
        <v>0</v>
      </c>
      <c r="L34" s="152">
        <f t="shared" ref="L34:L42" si="5">IF($K$15="BASE-UP", I34-K34, IF($K$15="TOP-DOWN", J34-K34,0))</f>
        <v>30</v>
      </c>
      <c r="M34" s="149"/>
      <c r="N34" s="287"/>
      <c r="O34" s="288"/>
      <c r="P34" s="72"/>
      <c r="Q34" s="66"/>
      <c r="R34" s="140">
        <f t="shared" si="2"/>
        <v>-30</v>
      </c>
      <c r="S34" s="67"/>
      <c r="T34" s="114"/>
      <c r="U34" s="114"/>
      <c r="V34" s="114"/>
      <c r="W34" s="114"/>
      <c r="X34" s="114"/>
    </row>
    <row r="35" spans="1:24" s="68" customFormat="1" ht="15.75" customHeight="1" x14ac:dyDescent="0.25">
      <c r="A35" s="63" t="s">
        <v>6</v>
      </c>
      <c r="B35" s="69"/>
      <c r="C35" s="314" t="s">
        <v>216</v>
      </c>
      <c r="D35" s="315"/>
      <c r="E35" s="315"/>
      <c r="F35" s="316"/>
      <c r="G35" s="84" t="s">
        <v>25</v>
      </c>
      <c r="H35" s="82" t="s">
        <v>158</v>
      </c>
      <c r="I35" s="177">
        <v>30</v>
      </c>
      <c r="J35" s="140">
        <f t="shared" ref="J35:J42" si="6">I35</f>
        <v>30</v>
      </c>
      <c r="K35" s="147">
        <f t="shared" si="1"/>
        <v>0</v>
      </c>
      <c r="L35" s="152">
        <f t="shared" si="5"/>
        <v>30</v>
      </c>
      <c r="M35" s="149"/>
      <c r="N35" s="287"/>
      <c r="O35" s="288"/>
      <c r="P35" s="72"/>
      <c r="Q35" s="66"/>
      <c r="R35" s="140">
        <f t="shared" si="2"/>
        <v>-30</v>
      </c>
      <c r="S35" s="67"/>
      <c r="T35" s="114"/>
      <c r="U35" s="114"/>
      <c r="V35" s="114"/>
      <c r="W35" s="114"/>
      <c r="X35" s="114"/>
    </row>
    <row r="36" spans="1:24" s="68" customFormat="1" ht="15.75" customHeight="1" x14ac:dyDescent="0.25">
      <c r="A36" s="63" t="s">
        <v>6</v>
      </c>
      <c r="B36" s="83"/>
      <c r="C36" s="314" t="s">
        <v>189</v>
      </c>
      <c r="D36" s="315"/>
      <c r="E36" s="315"/>
      <c r="F36" s="316"/>
      <c r="G36" s="84" t="s">
        <v>208</v>
      </c>
      <c r="H36" s="82" t="s">
        <v>18</v>
      </c>
      <c r="I36" s="177">
        <v>10</v>
      </c>
      <c r="J36" s="140">
        <f t="shared" si="6"/>
        <v>10</v>
      </c>
      <c r="K36" s="147">
        <f t="shared" si="1"/>
        <v>0</v>
      </c>
      <c r="L36" s="152">
        <f t="shared" si="5"/>
        <v>10</v>
      </c>
      <c r="M36" s="149"/>
      <c r="N36" s="287"/>
      <c r="O36" s="288"/>
      <c r="P36" s="72"/>
      <c r="Q36" s="66"/>
      <c r="R36" s="140">
        <f t="shared" si="2"/>
        <v>-10</v>
      </c>
      <c r="S36" s="71"/>
      <c r="T36" s="114"/>
      <c r="U36" s="114"/>
      <c r="V36" s="114"/>
      <c r="W36" s="114"/>
      <c r="X36" s="114"/>
    </row>
    <row r="37" spans="1:24" s="68" customFormat="1" ht="15.75" customHeight="1" x14ac:dyDescent="0.25">
      <c r="A37" s="63" t="s">
        <v>6</v>
      </c>
      <c r="B37" s="83"/>
      <c r="C37" s="314" t="s">
        <v>179</v>
      </c>
      <c r="D37" s="315"/>
      <c r="E37" s="315"/>
      <c r="F37" s="316"/>
      <c r="G37" s="84" t="s">
        <v>26</v>
      </c>
      <c r="H37" s="82" t="s">
        <v>13</v>
      </c>
      <c r="I37" s="177">
        <v>50</v>
      </c>
      <c r="J37" s="140">
        <f t="shared" si="6"/>
        <v>50</v>
      </c>
      <c r="K37" s="147">
        <f t="shared" si="1"/>
        <v>0</v>
      </c>
      <c r="L37" s="152">
        <f t="shared" si="5"/>
        <v>50</v>
      </c>
      <c r="M37" s="149"/>
      <c r="N37" s="287"/>
      <c r="O37" s="288"/>
      <c r="P37" s="72"/>
      <c r="Q37" s="66"/>
      <c r="R37" s="140">
        <f t="shared" si="2"/>
        <v>-50</v>
      </c>
      <c r="S37" s="71"/>
      <c r="T37" s="114"/>
      <c r="U37" s="114"/>
      <c r="V37" s="114"/>
      <c r="W37" s="114"/>
      <c r="X37" s="114"/>
    </row>
    <row r="38" spans="1:24" s="68" customFormat="1" ht="15.75" customHeight="1" x14ac:dyDescent="0.25">
      <c r="A38" s="63" t="s">
        <v>6</v>
      </c>
      <c r="B38" s="83"/>
      <c r="C38" s="314" t="s">
        <v>232</v>
      </c>
      <c r="D38" s="315"/>
      <c r="E38" s="315"/>
      <c r="F38" s="316"/>
      <c r="G38" s="84" t="s">
        <v>26</v>
      </c>
      <c r="H38" s="82" t="s">
        <v>21</v>
      </c>
      <c r="I38" s="177">
        <v>150</v>
      </c>
      <c r="J38" s="140">
        <f t="shared" si="6"/>
        <v>150</v>
      </c>
      <c r="K38" s="147">
        <f t="shared" si="1"/>
        <v>0</v>
      </c>
      <c r="L38" s="152">
        <f t="shared" si="5"/>
        <v>150</v>
      </c>
      <c r="M38" s="149"/>
      <c r="N38" s="287"/>
      <c r="O38" s="288"/>
      <c r="P38" s="72"/>
      <c r="Q38" s="66"/>
      <c r="R38" s="140">
        <f t="shared" si="2"/>
        <v>-150</v>
      </c>
      <c r="S38" s="71"/>
      <c r="T38" s="114"/>
      <c r="U38" s="114"/>
      <c r="V38" s="114"/>
      <c r="W38" s="114"/>
      <c r="X38" s="114"/>
    </row>
    <row r="39" spans="1:24" s="68" customFormat="1" ht="15.75" customHeight="1" x14ac:dyDescent="0.25">
      <c r="A39" s="63" t="s">
        <v>7</v>
      </c>
      <c r="B39" s="83"/>
      <c r="C39" s="314" t="s">
        <v>180</v>
      </c>
      <c r="D39" s="315"/>
      <c r="E39" s="315"/>
      <c r="F39" s="316"/>
      <c r="G39" s="84" t="s">
        <v>25</v>
      </c>
      <c r="H39" s="82" t="s">
        <v>11</v>
      </c>
      <c r="I39" s="177">
        <v>100</v>
      </c>
      <c r="J39" s="140">
        <f t="shared" si="6"/>
        <v>100</v>
      </c>
      <c r="K39" s="147">
        <f t="shared" si="1"/>
        <v>2</v>
      </c>
      <c r="L39" s="152">
        <f t="shared" si="5"/>
        <v>98</v>
      </c>
      <c r="M39" s="149"/>
      <c r="N39" s="287"/>
      <c r="O39" s="288"/>
      <c r="P39" s="72"/>
      <c r="Q39" s="66"/>
      <c r="R39" s="140">
        <f t="shared" si="2"/>
        <v>-98</v>
      </c>
      <c r="S39" s="71"/>
      <c r="T39" s="114"/>
      <c r="U39" s="114"/>
      <c r="V39" s="114"/>
      <c r="W39" s="114"/>
      <c r="X39" s="114"/>
    </row>
    <row r="40" spans="1:24" s="68" customFormat="1" ht="15.75" customHeight="1" x14ac:dyDescent="0.25">
      <c r="A40" s="63" t="s">
        <v>6</v>
      </c>
      <c r="B40" s="83"/>
      <c r="C40" s="314" t="s">
        <v>219</v>
      </c>
      <c r="D40" s="315"/>
      <c r="E40" s="315"/>
      <c r="F40" s="316"/>
      <c r="G40" s="84" t="s">
        <v>26</v>
      </c>
      <c r="H40" s="82" t="s">
        <v>21</v>
      </c>
      <c r="I40" s="177">
        <v>10</v>
      </c>
      <c r="J40" s="140">
        <f t="shared" si="6"/>
        <v>10</v>
      </c>
      <c r="K40" s="147">
        <f t="shared" si="1"/>
        <v>0</v>
      </c>
      <c r="L40" s="152">
        <f t="shared" si="5"/>
        <v>10</v>
      </c>
      <c r="M40" s="149"/>
      <c r="N40" s="287"/>
      <c r="O40" s="288"/>
      <c r="P40" s="72"/>
      <c r="Q40" s="66"/>
      <c r="R40" s="140">
        <f t="shared" si="2"/>
        <v>-10</v>
      </c>
      <c r="S40" s="71"/>
      <c r="T40" s="114"/>
      <c r="U40" s="114"/>
      <c r="V40" s="114"/>
      <c r="W40" s="114"/>
      <c r="X40" s="114"/>
    </row>
    <row r="41" spans="1:24" s="68" customFormat="1" ht="15.75" customHeight="1" x14ac:dyDescent="0.25">
      <c r="A41" s="63" t="s">
        <v>6</v>
      </c>
      <c r="B41" s="83"/>
      <c r="C41" s="314" t="s">
        <v>233</v>
      </c>
      <c r="D41" s="315"/>
      <c r="E41" s="315"/>
      <c r="F41" s="316"/>
      <c r="G41" s="84" t="s">
        <v>187</v>
      </c>
      <c r="H41" s="82" t="s">
        <v>68</v>
      </c>
      <c r="I41" s="177">
        <v>0</v>
      </c>
      <c r="J41" s="140">
        <f t="shared" si="6"/>
        <v>0</v>
      </c>
      <c r="K41" s="147">
        <f t="shared" si="1"/>
        <v>0</v>
      </c>
      <c r="L41" s="152">
        <f t="shared" si="5"/>
        <v>0</v>
      </c>
      <c r="M41" s="149"/>
      <c r="N41" s="287"/>
      <c r="O41" s="288"/>
      <c r="P41" s="72"/>
      <c r="Q41" s="66"/>
      <c r="R41" s="140">
        <f t="shared" si="2"/>
        <v>0</v>
      </c>
      <c r="S41" s="71"/>
      <c r="T41" s="114"/>
      <c r="U41" s="114"/>
      <c r="V41" s="114"/>
      <c r="W41" s="114"/>
      <c r="X41" s="114"/>
    </row>
    <row r="42" spans="1:24" s="68" customFormat="1" ht="15.75" customHeight="1" x14ac:dyDescent="0.25">
      <c r="A42" s="63" t="s">
        <v>6</v>
      </c>
      <c r="B42" s="83"/>
      <c r="C42" s="314" t="s">
        <v>182</v>
      </c>
      <c r="D42" s="315"/>
      <c r="E42" s="315"/>
      <c r="F42" s="316"/>
      <c r="G42" s="84" t="s">
        <v>25</v>
      </c>
      <c r="H42" s="82" t="s">
        <v>66</v>
      </c>
      <c r="I42" s="178"/>
      <c r="J42" s="140">
        <f t="shared" si="6"/>
        <v>0</v>
      </c>
      <c r="K42" s="147">
        <f t="shared" si="1"/>
        <v>0</v>
      </c>
      <c r="L42" s="152">
        <f t="shared" si="5"/>
        <v>0</v>
      </c>
      <c r="M42" s="149"/>
      <c r="N42" s="287"/>
      <c r="O42" s="288"/>
      <c r="P42" s="72"/>
      <c r="Q42" s="66"/>
      <c r="R42" s="140">
        <f t="shared" si="2"/>
        <v>0</v>
      </c>
      <c r="S42" s="71"/>
      <c r="T42" s="114"/>
      <c r="U42" s="114"/>
      <c r="V42" s="114"/>
      <c r="W42" s="114"/>
      <c r="X42" s="114"/>
    </row>
    <row r="43" spans="1:24" s="68" customFormat="1" ht="15.75" customHeight="1" x14ac:dyDescent="0.25">
      <c r="A43" s="83" t="s">
        <v>6</v>
      </c>
      <c r="B43" s="83"/>
      <c r="C43" s="314" t="s">
        <v>181</v>
      </c>
      <c r="D43" s="315"/>
      <c r="E43" s="315"/>
      <c r="F43" s="316"/>
      <c r="G43" s="84" t="s">
        <v>25</v>
      </c>
      <c r="H43" s="85" t="s">
        <v>34</v>
      </c>
      <c r="I43" s="86"/>
      <c r="J43" s="93"/>
      <c r="K43" s="148"/>
      <c r="L43" s="154">
        <f>K44</f>
        <v>31.639999999999997</v>
      </c>
      <c r="M43" s="149"/>
      <c r="N43" s="287"/>
      <c r="O43" s="288"/>
      <c r="P43" s="72"/>
      <c r="Q43" s="66"/>
      <c r="R43" s="140">
        <f t="shared" si="2"/>
        <v>-31.639999999999997</v>
      </c>
      <c r="S43" s="71"/>
      <c r="T43" s="114"/>
      <c r="U43" s="114"/>
      <c r="V43" s="114"/>
      <c r="W43" s="114"/>
      <c r="X43" s="114"/>
    </row>
    <row r="44" spans="1:24" s="114" customFormat="1" ht="14.5" x14ac:dyDescent="0.25">
      <c r="A44" s="112"/>
      <c r="B44" s="112"/>
      <c r="C44" s="112"/>
      <c r="D44" s="112"/>
      <c r="E44" s="113"/>
      <c r="F44" s="113"/>
      <c r="K44" s="115">
        <f>SUM(K16:K43)</f>
        <v>31.639999999999997</v>
      </c>
      <c r="L44" s="155"/>
      <c r="P44" s="116"/>
      <c r="Q44" s="117"/>
      <c r="R44" s="165"/>
      <c r="S44" s="118"/>
    </row>
    <row r="45" spans="1:24" s="95" customFormat="1" ht="16" thickBot="1" x14ac:dyDescent="0.3">
      <c r="A45" s="130"/>
      <c r="B45" s="130"/>
      <c r="C45" s="130"/>
      <c r="D45" s="130"/>
      <c r="E45" s="119"/>
      <c r="F45" s="131" t="s">
        <v>67</v>
      </c>
      <c r="G45" s="132"/>
      <c r="H45" s="133" t="s">
        <v>1</v>
      </c>
      <c r="I45" s="134">
        <f>SUM(I33:I44)</f>
        <v>1940</v>
      </c>
      <c r="J45" s="179">
        <v>1500</v>
      </c>
      <c r="K45" s="135"/>
      <c r="L45" s="156">
        <f>SUM(L33:L44)</f>
        <v>1940.0000000000005</v>
      </c>
      <c r="M45" s="136"/>
      <c r="N45" s="130" t="s">
        <v>1</v>
      </c>
      <c r="O45" s="130"/>
      <c r="P45" s="137">
        <f>SUM(P33:P44)</f>
        <v>50</v>
      </c>
      <c r="Q45" s="136"/>
      <c r="R45" s="175">
        <f>SUM(R33:R44)</f>
        <v>-1890.0000000000005</v>
      </c>
      <c r="S45" s="138"/>
    </row>
    <row r="46" spans="1:24" s="50" customFormat="1" ht="15.75" customHeight="1" thickTop="1" x14ac:dyDescent="0.25">
      <c r="A46" s="368" t="s">
        <v>54</v>
      </c>
      <c r="B46" s="368"/>
      <c r="C46" s="368"/>
      <c r="D46" s="182"/>
      <c r="E46" s="121"/>
      <c r="F46" s="121"/>
      <c r="J46" s="122"/>
      <c r="L46" s="123"/>
      <c r="M46" s="122"/>
      <c r="R46" s="124"/>
      <c r="S46" s="125"/>
    </row>
    <row r="47" spans="1:24" s="127" customFormat="1" ht="18" customHeight="1" x14ac:dyDescent="0.25">
      <c r="A47" s="126">
        <v>1</v>
      </c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</row>
    <row r="48" spans="1:24" s="127" customFormat="1" ht="18" customHeight="1" x14ac:dyDescent="0.25">
      <c r="A48" s="126">
        <v>2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</row>
    <row r="49" spans="1:19" s="127" customFormat="1" ht="18" customHeight="1" x14ac:dyDescent="0.25">
      <c r="A49" s="126">
        <v>3</v>
      </c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</row>
    <row r="50" spans="1:19" s="50" customFormat="1" x14ac:dyDescent="0.25">
      <c r="A50" s="120"/>
      <c r="B50" s="120"/>
      <c r="C50" s="120"/>
      <c r="D50" s="120"/>
      <c r="E50" s="121"/>
      <c r="F50" s="121"/>
      <c r="L50" s="128"/>
      <c r="R50" s="124"/>
      <c r="S50" s="125"/>
    </row>
  </sheetData>
  <sheetProtection insertRows="0"/>
  <customSheetViews>
    <customSheetView guid="{07F1F502-9FC7-4878-A746-52E1655BD4FA}" scale="75" fitToPage="1" hiddenColumns="1" showRuler="0">
      <selection activeCell="U19" sqref="U19"/>
      <pageMargins left="0.25" right="0.25" top="0.75" bottom="0.5" header="0.25" footer="0.25"/>
      <printOptions horizontalCentered="1"/>
      <pageSetup scale="59" orientation="landscape" r:id="rId1"/>
      <headerFooter alignWithMargins="0">
        <oddHeader>&amp;CSUPERIOR OF COURT OF _________ COUNTY
Revenue Calculation and Distribution Worksheet</oddHeader>
        <oddFooter>&amp;L&amp;F&amp;R&amp;P of &amp;N</oddFooter>
      </headerFooter>
    </customSheetView>
  </customSheetViews>
  <mergeCells count="122">
    <mergeCell ref="A46:C46"/>
    <mergeCell ref="B49:S49"/>
    <mergeCell ref="B48:S48"/>
    <mergeCell ref="B47:S47"/>
    <mergeCell ref="D11:E11"/>
    <mergeCell ref="D10:E10"/>
    <mergeCell ref="A11:C11"/>
    <mergeCell ref="A10:C10"/>
    <mergeCell ref="F30:F31"/>
    <mergeCell ref="C31:E31"/>
    <mergeCell ref="I11:J11"/>
    <mergeCell ref="I10:J10"/>
    <mergeCell ref="C14:F15"/>
    <mergeCell ref="E25:F28"/>
    <mergeCell ref="C25:D25"/>
    <mergeCell ref="F11:G11"/>
    <mergeCell ref="I13:L13"/>
    <mergeCell ref="B16:B20"/>
    <mergeCell ref="C28:D28"/>
    <mergeCell ref="C27:D27"/>
    <mergeCell ref="C26:D26"/>
    <mergeCell ref="K11:M11"/>
    <mergeCell ref="K10:M10"/>
    <mergeCell ref="N18:O18"/>
    <mergeCell ref="L1:S1"/>
    <mergeCell ref="A1:K1"/>
    <mergeCell ref="D9:E9"/>
    <mergeCell ref="D8:E8"/>
    <mergeCell ref="D7:E7"/>
    <mergeCell ref="I4:J4"/>
    <mergeCell ref="K5:M5"/>
    <mergeCell ref="K4:M4"/>
    <mergeCell ref="I9:J9"/>
    <mergeCell ref="F8:G8"/>
    <mergeCell ref="A6:C6"/>
    <mergeCell ref="A5:C5"/>
    <mergeCell ref="A4:C4"/>
    <mergeCell ref="D4:E4"/>
    <mergeCell ref="A3:N3"/>
    <mergeCell ref="P3:S3"/>
    <mergeCell ref="P4:S4"/>
    <mergeCell ref="P5:S5"/>
    <mergeCell ref="F4:G4"/>
    <mergeCell ref="K15:L15"/>
    <mergeCell ref="F6:G6"/>
    <mergeCell ref="D5:E5"/>
    <mergeCell ref="K9:M9"/>
    <mergeCell ref="K8:M8"/>
    <mergeCell ref="K7:M7"/>
    <mergeCell ref="K6:M6"/>
    <mergeCell ref="F5:G5"/>
    <mergeCell ref="I6:J6"/>
    <mergeCell ref="I5:J5"/>
    <mergeCell ref="D6:E6"/>
    <mergeCell ref="I7:J7"/>
    <mergeCell ref="I8:J8"/>
    <mergeCell ref="C18:F18"/>
    <mergeCell ref="C17:F17"/>
    <mergeCell ref="C16:F16"/>
    <mergeCell ref="F7:G7"/>
    <mergeCell ref="A9:C9"/>
    <mergeCell ref="A8:C8"/>
    <mergeCell ref="A7:C7"/>
    <mergeCell ref="F10:G10"/>
    <mergeCell ref="F9:G9"/>
    <mergeCell ref="N40:O40"/>
    <mergeCell ref="N41:O41"/>
    <mergeCell ref="C33:F33"/>
    <mergeCell ref="C32:F32"/>
    <mergeCell ref="C37:F37"/>
    <mergeCell ref="C36:F36"/>
    <mergeCell ref="N43:O43"/>
    <mergeCell ref="N35:O35"/>
    <mergeCell ref="N36:O36"/>
    <mergeCell ref="N37:O37"/>
    <mergeCell ref="N38:O38"/>
    <mergeCell ref="N39:O39"/>
    <mergeCell ref="N42:O42"/>
    <mergeCell ref="C43:F43"/>
    <mergeCell ref="C42:F42"/>
    <mergeCell ref="C41:F41"/>
    <mergeCell ref="C40:F40"/>
    <mergeCell ref="C39:F39"/>
    <mergeCell ref="C38:F38"/>
    <mergeCell ref="C35:F35"/>
    <mergeCell ref="N26:O26"/>
    <mergeCell ref="N27:O27"/>
    <mergeCell ref="N30:O30"/>
    <mergeCell ref="N29:O29"/>
    <mergeCell ref="N28:O28"/>
    <mergeCell ref="C34:F34"/>
    <mergeCell ref="N31:O31"/>
    <mergeCell ref="C30:E30"/>
    <mergeCell ref="C29:F29"/>
    <mergeCell ref="N32:O32"/>
    <mergeCell ref="N33:O33"/>
    <mergeCell ref="N34:O34"/>
    <mergeCell ref="N25:O25"/>
    <mergeCell ref="C24:F24"/>
    <mergeCell ref="C23:F23"/>
    <mergeCell ref="C22:F22"/>
    <mergeCell ref="C21:F21"/>
    <mergeCell ref="N20:O20"/>
    <mergeCell ref="N21:O21"/>
    <mergeCell ref="N22:O22"/>
    <mergeCell ref="N19:O19"/>
    <mergeCell ref="C20:F20"/>
    <mergeCell ref="C19:F19"/>
    <mergeCell ref="P11:S11"/>
    <mergeCell ref="N13:P13"/>
    <mergeCell ref="P6:S6"/>
    <mergeCell ref="P7:S7"/>
    <mergeCell ref="N23:O23"/>
    <mergeCell ref="N24:O24"/>
    <mergeCell ref="N15:O15"/>
    <mergeCell ref="N14:O14"/>
    <mergeCell ref="S14:S15"/>
    <mergeCell ref="R14:R15"/>
    <mergeCell ref="P10:S10"/>
    <mergeCell ref="P8:S9"/>
    <mergeCell ref="N17:O17"/>
    <mergeCell ref="N16:O16"/>
  </mergeCells>
  <phoneticPr fontId="3" type="noConversion"/>
  <conditionalFormatting sqref="E25">
    <cfRule type="cellIs" dxfId="11" priority="2" operator="notEqual">
      <formula>"GC 76000 PA ($7 for every 10) breakdown per local board of supervisor resolution (BOS)."</formula>
    </cfRule>
  </conditionalFormatting>
  <conditionalFormatting sqref="H16:H24 H29:H32">
    <cfRule type="expression" dxfId="10" priority="12" stopIfTrue="1">
      <formula>MOD(ROW(),2)=0</formula>
    </cfRule>
  </conditionalFormatting>
  <conditionalFormatting sqref="H25:H29">
    <cfRule type="expression" dxfId="9" priority="14" stopIfTrue="1">
      <formula>MOD(ROW(), 2)=0</formula>
    </cfRule>
  </conditionalFormatting>
  <conditionalFormatting sqref="I16:I18">
    <cfRule type="cellIs" dxfId="8" priority="15" stopIfTrue="1" operator="equal">
      <formula>0</formula>
    </cfRule>
  </conditionalFormatting>
  <conditionalFormatting sqref="J16:L32 K17:K42 I19:I32 I29:L29 J34:L43">
    <cfRule type="cellIs" dxfId="7" priority="11" stopIfTrue="1" operator="equal">
      <formula>0</formula>
    </cfRule>
  </conditionalFormatting>
  <conditionalFormatting sqref="R12:R13 R46 R50:R65536">
    <cfRule type="cellIs" dxfId="6" priority="13" stopIfTrue="1" operator="notEqual">
      <formula>0</formula>
    </cfRule>
  </conditionalFormatting>
  <dataValidations count="1">
    <dataValidation type="list" allowBlank="1" showInputMessage="1" showErrorMessage="1" sqref="K15:L15" xr:uid="{00000000-0002-0000-0F00-000000000000}">
      <formula1>Distribution_Method</formula1>
    </dataValidation>
  </dataValidations>
  <printOptions horizontalCentered="1"/>
  <pageMargins left="0.25" right="0.25" top="0.75" bottom="0.5" header="0.25" footer="0.25"/>
  <pageSetup scale="64" orientation="landscape" r:id="rId2"/>
  <headerFooter alignWithMargins="0">
    <oddHeader>&amp;CSUPERIOR OF COURT OF _________ COUNTY
Revenue Calculation and Distribution Worksheet</oddHeader>
    <oddFooter>&amp;L&amp;F&amp;R&amp;P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5" name="Button 6">
              <controlPr defaultSize="0" print="0" autoFill="0" autoPict="0" macro="[0]!mcrGoToSummary">
                <anchor moveWithCells="1">
                  <from>
                    <xdr:col>0</xdr:col>
                    <xdr:colOff>31750</xdr:colOff>
                    <xdr:row>0</xdr:row>
                    <xdr:rowOff>0</xdr:rowOff>
                  </from>
                  <to>
                    <xdr:col>2</xdr:col>
                    <xdr:colOff>965200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6" name="Button 23">
              <controlPr defaultSize="0" print="0" autoFill="0" autoPict="0" macro="[0]!mcrDisableTwoPercentUnprotect">
                <anchor moveWithCells="1">
                  <from>
                    <xdr:col>0</xdr:col>
                    <xdr:colOff>12700</xdr:colOff>
                    <xdr:row>13</xdr:row>
                    <xdr:rowOff>527050</xdr:rowOff>
                  </from>
                  <to>
                    <xdr:col>0</xdr:col>
                    <xdr:colOff>279400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7" name="Button 24">
              <controlPr defaultSize="0" print="0" autoFill="0" autoPict="0" macro="[0]!mcrEnableTwoPercentUnprotect">
                <anchor moveWithCells="1">
                  <from>
                    <xdr:col>0</xdr:col>
                    <xdr:colOff>0</xdr:colOff>
                    <xdr:row>13</xdr:row>
                    <xdr:rowOff>222250</xdr:rowOff>
                  </from>
                  <to>
                    <xdr:col>0</xdr:col>
                    <xdr:colOff>260350</xdr:colOff>
                    <xdr:row>13</xdr:row>
                    <xdr:rowOff>546100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351C-8332-4E1D-AF1F-10CEC6A739A7}">
  <sheetPr>
    <tabColor theme="6"/>
    <pageSetUpPr fitToPage="1"/>
  </sheetPr>
  <dimension ref="A1:AF39"/>
  <sheetViews>
    <sheetView tabSelected="1" zoomScaleNormal="100" workbookViewId="0">
      <pane ySplit="1" topLeftCell="A26" activePane="bottomLeft" state="frozen"/>
      <selection pane="bottomLeft" activeCell="I35" sqref="I35"/>
    </sheetView>
  </sheetViews>
  <sheetFormatPr defaultColWidth="9.1796875" defaultRowHeight="18.5" x14ac:dyDescent="0.25"/>
  <cols>
    <col min="1" max="1" width="4.26953125" style="87" customWidth="1"/>
    <col min="2" max="2" width="5.90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51.36328125" style="46" hidden="1" customWidth="1"/>
    <col min="9" max="9" width="10.6328125" style="46" customWidth="1"/>
    <col min="10" max="10" width="6.7265625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7.90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7.72656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342" t="s">
        <v>303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200" t="s">
        <v>263</v>
      </c>
      <c r="W1" s="263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01" t="s">
        <v>191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400"/>
      <c r="N3" s="401"/>
      <c r="O3" s="225"/>
      <c r="P3" s="159"/>
      <c r="Q3" s="402" t="s">
        <v>218</v>
      </c>
      <c r="R3" s="403"/>
      <c r="S3" s="403"/>
      <c r="T3" s="403"/>
      <c r="U3" s="403"/>
      <c r="V3" s="403"/>
      <c r="W3" s="404"/>
      <c r="Y3" s="159" t="s">
        <v>207</v>
      </c>
      <c r="Z3" s="120"/>
    </row>
    <row r="4" spans="1:32" s="53" customFormat="1" ht="15.5" x14ac:dyDescent="0.25">
      <c r="A4" s="352" t="s">
        <v>188</v>
      </c>
      <c r="B4" s="331"/>
      <c r="C4" s="331"/>
      <c r="D4" s="353"/>
      <c r="E4" s="354"/>
      <c r="F4" s="405" t="s">
        <v>22</v>
      </c>
      <c r="G4" s="351"/>
      <c r="H4" s="169"/>
      <c r="I4" s="406" t="s">
        <v>295</v>
      </c>
      <c r="J4" s="406"/>
      <c r="K4" s="406"/>
      <c r="L4" s="339"/>
      <c r="M4" s="407" t="s">
        <v>214</v>
      </c>
      <c r="N4" s="407"/>
      <c r="O4" s="181"/>
      <c r="P4" s="95"/>
      <c r="Q4" s="408" t="s">
        <v>193</v>
      </c>
      <c r="R4" s="409"/>
      <c r="S4" s="409"/>
      <c r="T4" s="409"/>
      <c r="U4" s="409"/>
      <c r="V4" s="409"/>
      <c r="W4" s="410"/>
      <c r="Y4" s="192" t="s">
        <v>241</v>
      </c>
      <c r="Z4" s="226" t="s">
        <v>242</v>
      </c>
      <c r="AA4" s="226" t="s">
        <v>297</v>
      </c>
      <c r="AB4" s="226" t="s">
        <v>298</v>
      </c>
    </row>
    <row r="5" spans="1:32" s="53" customFormat="1" ht="15.5" x14ac:dyDescent="0.25">
      <c r="A5" s="324" t="s">
        <v>3</v>
      </c>
      <c r="B5" s="325"/>
      <c r="C5" s="325"/>
      <c r="D5" s="329">
        <v>45551</v>
      </c>
      <c r="E5" s="330"/>
      <c r="F5" s="412" t="s">
        <v>201</v>
      </c>
      <c r="G5" s="326"/>
      <c r="H5" s="167"/>
      <c r="I5" s="413" t="s">
        <v>296</v>
      </c>
      <c r="J5" s="413"/>
      <c r="K5" s="413"/>
      <c r="L5" s="335"/>
      <c r="M5" s="418" t="s">
        <v>17</v>
      </c>
      <c r="N5" s="418"/>
      <c r="O5" s="54">
        <v>0</v>
      </c>
      <c r="P5" s="95"/>
      <c r="Q5" s="419" t="s">
        <v>309</v>
      </c>
      <c r="R5" s="420"/>
      <c r="S5" s="420"/>
      <c r="T5" s="420"/>
      <c r="U5" s="420"/>
      <c r="V5" s="420"/>
      <c r="W5" s="421"/>
      <c r="Y5" s="157" t="s">
        <v>25</v>
      </c>
      <c r="Z5" s="161">
        <f>SUMIF($G$16:$G$36,"STATE",$K$16:$K$36)</f>
        <v>0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324" t="s">
        <v>10</v>
      </c>
      <c r="B6" s="325"/>
      <c r="C6" s="325"/>
      <c r="D6" s="329">
        <v>45616</v>
      </c>
      <c r="E6" s="411"/>
      <c r="F6" s="412" t="s">
        <v>15</v>
      </c>
      <c r="G6" s="326"/>
      <c r="H6" s="167"/>
      <c r="I6" s="413" t="s">
        <v>243</v>
      </c>
      <c r="J6" s="413"/>
      <c r="K6" s="413"/>
      <c r="L6" s="335"/>
      <c r="M6" s="414" t="s">
        <v>190</v>
      </c>
      <c r="N6" s="414"/>
      <c r="O6" s="184">
        <f>O4+O5*10</f>
        <v>0</v>
      </c>
      <c r="P6" s="95"/>
      <c r="Q6" s="415" t="s">
        <v>294</v>
      </c>
      <c r="R6" s="416"/>
      <c r="S6" s="416"/>
      <c r="T6" s="416"/>
      <c r="U6" s="416"/>
      <c r="V6" s="416"/>
      <c r="W6" s="417"/>
      <c r="Y6" s="157" t="s">
        <v>26</v>
      </c>
      <c r="Z6" s="161">
        <f>SUMIF($G$16:$G$36,"COUNTY",$K$16:$K$36)</f>
        <v>0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324" t="s">
        <v>4</v>
      </c>
      <c r="B7" s="325"/>
      <c r="C7" s="325"/>
      <c r="D7" s="334" t="s">
        <v>308</v>
      </c>
      <c r="E7" s="330"/>
      <c r="F7" s="430" t="s">
        <v>16</v>
      </c>
      <c r="G7" s="318"/>
      <c r="H7" s="168"/>
      <c r="I7" s="337" t="s">
        <v>2</v>
      </c>
      <c r="J7" s="337"/>
      <c r="K7" s="337"/>
      <c r="L7" s="431"/>
      <c r="M7" s="188"/>
      <c r="N7" s="190"/>
      <c r="O7" s="189"/>
      <c r="P7" s="95"/>
      <c r="Q7" s="432" t="s">
        <v>192</v>
      </c>
      <c r="R7" s="433"/>
      <c r="S7" s="433"/>
      <c r="T7" s="433"/>
      <c r="U7" s="433"/>
      <c r="V7" s="433"/>
      <c r="W7" s="434"/>
      <c r="Y7" s="157" t="s">
        <v>45</v>
      </c>
      <c r="Z7" s="161">
        <f>SUMIF($G$16:$G$36,"CITY",$K$16:$K$36)</f>
        <v>0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435" t="s">
        <v>47</v>
      </c>
      <c r="B8" s="436"/>
      <c r="C8" s="436"/>
      <c r="D8" s="437">
        <v>0.17</v>
      </c>
      <c r="E8" s="438"/>
      <c r="F8" s="405" t="s">
        <v>210</v>
      </c>
      <c r="G8" s="351"/>
      <c r="H8" s="169"/>
      <c r="I8" s="439"/>
      <c r="J8" s="439"/>
      <c r="K8" s="439"/>
      <c r="L8" s="440"/>
      <c r="M8" s="441" t="s">
        <v>214</v>
      </c>
      <c r="N8" s="441"/>
      <c r="O8" s="51">
        <v>0</v>
      </c>
      <c r="P8" s="138"/>
      <c r="Q8" s="422" t="s">
        <v>299</v>
      </c>
      <c r="R8" s="301"/>
      <c r="S8" s="301"/>
      <c r="T8" s="301"/>
      <c r="U8" s="301"/>
      <c r="V8" s="301"/>
      <c r="W8" s="423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426" t="s">
        <v>46</v>
      </c>
      <c r="B9" s="427"/>
      <c r="C9" s="427"/>
      <c r="D9" s="344">
        <f>100%-D8</f>
        <v>0.83</v>
      </c>
      <c r="E9" s="345"/>
      <c r="F9" s="412" t="s">
        <v>201</v>
      </c>
      <c r="G9" s="326"/>
      <c r="H9" s="167"/>
      <c r="I9" s="428"/>
      <c r="J9" s="428"/>
      <c r="K9" s="428"/>
      <c r="L9" s="429"/>
      <c r="M9" s="418" t="s">
        <v>17</v>
      </c>
      <c r="N9" s="418"/>
      <c r="O9" s="54"/>
      <c r="P9" s="138"/>
      <c r="Q9" s="424"/>
      <c r="R9" s="304"/>
      <c r="S9" s="304"/>
      <c r="T9" s="304"/>
      <c r="U9" s="304"/>
      <c r="V9" s="304"/>
      <c r="W9" s="425"/>
      <c r="Y9" s="84" t="s">
        <v>260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376" t="s">
        <v>224</v>
      </c>
      <c r="B10" s="377"/>
      <c r="C10" s="377"/>
      <c r="D10" s="449">
        <f>O6+O10</f>
        <v>0</v>
      </c>
      <c r="E10" s="450"/>
      <c r="F10" s="412" t="s">
        <v>15</v>
      </c>
      <c r="G10" s="326"/>
      <c r="H10" s="167"/>
      <c r="I10" s="428"/>
      <c r="J10" s="428"/>
      <c r="K10" s="428"/>
      <c r="L10" s="429"/>
      <c r="M10" s="414" t="s">
        <v>190</v>
      </c>
      <c r="N10" s="414"/>
      <c r="O10" s="184">
        <f>O8+O9*10</f>
        <v>0</v>
      </c>
      <c r="P10" s="227"/>
      <c r="Q10" s="451" t="s">
        <v>196</v>
      </c>
      <c r="R10" s="452"/>
      <c r="S10" s="452"/>
      <c r="T10" s="452"/>
      <c r="U10" s="452"/>
      <c r="V10" s="452"/>
      <c r="W10" s="453"/>
      <c r="Y10" s="158" t="s">
        <v>203</v>
      </c>
      <c r="Z10" s="134">
        <f>SUM(Z5:Z9)</f>
        <v>0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374" t="s">
        <v>225</v>
      </c>
      <c r="B11" s="375"/>
      <c r="C11" s="375"/>
      <c r="D11" s="370">
        <f>ROUNDUP(D10/10,0)</f>
        <v>0</v>
      </c>
      <c r="E11" s="371"/>
      <c r="F11" s="430" t="s">
        <v>16</v>
      </c>
      <c r="G11" s="318"/>
      <c r="H11" s="168"/>
      <c r="I11" s="442"/>
      <c r="J11" s="442"/>
      <c r="K11" s="442"/>
      <c r="L11" s="443"/>
      <c r="M11" s="444" t="s">
        <v>286</v>
      </c>
      <c r="N11" s="445"/>
      <c r="O11" s="247">
        <f>'Local Penalties'!B8</f>
        <v>7</v>
      </c>
      <c r="P11" s="227"/>
      <c r="Q11" s="446" t="s">
        <v>255</v>
      </c>
      <c r="R11" s="447"/>
      <c r="S11" s="447"/>
      <c r="T11" s="447"/>
      <c r="U11" s="447"/>
      <c r="V11" s="447"/>
      <c r="W11" s="448"/>
      <c r="Z11" s="228">
        <f>Z10-K38</f>
        <v>0</v>
      </c>
      <c r="AA11" s="228">
        <f>AA10-S38</f>
        <v>0</v>
      </c>
      <c r="AB11" s="228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457" t="s">
        <v>236</v>
      </c>
      <c r="J13" s="458"/>
      <c r="K13" s="459"/>
      <c r="L13" s="99"/>
      <c r="M13" s="460" t="s">
        <v>186</v>
      </c>
      <c r="N13" s="461"/>
      <c r="O13" s="462"/>
      <c r="P13" s="100"/>
      <c r="Q13" s="463" t="s">
        <v>300</v>
      </c>
      <c r="R13" s="464"/>
      <c r="S13" s="465"/>
      <c r="T13" s="100"/>
      <c r="U13" s="463" t="s">
        <v>301</v>
      </c>
      <c r="V13" s="464"/>
      <c r="W13" s="465"/>
      <c r="X13" s="229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380" t="s">
        <v>183</v>
      </c>
      <c r="D14" s="381"/>
      <c r="E14" s="381"/>
      <c r="F14" s="382"/>
      <c r="G14" s="102" t="s">
        <v>206</v>
      </c>
      <c r="H14" s="103" t="s">
        <v>0</v>
      </c>
      <c r="I14" s="466" t="s">
        <v>237</v>
      </c>
      <c r="J14" s="468" t="s">
        <v>5</v>
      </c>
      <c r="K14" s="230" t="s">
        <v>238</v>
      </c>
      <c r="L14" s="61"/>
      <c r="M14" s="291" t="s">
        <v>217</v>
      </c>
      <c r="N14" s="292"/>
      <c r="O14" s="109" t="s">
        <v>205</v>
      </c>
      <c r="P14" s="110"/>
      <c r="Q14" s="231" t="s">
        <v>254</v>
      </c>
      <c r="R14" s="468" t="s">
        <v>5</v>
      </c>
      <c r="S14" s="230" t="s">
        <v>238</v>
      </c>
      <c r="T14" s="110"/>
      <c r="U14" s="231" t="s">
        <v>302</v>
      </c>
      <c r="V14" s="468" t="s">
        <v>5</v>
      </c>
      <c r="W14" s="230" t="s">
        <v>238</v>
      </c>
      <c r="X14" s="232"/>
      <c r="Y14" s="233" t="s">
        <v>213</v>
      </c>
      <c r="Z14" s="470" t="s">
        <v>54</v>
      </c>
      <c r="AA14" s="472" t="s">
        <v>248</v>
      </c>
      <c r="AC14" s="50"/>
      <c r="AD14" s="50"/>
      <c r="AE14" s="50"/>
      <c r="AF14" s="50"/>
    </row>
    <row r="15" spans="1:32" ht="38.5" hidden="1" customHeight="1" thickBot="1" x14ac:dyDescent="0.3">
      <c r="A15" s="104"/>
      <c r="B15" s="104"/>
      <c r="C15" s="383"/>
      <c r="D15" s="384"/>
      <c r="E15" s="384"/>
      <c r="F15" s="385"/>
      <c r="G15" s="105"/>
      <c r="H15" s="105"/>
      <c r="I15" s="467"/>
      <c r="J15" s="469"/>
      <c r="K15" s="234" t="s">
        <v>35</v>
      </c>
      <c r="L15" s="62"/>
      <c r="M15" s="289"/>
      <c r="N15" s="290"/>
      <c r="O15" s="235" t="s">
        <v>36</v>
      </c>
      <c r="P15" s="110"/>
      <c r="Q15" s="194">
        <f>IFERROR(Q31/I31,0)</f>
        <v>0</v>
      </c>
      <c r="R15" s="469"/>
      <c r="S15" s="234" t="s">
        <v>37</v>
      </c>
      <c r="T15" s="110"/>
      <c r="U15" s="194" t="e">
        <f>(U38)/(I38)</f>
        <v>#DIV/0!</v>
      </c>
      <c r="V15" s="469"/>
      <c r="W15" s="234" t="s">
        <v>37</v>
      </c>
      <c r="X15" s="232"/>
      <c r="Y15" s="193" t="s">
        <v>240</v>
      </c>
      <c r="Z15" s="471"/>
      <c r="AA15" s="473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454" t="s">
        <v>198</v>
      </c>
      <c r="C16" s="456" t="s">
        <v>169</v>
      </c>
      <c r="D16" s="456"/>
      <c r="E16" s="456"/>
      <c r="F16" s="456"/>
      <c r="G16" s="258" t="s">
        <v>26</v>
      </c>
      <c r="H16" s="259" t="s">
        <v>21</v>
      </c>
      <c r="I16" s="260">
        <f>D10*D8</f>
        <v>0</v>
      </c>
      <c r="J16" s="261">
        <f>IF(A16="Y",I16* 2%,0)</f>
        <v>0</v>
      </c>
      <c r="K16" s="262">
        <f>I16-J16</f>
        <v>0</v>
      </c>
      <c r="L16" s="149"/>
      <c r="M16" s="287"/>
      <c r="N16" s="288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36"/>
      <c r="Y16" s="145">
        <f>IF($Y$15="BASE-UP (B-A)", O16-K16,
(IF($Y$15="TOP-DOWN 1 (B-C)",O16-S16,O16-W16)))</f>
        <v>0</v>
      </c>
      <c r="Z16" s="237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455"/>
      <c r="C17" s="456" t="s">
        <v>170</v>
      </c>
      <c r="D17" s="456"/>
      <c r="E17" s="456"/>
      <c r="F17" s="456"/>
      <c r="G17" s="258" t="s">
        <v>45</v>
      </c>
      <c r="H17" s="259" t="s">
        <v>19</v>
      </c>
      <c r="I17" s="260">
        <f>D10*D9</f>
        <v>0</v>
      </c>
      <c r="J17" s="261">
        <f t="shared" ref="J17:J30" si="6">IF(A17="Y",I17* 2%,0)</f>
        <v>0</v>
      </c>
      <c r="K17" s="262">
        <f t="shared" ref="K17:K29" si="7">I17-J17</f>
        <v>0</v>
      </c>
      <c r="L17" s="149"/>
      <c r="M17" s="287"/>
      <c r="N17" s="288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36"/>
      <c r="Y17" s="145">
        <f t="shared" ref="Y17:Y36" si="8">IF($Y$15="BASE-UP (B-A)", O17-K17,
(IF($Y$15="TOP-DOWN 1 (B-C)",O17-S17,O17-W17)))</f>
        <v>0</v>
      </c>
      <c r="Z17" s="237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310" t="s">
        <v>280</v>
      </c>
      <c r="D18" s="310"/>
      <c r="E18" s="310"/>
      <c r="F18" s="310"/>
      <c r="G18" s="222" t="s">
        <v>25</v>
      </c>
      <c r="H18" s="71" t="s">
        <v>20</v>
      </c>
      <c r="I18" s="140">
        <f>$D$11*B18</f>
        <v>0</v>
      </c>
      <c r="J18" s="147">
        <f t="shared" si="6"/>
        <v>0</v>
      </c>
      <c r="K18" s="152">
        <f t="shared" si="7"/>
        <v>0</v>
      </c>
      <c r="L18" s="149"/>
      <c r="M18" s="287"/>
      <c r="N18" s="288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36"/>
      <c r="Y18" s="145">
        <f t="shared" si="8"/>
        <v>0</v>
      </c>
      <c r="Z18" s="237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310" t="s">
        <v>281</v>
      </c>
      <c r="D19" s="310"/>
      <c r="E19" s="310"/>
      <c r="F19" s="310"/>
      <c r="G19" s="222" t="s">
        <v>26</v>
      </c>
      <c r="H19" s="71" t="s">
        <v>21</v>
      </c>
      <c r="I19" s="140">
        <f t="shared" ref="I19:I28" si="9">$D$11*B19</f>
        <v>0</v>
      </c>
      <c r="J19" s="147">
        <f t="shared" si="6"/>
        <v>0</v>
      </c>
      <c r="K19" s="152">
        <f t="shared" si="7"/>
        <v>0</v>
      </c>
      <c r="L19" s="149"/>
      <c r="M19" s="287"/>
      <c r="N19" s="288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36"/>
      <c r="Y19" s="145">
        <f t="shared" si="8"/>
        <v>0</v>
      </c>
      <c r="Z19" s="237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38">
        <v>0.75</v>
      </c>
      <c r="C20" s="287" t="s">
        <v>292</v>
      </c>
      <c r="D20" s="308"/>
      <c r="E20" s="308"/>
      <c r="F20" s="309"/>
      <c r="G20" s="222" t="s">
        <v>26</v>
      </c>
      <c r="H20" s="71" t="s">
        <v>48</v>
      </c>
      <c r="I20" s="140">
        <f t="shared" si="9"/>
        <v>0</v>
      </c>
      <c r="J20" s="147">
        <f t="shared" si="6"/>
        <v>0</v>
      </c>
      <c r="K20" s="152">
        <f t="shared" si="7"/>
        <v>0</v>
      </c>
      <c r="L20" s="149"/>
      <c r="M20" s="287"/>
      <c r="N20" s="288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36"/>
      <c r="Y20" s="145">
        <f t="shared" si="8"/>
        <v>0</v>
      </c>
      <c r="Z20" s="237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38">
        <v>0.25</v>
      </c>
      <c r="C21" s="287" t="s">
        <v>291</v>
      </c>
      <c r="D21" s="308"/>
      <c r="E21" s="308"/>
      <c r="F21" s="309"/>
      <c r="G21" s="222" t="s">
        <v>25</v>
      </c>
      <c r="H21" s="71" t="s">
        <v>48</v>
      </c>
      <c r="I21" s="140">
        <f t="shared" si="9"/>
        <v>0</v>
      </c>
      <c r="J21" s="147">
        <f t="shared" si="6"/>
        <v>0</v>
      </c>
      <c r="K21" s="152">
        <f t="shared" si="7"/>
        <v>0</v>
      </c>
      <c r="L21" s="149"/>
      <c r="M21" s="287"/>
      <c r="N21" s="288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36"/>
      <c r="Y21" s="145">
        <f t="shared" si="8"/>
        <v>0</v>
      </c>
      <c r="Z21" s="237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287" t="s">
        <v>262</v>
      </c>
      <c r="D22" s="308"/>
      <c r="E22" s="308"/>
      <c r="F22" s="309"/>
      <c r="G22" s="222" t="s">
        <v>25</v>
      </c>
      <c r="H22" s="71" t="s">
        <v>306</v>
      </c>
      <c r="I22" s="140">
        <f t="shared" si="9"/>
        <v>0</v>
      </c>
      <c r="J22" s="147">
        <f t="shared" si="6"/>
        <v>0</v>
      </c>
      <c r="K22" s="152">
        <f t="shared" si="7"/>
        <v>0</v>
      </c>
      <c r="L22" s="149"/>
      <c r="M22" s="287"/>
      <c r="N22" s="288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36"/>
      <c r="Y22" s="145">
        <f t="shared" si="8"/>
        <v>0</v>
      </c>
      <c r="Z22" s="239"/>
      <c r="AA22" s="197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40"/>
      <c r="C23" s="310" t="s">
        <v>174</v>
      </c>
      <c r="D23" s="310"/>
      <c r="E23" s="474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$7. Check Court's board resolution.</v>
      </c>
      <c r="F23" s="475"/>
      <c r="G23" s="222" t="s">
        <v>26</v>
      </c>
      <c r="H23" s="71" t="s">
        <v>56</v>
      </c>
      <c r="I23" s="140">
        <f t="shared" si="9"/>
        <v>0</v>
      </c>
      <c r="J23" s="147">
        <f t="shared" si="6"/>
        <v>0</v>
      </c>
      <c r="K23" s="152">
        <f t="shared" si="7"/>
        <v>0</v>
      </c>
      <c r="L23" s="149"/>
      <c r="M23" s="287"/>
      <c r="N23" s="288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36"/>
      <c r="Y23" s="145">
        <f t="shared" si="8"/>
        <v>0</v>
      </c>
      <c r="Z23" s="241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40"/>
      <c r="C24" s="310" t="s">
        <v>175</v>
      </c>
      <c r="D24" s="310"/>
      <c r="E24" s="476"/>
      <c r="F24" s="477"/>
      <c r="G24" s="222" t="s">
        <v>26</v>
      </c>
      <c r="H24" s="71" t="s">
        <v>28</v>
      </c>
      <c r="I24" s="140">
        <f t="shared" si="9"/>
        <v>0</v>
      </c>
      <c r="J24" s="147">
        <f t="shared" si="6"/>
        <v>0</v>
      </c>
      <c r="K24" s="152">
        <f t="shared" si="7"/>
        <v>0</v>
      </c>
      <c r="L24" s="149"/>
      <c r="M24" s="287"/>
      <c r="N24" s="288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36"/>
      <c r="Y24" s="145">
        <f t="shared" si="8"/>
        <v>0</v>
      </c>
      <c r="Z24" s="237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40"/>
      <c r="C25" s="310" t="s">
        <v>176</v>
      </c>
      <c r="D25" s="310"/>
      <c r="E25" s="476"/>
      <c r="F25" s="477"/>
      <c r="G25" s="222" t="s">
        <v>26</v>
      </c>
      <c r="H25" s="71" t="s">
        <v>57</v>
      </c>
      <c r="I25" s="140">
        <f t="shared" si="9"/>
        <v>0</v>
      </c>
      <c r="J25" s="147">
        <f t="shared" si="6"/>
        <v>0</v>
      </c>
      <c r="K25" s="152">
        <f t="shared" si="7"/>
        <v>0</v>
      </c>
      <c r="L25" s="149"/>
      <c r="M25" s="287"/>
      <c r="N25" s="288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36"/>
      <c r="Y25" s="145">
        <f t="shared" si="8"/>
        <v>0</v>
      </c>
      <c r="Z25" s="237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40"/>
      <c r="C26" s="310" t="s">
        <v>251</v>
      </c>
      <c r="D26" s="310"/>
      <c r="E26" s="476"/>
      <c r="F26" s="477"/>
      <c r="G26" s="222" t="s">
        <v>26</v>
      </c>
      <c r="H26" s="71" t="s">
        <v>57</v>
      </c>
      <c r="I26" s="140">
        <f>$D$11*B26</f>
        <v>0</v>
      </c>
      <c r="J26" s="147">
        <f>IF(A26="Y",I26* 2%,0)</f>
        <v>0</v>
      </c>
      <c r="K26" s="152">
        <f>I26-J26</f>
        <v>0</v>
      </c>
      <c r="L26" s="149"/>
      <c r="M26" s="287"/>
      <c r="N26" s="288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36"/>
      <c r="Y26" s="145">
        <f t="shared" si="8"/>
        <v>0</v>
      </c>
      <c r="Z26" s="237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40"/>
      <c r="C27" s="310" t="s">
        <v>211</v>
      </c>
      <c r="D27" s="310"/>
      <c r="E27" s="478"/>
      <c r="F27" s="479"/>
      <c r="G27" s="222" t="s">
        <v>26</v>
      </c>
      <c r="H27" s="71" t="s">
        <v>305</v>
      </c>
      <c r="I27" s="140">
        <f t="shared" si="9"/>
        <v>0</v>
      </c>
      <c r="J27" s="147">
        <f t="shared" si="6"/>
        <v>0</v>
      </c>
      <c r="K27" s="152">
        <f t="shared" si="7"/>
        <v>0</v>
      </c>
      <c r="L27" s="149"/>
      <c r="M27" s="287"/>
      <c r="N27" s="288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28" si="10">U27-V27</f>
        <v>0</v>
      </c>
      <c r="X27" s="236"/>
      <c r="Y27" s="145">
        <f t="shared" si="8"/>
        <v>0</v>
      </c>
      <c r="Z27" s="237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40"/>
      <c r="C28" s="287" t="s">
        <v>234</v>
      </c>
      <c r="D28" s="308"/>
      <c r="E28" s="308"/>
      <c r="F28" s="309"/>
      <c r="G28" s="222" t="s">
        <v>26</v>
      </c>
      <c r="H28" s="71" t="s">
        <v>29</v>
      </c>
      <c r="I28" s="140">
        <f t="shared" si="9"/>
        <v>0</v>
      </c>
      <c r="J28" s="147">
        <f t="shared" si="6"/>
        <v>0</v>
      </c>
      <c r="K28" s="152">
        <f t="shared" si="7"/>
        <v>0</v>
      </c>
      <c r="L28" s="149"/>
      <c r="M28" s="287"/>
      <c r="N28" s="288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236"/>
      <c r="Y28" s="145">
        <f t="shared" si="8"/>
        <v>0</v>
      </c>
      <c r="Z28" s="237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480" t="s">
        <v>293</v>
      </c>
      <c r="D29" s="481"/>
      <c r="E29" s="481"/>
      <c r="F29" s="482"/>
      <c r="G29" s="222" t="s">
        <v>25</v>
      </c>
      <c r="H29" s="255" t="s">
        <v>30</v>
      </c>
      <c r="I29" s="140">
        <f>$D$11*B29</f>
        <v>0</v>
      </c>
      <c r="J29" s="147">
        <f t="shared" si="6"/>
        <v>0</v>
      </c>
      <c r="K29" s="152">
        <f t="shared" si="7"/>
        <v>0</v>
      </c>
      <c r="L29" s="149"/>
      <c r="M29" s="287"/>
      <c r="N29" s="288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ref="W29:W30" si="11">U29-V29</f>
        <v>0</v>
      </c>
      <c r="X29" s="236"/>
      <c r="Y29" s="145">
        <f t="shared" si="8"/>
        <v>0</v>
      </c>
      <c r="Z29" s="241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287" t="s">
        <v>177</v>
      </c>
      <c r="D30" s="308"/>
      <c r="E30" s="308"/>
      <c r="F30" s="309"/>
      <c r="G30" s="222" t="s">
        <v>25</v>
      </c>
      <c r="H30" s="255" t="s">
        <v>9</v>
      </c>
      <c r="I30" s="140">
        <f>$D$10*20%</f>
        <v>0</v>
      </c>
      <c r="J30" s="147">
        <f t="shared" si="6"/>
        <v>0</v>
      </c>
      <c r="K30" s="152">
        <f>I30-J30</f>
        <v>0</v>
      </c>
      <c r="L30" s="149"/>
      <c r="M30" s="287"/>
      <c r="N30" s="288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1"/>
        <v>0</v>
      </c>
      <c r="X30" s="236"/>
      <c r="Y30" s="145">
        <f t="shared" si="8"/>
        <v>0</v>
      </c>
      <c r="Z30" s="237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311" t="s">
        <v>178</v>
      </c>
      <c r="D31" s="312"/>
      <c r="E31" s="312"/>
      <c r="F31" s="313"/>
      <c r="G31" s="242"/>
      <c r="H31" s="256"/>
      <c r="I31" s="142">
        <f>SUM(I16:I30)</f>
        <v>0</v>
      </c>
      <c r="J31" s="147"/>
      <c r="K31" s="153">
        <f>SUM(K16:K30)</f>
        <v>0</v>
      </c>
      <c r="L31" s="150"/>
      <c r="M31" s="287"/>
      <c r="N31" s="288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243"/>
      <c r="Y31" s="145">
        <f t="shared" si="8"/>
        <v>0</v>
      </c>
      <c r="Z31" s="237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287" t="s">
        <v>252</v>
      </c>
      <c r="D32" s="308"/>
      <c r="E32" s="308"/>
      <c r="F32" s="309"/>
      <c r="G32" s="222" t="s">
        <v>25</v>
      </c>
      <c r="H32" s="255" t="s">
        <v>32</v>
      </c>
      <c r="I32" s="141"/>
      <c r="J32" s="147">
        <f>IF(A32="Y", I32*2%,0)</f>
        <v>0</v>
      </c>
      <c r="K32" s="152">
        <f>I32-J32</f>
        <v>0</v>
      </c>
      <c r="L32" s="149"/>
      <c r="M32" s="223"/>
      <c r="N32" s="224"/>
      <c r="O32" s="72"/>
      <c r="P32" s="66"/>
      <c r="Q32" s="140">
        <f>IF($Q$38=0,,I32)</f>
        <v>0</v>
      </c>
      <c r="R32" s="147">
        <f t="shared" ref="R32:R35" si="12">IF(A32="Y", Q32*2%,)</f>
        <v>0</v>
      </c>
      <c r="S32" s="152">
        <f t="shared" ref="S32" si="13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4">U32-V32</f>
        <v>0</v>
      </c>
      <c r="X32" s="236"/>
      <c r="Y32" s="145">
        <f t="shared" si="8"/>
        <v>0</v>
      </c>
      <c r="Z32" s="237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314" t="s">
        <v>216</v>
      </c>
      <c r="D33" s="315"/>
      <c r="E33" s="315"/>
      <c r="F33" s="316"/>
      <c r="G33" s="198" t="s">
        <v>25</v>
      </c>
      <c r="H33" s="257" t="s">
        <v>30</v>
      </c>
      <c r="I33" s="141"/>
      <c r="J33" s="147">
        <f t="shared" ref="J33:J35" si="15">IF(A33="Y", I33*2%,0)</f>
        <v>0</v>
      </c>
      <c r="K33" s="152">
        <f t="shared" ref="K33:K35" si="16">I33-J33</f>
        <v>0</v>
      </c>
      <c r="L33" s="149"/>
      <c r="M33" s="287"/>
      <c r="N33" s="288"/>
      <c r="O33" s="72"/>
      <c r="P33" s="66"/>
      <c r="Q33" s="140">
        <f>IF($Q$38=0,,I33)</f>
        <v>0</v>
      </c>
      <c r="R33" s="147">
        <f t="shared" si="12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4"/>
        <v>0</v>
      </c>
      <c r="X33" s="236"/>
      <c r="Y33" s="145">
        <f t="shared" si="8"/>
        <v>0</v>
      </c>
      <c r="Z33" s="237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314" t="s">
        <v>189</v>
      </c>
      <c r="D34" s="315"/>
      <c r="E34" s="315"/>
      <c r="F34" s="316"/>
      <c r="G34" s="198" t="s">
        <v>187</v>
      </c>
      <c r="H34" s="257" t="s">
        <v>18</v>
      </c>
      <c r="I34" s="141"/>
      <c r="J34" s="147">
        <f t="shared" si="15"/>
        <v>0</v>
      </c>
      <c r="K34" s="152">
        <f t="shared" si="16"/>
        <v>0</v>
      </c>
      <c r="L34" s="149"/>
      <c r="M34" s="287"/>
      <c r="N34" s="288"/>
      <c r="O34" s="72"/>
      <c r="P34" s="66"/>
      <c r="Q34" s="140">
        <f>IF($Q$38=0,,I34)</f>
        <v>0</v>
      </c>
      <c r="R34" s="147">
        <f t="shared" si="12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4"/>
        <v>0</v>
      </c>
      <c r="X34" s="236"/>
      <c r="Y34" s="145">
        <f t="shared" si="8"/>
        <v>0</v>
      </c>
      <c r="Z34" s="237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314" t="s">
        <v>182</v>
      </c>
      <c r="D35" s="315"/>
      <c r="E35" s="315"/>
      <c r="F35" s="316"/>
      <c r="G35" s="198" t="s">
        <v>25</v>
      </c>
      <c r="H35" s="257" t="s">
        <v>304</v>
      </c>
      <c r="I35" s="141"/>
      <c r="J35" s="147">
        <f t="shared" si="15"/>
        <v>0</v>
      </c>
      <c r="K35" s="152">
        <f t="shared" si="16"/>
        <v>0</v>
      </c>
      <c r="L35" s="149"/>
      <c r="M35" s="287"/>
      <c r="N35" s="288"/>
      <c r="O35" s="72"/>
      <c r="P35" s="66"/>
      <c r="Q35" s="140">
        <f>IF($Q$38=0,,I35)</f>
        <v>0</v>
      </c>
      <c r="R35" s="147">
        <f t="shared" si="12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4"/>
        <v>0</v>
      </c>
      <c r="X35" s="236"/>
      <c r="Y35" s="145">
        <f t="shared" si="8"/>
        <v>0</v>
      </c>
      <c r="Z35" s="237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287" t="s">
        <v>264</v>
      </c>
      <c r="D36" s="308"/>
      <c r="E36" s="308"/>
      <c r="F36" s="309"/>
      <c r="G36" s="198" t="s">
        <v>25</v>
      </c>
      <c r="H36" s="257" t="s">
        <v>307</v>
      </c>
      <c r="I36" s="86"/>
      <c r="J36" s="148"/>
      <c r="K36" s="154">
        <f>J37</f>
        <v>0</v>
      </c>
      <c r="L36" s="149"/>
      <c r="M36" s="287"/>
      <c r="N36" s="288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244"/>
      <c r="Y36" s="145">
        <f t="shared" si="8"/>
        <v>0</v>
      </c>
      <c r="Z36" s="237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0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0</v>
      </c>
      <c r="J38" s="135"/>
      <c r="K38" s="156">
        <f>SUM(K31:K37)</f>
        <v>0</v>
      </c>
      <c r="L38" s="136"/>
      <c r="M38" s="130" t="s">
        <v>1</v>
      </c>
      <c r="N38" s="130"/>
      <c r="O38" s="137">
        <f>SUM(O31:O37)</f>
        <v>0</v>
      </c>
      <c r="P38" s="136"/>
      <c r="Q38" s="179">
        <v>0</v>
      </c>
      <c r="R38" s="135"/>
      <c r="S38" s="156">
        <f>SUM(S31:S37)</f>
        <v>0</v>
      </c>
      <c r="T38" s="136"/>
      <c r="U38" s="179">
        <v>0</v>
      </c>
      <c r="V38" s="135"/>
      <c r="W38" s="156">
        <f>SUM(W31:W37)</f>
        <v>0</v>
      </c>
      <c r="X38" s="245"/>
      <c r="Y38" s="175">
        <f>SUM(Y31:Y37)</f>
        <v>0</v>
      </c>
      <c r="Z38" s="246"/>
      <c r="AA38" s="138"/>
    </row>
    <row r="39" spans="1:32" s="95" customFormat="1" ht="16" thickTop="1" x14ac:dyDescent="0.25">
      <c r="A39" s="248"/>
      <c r="B39" s="248"/>
      <c r="C39" s="248"/>
      <c r="D39" s="248"/>
      <c r="E39" s="249"/>
      <c r="F39" s="250"/>
      <c r="G39" s="251"/>
      <c r="H39" s="252"/>
      <c r="I39" s="253"/>
      <c r="J39" s="253"/>
      <c r="K39" s="253"/>
      <c r="L39" s="254"/>
      <c r="M39" s="248"/>
      <c r="N39" s="248"/>
      <c r="O39" s="253"/>
      <c r="P39" s="254"/>
      <c r="Q39" s="254"/>
      <c r="R39" s="253"/>
      <c r="S39" s="253"/>
      <c r="T39" s="254"/>
      <c r="U39" s="254"/>
      <c r="V39" s="135"/>
      <c r="W39" s="135"/>
      <c r="X39" s="135"/>
      <c r="Y39" s="246"/>
      <c r="Z39" s="246"/>
      <c r="AA39" s="138"/>
    </row>
  </sheetData>
  <sheetProtection insertRows="0"/>
  <mergeCells count="106"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3">
    <cfRule type="cellIs" dxfId="5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4" priority="3" operator="equal">
      <formula>0</formula>
    </cfRule>
  </conditionalFormatting>
  <conditionalFormatting sqref="M16:O36">
    <cfRule type="expression" dxfId="3" priority="4">
      <formula>MOD(ROW(),2)=0</formula>
    </cfRule>
  </conditionalFormatting>
  <conditionalFormatting sqref="Q16:S36 U16:W36">
    <cfRule type="cellIs" dxfId="2" priority="6" stopIfTrue="1" operator="equal">
      <formula>0</formula>
    </cfRule>
  </conditionalFormatting>
  <conditionalFormatting sqref="U12:V12 Y13:Z13 U40:V65522">
    <cfRule type="cellIs" dxfId="1" priority="5" stopIfTrue="1" operator="notEqual">
      <formula>0</formula>
    </cfRule>
  </conditionalFormatting>
  <conditionalFormatting sqref="Z16:Z36">
    <cfRule type="cellIs" dxfId="0" priority="2" operator="greaterThan">
      <formula>0</formula>
    </cfRule>
  </conditionalFormatting>
  <dataValidations count="1">
    <dataValidation type="list" allowBlank="1" showInputMessage="1" showErrorMessage="1" sqref="Y15" xr:uid="{963AD0CD-D97D-40AF-A9E5-6C2B50CFEEC6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K31 U31 S31" formula="1"/>
    <ignoredError sqref="E2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Drop-Down List</vt:lpstr>
      <vt:lpstr>2009 UPDATE</vt:lpstr>
      <vt:lpstr>Local Penalties</vt:lpstr>
      <vt:lpstr>Sheet1</vt:lpstr>
      <vt:lpstr>Section</vt:lpstr>
      <vt:lpstr>Acct Mapping</vt:lpstr>
      <vt:lpstr>Pmt Plan Tmpl</vt:lpstr>
      <vt:lpstr>1-DUI (ALT)</vt:lpstr>
      <vt:lpstr>Case Study #1</vt:lpstr>
      <vt:lpstr>Counties</vt:lpstr>
      <vt:lpstr>Court_Name</vt:lpstr>
      <vt:lpstr>Distribution_Method</vt:lpstr>
      <vt:lpstr>'1-DUI (ALT)'!Print_Area</vt:lpstr>
      <vt:lpstr>'Case Study #1'!Print_Area</vt:lpstr>
      <vt:lpstr>Yes_No</vt:lpstr>
      <vt:lpstr>Yes_No_NA</vt:lpstr>
      <vt:lpstr>Yes_No_NA_City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Mendoza, Ryan;Cabral, Robert</dc:creator>
  <cp:lastModifiedBy>Lowrie, Don</cp:lastModifiedBy>
  <cp:lastPrinted>2014-05-27T15:50:06Z</cp:lastPrinted>
  <dcterms:created xsi:type="dcterms:W3CDTF">2007-12-13T20:20:54Z</dcterms:created>
  <dcterms:modified xsi:type="dcterms:W3CDTF">2025-03-12T21:41:00Z</dcterms:modified>
</cp:coreProperties>
</file>