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drawings/drawing10.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xml" ContentType="application/vnd.openxmlformats-officedocument.drawing+xml"/>
  <Override PartName="/xl/drawings/drawing16.xml" ContentType="application/vnd.openxmlformats-officedocument.drawing+xml"/>
  <Override PartName="/xl/drawings/drawing2.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4.xml" ContentType="application/vnd.openxmlformats-officedocument.spreadsheetml.comment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5.xml" ContentType="application/vnd.openxmlformats-officedocument.spreadsheetml.comments+xml"/>
  <Override PartName="/xl/ctrlProps/ctrlProp7.xml" ContentType="application/vnd.ms-excel.controlproperties+xml"/>
  <Override PartName="/xl/ctrlProps/ctrlProp9.xml" ContentType="application/vnd.ms-excel.controlproperties+xml"/>
  <Override PartName="/xl/comments6.xml" ContentType="application/vnd.openxmlformats-officedocument.spreadsheetml.comment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7.xml" ContentType="application/vnd.openxmlformats-officedocument.spreadsheetml.comment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8.xml" ContentType="application/vnd.openxmlformats-officedocument.spreadsheetml.comments+xml"/>
  <Override PartName="/xl/ctrlProps/ctrlProp16.xml" ContentType="application/vnd.ms-excel.controlproperties+xml"/>
  <Override PartName="/xl/ctrlProps/ctrlProp17.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omments16.xml" ContentType="application/vnd.openxmlformats-officedocument.spreadsheetml.comments+xml"/>
  <Override PartName="/xl/ctrlProps/ctrlProp25.xml" ContentType="application/vnd.ms-excel.controlproperties+xml"/>
  <Override PartName="/xl/ctrlProps/ctrlProp26.xml" ContentType="application/vnd.ms-excel.controlproperties+xml"/>
  <Override PartName="/xl/ctrlProps/ctrlProp43.xml" ContentType="application/vnd.ms-excel.controlproperties+xml"/>
  <Override PartName="/xl/ctrlProps/ctrlProp45.xml" ContentType="application/vnd.ms-excel.controlproperties+xml"/>
  <Override PartName="/xl/comments17.xml" ContentType="application/vnd.openxmlformats-officedocument.spreadsheetml.comments+xml"/>
  <Override PartName="/xl/ctrlProps/ctrlProp27.xml" ContentType="application/vnd.ms-excel.controlproperties+xml"/>
  <Override PartName="/xl/comments12.xml" ContentType="application/vnd.openxmlformats-officedocument.spreadsheetml.comment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omments18.xml" ContentType="application/vnd.openxmlformats-officedocument.spreadsheetml.comments+xml"/>
  <Override PartName="/xl/ctrlProps/ctrlProp20.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omments19.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9.xml" ContentType="application/vnd.openxmlformats-officedocument.spreadsheetml.comments+xml"/>
  <Override PartName="/xl/ctrlProps/ctrlProp18.xml" ContentType="application/vnd.ms-excel.controlproperties+xml"/>
  <Override PartName="/xl/ctrlProps/ctrlProp21.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8.xml" ContentType="application/vnd.ms-excel.controlproperties+xml"/>
  <Override PartName="/xl/comments13.xml" ContentType="application/vnd.openxmlformats-officedocument.spreadsheetml.comments+xml"/>
  <Override PartName="/xl/ctrlProps/ctrlProp22.xml" ContentType="application/vnd.ms-excel.controlproperties+xml"/>
  <Override PartName="/xl/ctrlProps/ctrlProp19.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4.xml" ContentType="application/vnd.openxmlformats-officedocument.spreadsheetml.comments+xml"/>
  <Override PartName="/xl/ctrlProps/ctrlProp23.xml" ContentType="application/vnd.ms-excel.controlproperties+xml"/>
  <Override PartName="/xl/ctrlProps/ctrlProp24.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omments11.xml" ContentType="application/vnd.openxmlformats-officedocument.spreadsheetml.comment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omments15.xml" ContentType="application/vnd.openxmlformats-officedocument.spreadsheetml.comments+xml"/>
  <Override PartName="/xl/comments10.xml" ContentType="application/vnd.openxmlformats-officedocument.spreadsheetml.comments+xml"/>
  <Override PartName="/xl/ctrlProps/ctrlProp4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updateLinks="never" codeName="ThisWorkbook" defaultThemeVersion="124226"/>
  <mc:AlternateContent xmlns:mc="http://schemas.openxmlformats.org/markup-compatibility/2006">
    <mc:Choice Requires="x15">
      <x15ac:absPath xmlns:x15ac="http://schemas.microsoft.com/office/spreadsheetml/2010/11/ac" url="https://caljc-my.sharepoint.com/personal/maria_lira_jud_ca_gov/Documents/"/>
    </mc:Choice>
  </mc:AlternateContent>
  <xr:revisionPtr revIDLastSave="0" documentId="8_{2146D399-6736-4FC6-817D-BEFA8EA6D693}" xr6:coauthVersionLast="47" xr6:coauthVersionMax="47" xr10:uidLastSave="{00000000-0000-0000-0000-000000000000}"/>
  <bookViews>
    <workbookView xWindow="28680" yWindow="-120" windowWidth="38640" windowHeight="21120" tabRatio="973" firstSheet="9" activeTab="10" xr2:uid="{00000000-000D-0000-FFFF-FFFF00000000}"/>
  </bookViews>
  <sheets>
    <sheet name="Drop-Down List" sheetId="85" state="hidden" r:id="rId1"/>
    <sheet name="2009 UPDATE" sheetId="83" state="hidden" r:id="rId2"/>
    <sheet name="Cover Page" sheetId="162" state="hidden" r:id="rId3"/>
    <sheet name="Worksheets Included" sheetId="163" state="hidden" r:id="rId4"/>
    <sheet name="2014 UPDATE" sheetId="164" state="hidden" r:id="rId5"/>
    <sheet name="2013 UPDATE" sheetId="161" state="hidden" r:id="rId6"/>
    <sheet name="2012 UPDATE" sheetId="156" state="hidden" r:id="rId7"/>
    <sheet name="2011 UPDATE" sheetId="155" state="hidden" r:id="rId8"/>
    <sheet name="2010 UPDATE" sheetId="84" state="hidden" r:id="rId9"/>
    <sheet name="Local Penalties" sheetId="166" r:id="rId10"/>
    <sheet name="Speeding BF" sheetId="199" r:id="rId11"/>
    <sheet name=" Speeding TVS" sheetId="194" r:id="rId12"/>
    <sheet name="TEST SUMMARY" sheetId="9" state="hidden" r:id="rId13"/>
    <sheet name="Sheet1" sheetId="82" state="hidden" r:id="rId14"/>
    <sheet name="Section" sheetId="42" state="hidden" r:id="rId15"/>
    <sheet name="Acct Mapping" sheetId="50" state="hidden" r:id="rId16"/>
    <sheet name="Pmt Plan Tmpl" sheetId="73" state="hidden" r:id="rId17"/>
    <sheet name="1-DUI (ALT)" sheetId="52" state="hidden" r:id="rId18"/>
    <sheet name="1-DUI (Reduce Base)" sheetId="157" state="hidden" r:id="rId19"/>
    <sheet name="3-RD (Reduce Base)" sheetId="104" state="hidden" r:id="rId20"/>
    <sheet name="4-RRBF" sheetId="106" state="hidden" r:id="rId21"/>
    <sheet name="5-RRTS (BF &amp; No 2%)" sheetId="121" state="hidden" r:id="rId22"/>
    <sheet name="Sheet2" sheetId="184" state="hidden" r:id="rId23"/>
    <sheet name="7-RLTS" sheetId="98" state="hidden" r:id="rId24"/>
    <sheet name="8-RLBF (No 30%)" sheetId="154" state="hidden" r:id="rId25"/>
    <sheet name="9-SpBF" sheetId="110" state="hidden" r:id="rId26"/>
    <sheet name="11-CSBF" sheetId="124" state="hidden" r:id="rId27"/>
    <sheet name="12-CSTS (BF &amp; 2%)" sheetId="136" state="hidden" r:id="rId28"/>
    <sheet name="13-UC" sheetId="114" state="hidden" r:id="rId29"/>
    <sheet name="14-POC" sheetId="119" state="hidden" r:id="rId30"/>
    <sheet name="15-POI (Base Reduce)" sheetId="142" state="hidden" r:id="rId31"/>
    <sheet name="16-DV" sheetId="120" state="hidden" r:id="rId32"/>
    <sheet name="17-HS (Enhance Base)" sheetId="159" state="hidden" r:id="rId33"/>
    <sheet name="18-HS (Enh-Red Base)" sheetId="158" state="hidden" r:id="rId34"/>
    <sheet name="19-FG" sheetId="138" state="hidden" r:id="rId35"/>
  </sheets>
  <externalReferences>
    <externalReference r:id="rId36"/>
    <externalReference r:id="rId37"/>
  </externalReferences>
  <definedNames>
    <definedName name="Answer" localSheetId="11">#REF!</definedName>
    <definedName name="Answer">#REF!</definedName>
    <definedName name="Counties">'Local Penalties'!$A$12:$A$69</definedName>
    <definedName name="County" localSheetId="11">#REF!</definedName>
    <definedName name="County">#REF!</definedName>
    <definedName name="County_Name" localSheetId="11">#REF!</definedName>
    <definedName name="County_Name">#REF!</definedName>
    <definedName name="Court_Name" localSheetId="29">[1]Sheet1!$D$1:$D$59</definedName>
    <definedName name="Court_Name" localSheetId="31">[1]Sheet1!$D$1:$D$59</definedName>
    <definedName name="Court_Name">Sheet1!$D$1:$D$59</definedName>
    <definedName name="dbo_Fund" localSheetId="11">#REF!</definedName>
    <definedName name="dbo_Fund" localSheetId="26">#REF!</definedName>
    <definedName name="dbo_Fund" localSheetId="27">#REF!</definedName>
    <definedName name="dbo_Fund" localSheetId="28">#REF!</definedName>
    <definedName name="dbo_Fund" localSheetId="29">#REF!</definedName>
    <definedName name="dbo_Fund" localSheetId="30">#REF!</definedName>
    <definedName name="dbo_Fund" localSheetId="31">#REF!</definedName>
    <definedName name="dbo_Fund" localSheetId="32">#REF!</definedName>
    <definedName name="dbo_Fund" localSheetId="33">#REF!</definedName>
    <definedName name="dbo_Fund" localSheetId="34">#REF!</definedName>
    <definedName name="dbo_Fund" localSheetId="18">#REF!</definedName>
    <definedName name="dbo_Fund" localSheetId="8">#REF!</definedName>
    <definedName name="dbo_Fund" localSheetId="7">#REF!</definedName>
    <definedName name="dbo_Fund" localSheetId="6">#REF!</definedName>
    <definedName name="dbo_Fund" localSheetId="5">#REF!</definedName>
    <definedName name="dbo_Fund" localSheetId="19">#REF!</definedName>
    <definedName name="dbo_Fund" localSheetId="20">#REF!</definedName>
    <definedName name="dbo_Fund" localSheetId="21">#REF!</definedName>
    <definedName name="dbo_Fund" localSheetId="23">#REF!</definedName>
    <definedName name="dbo_Fund" localSheetId="24">#REF!</definedName>
    <definedName name="dbo_Fund" localSheetId="25">#REF!</definedName>
    <definedName name="dbo_Fund" localSheetId="3">#REF!</definedName>
    <definedName name="dbo_Fund">#REF!</definedName>
    <definedName name="Distribution_Method" localSheetId="29">'[1]Drop-Down List'!$A$1:$A$2</definedName>
    <definedName name="Distribution_Method" localSheetId="31">'[1]Drop-Down List'!$A$1:$A$2</definedName>
    <definedName name="Distribution_Method">'Drop-Down List'!$A$1:$A$2</definedName>
    <definedName name="H_S">'[2]Drop-Down List'!$A$12:$A$13</definedName>
    <definedName name="health">'[2]Drop-Down List'!$A$12:$A$13</definedName>
    <definedName name="HS" localSheetId="11">#REF!</definedName>
    <definedName name="HS">#REF!</definedName>
    <definedName name="_xlnm.Print_Area" localSheetId="11">' Speeding TVS'!$A$2:$N$44</definedName>
    <definedName name="_xlnm.Print_Area" localSheetId="26">'11-CSBF'!$A$1:$W$47</definedName>
    <definedName name="_xlnm.Print_Area" localSheetId="27">'12-CSTS (BF &amp; 2%)'!$A$1:$W$52</definedName>
    <definedName name="_xlnm.Print_Area" localSheetId="28">'13-UC'!$A$1:$W$47</definedName>
    <definedName name="_xlnm.Print_Area" localSheetId="29">'14-POC'!$A$1:$W$27</definedName>
    <definedName name="_xlnm.Print_Area" localSheetId="30">'15-POI (Base Reduce)'!$A$1:$W$47</definedName>
    <definedName name="_xlnm.Print_Area" localSheetId="31">'16-DV'!$A$1:$W$33</definedName>
    <definedName name="_xlnm.Print_Area" localSheetId="32">'17-HS (Enhance Base)'!$A$1:$X$45</definedName>
    <definedName name="_xlnm.Print_Area" localSheetId="33">'18-HS (Enh-Red Base)'!$A$1:$X$46</definedName>
    <definedName name="_xlnm.Print_Area" localSheetId="34">'19-FG'!$A$1:$W$44</definedName>
    <definedName name="_xlnm.Print_Area" localSheetId="18">'1-DUI (Reduce Base)'!$A$1:$X$54</definedName>
    <definedName name="_xlnm.Print_Area" localSheetId="19">'3-RD (Reduce Base)'!$A$1:$W$49</definedName>
    <definedName name="_xlnm.Print_Area" localSheetId="20">'4-RRBF'!$A$1:$Y$47</definedName>
    <definedName name="_xlnm.Print_Area" localSheetId="21">'5-RRTS (BF &amp; No 2%)'!$A$1:$Y$52</definedName>
    <definedName name="_xlnm.Print_Area" localSheetId="23">'7-RLTS'!$A$1:$W$52</definedName>
    <definedName name="_xlnm.Print_Area" localSheetId="24">'8-RLBF (No 30%)'!$A$1:$Y$47</definedName>
    <definedName name="_xlnm.Print_Area" localSheetId="25">'9-SpBF'!$A$1:$W$47</definedName>
    <definedName name="_xlnm.Print_Area" localSheetId="2">'Cover Page'!$A$1:$Q$8</definedName>
    <definedName name="_xlnm.Print_Area" localSheetId="9">'Local Penalties'!$A$1:$B$70</definedName>
    <definedName name="_xlnm.Print_Area" localSheetId="12">'TEST SUMMARY'!$B$5:$AM$30</definedName>
    <definedName name="_xlnm.Print_Area" localSheetId="3">'Worksheets Included'!$A$1:$C$20</definedName>
    <definedName name="Yes_No">'Drop-Down List'!$A$12:$A$13</definedName>
    <definedName name="Yes_No_NA">'Drop-Down List'!$A$4:$A$6</definedName>
    <definedName name="Yes_No_NA_City">'Drop-Down List'!$A$8:$A$10</definedName>
    <definedName name="Z_07F1F502_9FC7_4878_A746_52E1655BD4FA_.wvu.Cols" localSheetId="26" hidden="1">'11-CSBF'!#REF!,'11-CSBF'!#REF!</definedName>
    <definedName name="Z_07F1F502_9FC7_4878_A746_52E1655BD4FA_.wvu.Cols" localSheetId="27" hidden="1">'12-CSTS (BF &amp; 2%)'!#REF!,'12-CSTS (BF &amp; 2%)'!#REF!</definedName>
    <definedName name="Z_07F1F502_9FC7_4878_A746_52E1655BD4FA_.wvu.Cols" localSheetId="28" hidden="1">'13-UC'!#REF!,'13-UC'!#REF!</definedName>
    <definedName name="Z_07F1F502_9FC7_4878_A746_52E1655BD4FA_.wvu.Cols" localSheetId="29" hidden="1">'14-POC'!#REF!,'14-POC'!#REF!</definedName>
    <definedName name="Z_07F1F502_9FC7_4878_A746_52E1655BD4FA_.wvu.Cols" localSheetId="30" hidden="1">'15-POI (Base Reduce)'!#REF!,'15-POI (Base Reduce)'!#REF!</definedName>
    <definedName name="Z_07F1F502_9FC7_4878_A746_52E1655BD4FA_.wvu.Cols" localSheetId="31" hidden="1">'16-DV'!#REF!,'16-DV'!#REF!</definedName>
    <definedName name="Z_07F1F502_9FC7_4878_A746_52E1655BD4FA_.wvu.Cols" localSheetId="32" hidden="1">'17-HS (Enhance Base)'!#REF!,'17-HS (Enhance Base)'!#REF!</definedName>
    <definedName name="Z_07F1F502_9FC7_4878_A746_52E1655BD4FA_.wvu.Cols" localSheetId="33" hidden="1">'18-HS (Enh-Red Base)'!#REF!,'18-HS (Enh-Red Base)'!#REF!</definedName>
    <definedName name="Z_07F1F502_9FC7_4878_A746_52E1655BD4FA_.wvu.Cols" localSheetId="34" hidden="1">'19-FG'!#REF!,'19-FG'!#REF!</definedName>
    <definedName name="Z_07F1F502_9FC7_4878_A746_52E1655BD4FA_.wvu.Cols" localSheetId="17" hidden="1">'1-DUI (ALT)'!#REF!,'1-DUI (ALT)'!#REF!</definedName>
    <definedName name="Z_07F1F502_9FC7_4878_A746_52E1655BD4FA_.wvu.Cols" localSheetId="18" hidden="1">'1-DUI (Reduce Base)'!#REF!,'1-DUI (Reduce Base)'!#REF!</definedName>
    <definedName name="Z_07F1F502_9FC7_4878_A746_52E1655BD4FA_.wvu.Cols" localSheetId="19" hidden="1">'3-RD (Reduce Base)'!#REF!,'3-RD (Reduce Base)'!#REF!</definedName>
    <definedName name="Z_07F1F502_9FC7_4878_A746_52E1655BD4FA_.wvu.Cols" localSheetId="20" hidden="1">'4-RRBF'!#REF!,'4-RRBF'!#REF!</definedName>
    <definedName name="Z_07F1F502_9FC7_4878_A746_52E1655BD4FA_.wvu.Cols" localSheetId="21" hidden="1">'5-RRTS (BF &amp; No 2%)'!#REF!,'5-RRTS (BF &amp; No 2%)'!#REF!</definedName>
    <definedName name="Z_07F1F502_9FC7_4878_A746_52E1655BD4FA_.wvu.Cols" localSheetId="23" hidden="1">'7-RLTS'!#REF!,'7-RLTS'!#REF!</definedName>
    <definedName name="Z_07F1F502_9FC7_4878_A746_52E1655BD4FA_.wvu.Cols" localSheetId="24" hidden="1">'8-RLBF (No 30%)'!#REF!,'8-RLBF (No 30%)'!#REF!</definedName>
    <definedName name="Z_07F1F502_9FC7_4878_A746_52E1655BD4FA_.wvu.Cols" localSheetId="25" hidden="1">'9-SpBF'!#REF!,'9-SpBF'!#REF!</definedName>
    <definedName name="Z_07F1F502_9FC7_4878_A746_52E1655BD4FA_.wvu.Cols" localSheetId="12" hidden="1">'TEST SUMMARY'!$I:$I,'TEST SUMMARY'!#REF!</definedName>
    <definedName name="Z_07F1F502_9FC7_4878_A746_52E1655BD4FA_.wvu.Cols" localSheetId="3" hidden="1">'Worksheets Included'!#REF!,'Worksheets Included'!#REF!</definedName>
    <definedName name="Z_07F1F502_9FC7_4878_A746_52E1655BD4FA_.wvu.PrintArea" localSheetId="12" hidden="1">'TEST SUMMARY'!$B$5:$AM$30</definedName>
    <definedName name="Z_07F1F502_9FC7_4878_A746_52E1655BD4FA_.wvu.PrintArea" localSheetId="3" hidden="1">'Worksheets Included'!$A$1:$C$20</definedName>
  </definedNames>
  <calcPr calcId="191029" iterate="1"/>
  <customWorkbookViews>
    <customWorkbookView name="Ryan" guid="{07F1F502-9FC7-4878-A746-52E1655BD4FA}" maximized="1" windowWidth="1072" windowHeight="852" tabRatio="973" activeSheetId="76"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36" i="199" l="1"/>
  <c r="R36" i="199"/>
  <c r="O36" i="199"/>
  <c r="N36" i="199"/>
  <c r="K36" i="199"/>
  <c r="L36" i="199" s="1"/>
  <c r="S35" i="199"/>
  <c r="R35" i="199"/>
  <c r="O35" i="199"/>
  <c r="N35" i="199"/>
  <c r="N32" i="199" s="1"/>
  <c r="K35" i="199"/>
  <c r="L35" i="199" s="1"/>
  <c r="S34" i="199"/>
  <c r="R34" i="199"/>
  <c r="O34" i="199"/>
  <c r="N34" i="199"/>
  <c r="K34" i="199"/>
  <c r="L34" i="199" s="1"/>
  <c r="S33" i="199"/>
  <c r="R33" i="199"/>
  <c r="O33" i="199"/>
  <c r="N33" i="199"/>
  <c r="K33" i="199"/>
  <c r="L33" i="199" s="1"/>
  <c r="R32" i="199"/>
  <c r="S31" i="199"/>
  <c r="R31" i="199"/>
  <c r="O31" i="199"/>
  <c r="K31" i="199"/>
  <c r="R30" i="199"/>
  <c r="S30" i="199" s="1"/>
  <c r="T30" i="199" s="1"/>
  <c r="R29" i="199"/>
  <c r="R28" i="199"/>
  <c r="R27" i="199"/>
  <c r="S27" i="199" s="1"/>
  <c r="T27" i="199" s="1"/>
  <c r="R26" i="199"/>
  <c r="S26" i="199" s="1"/>
  <c r="R25" i="199"/>
  <c r="R24" i="199"/>
  <c r="R23" i="199"/>
  <c r="S23" i="199" s="1"/>
  <c r="T23" i="199" s="1"/>
  <c r="R22" i="199"/>
  <c r="S22" i="199" s="1"/>
  <c r="R21" i="199"/>
  <c r="R20" i="199"/>
  <c r="S20" i="199" s="1"/>
  <c r="T20" i="199" s="1"/>
  <c r="R19" i="199"/>
  <c r="R18" i="199"/>
  <c r="S18" i="199" s="1"/>
  <c r="R17" i="199"/>
  <c r="P11" i="199"/>
  <c r="E10" i="199"/>
  <c r="P7" i="199"/>
  <c r="T31" i="199" l="1"/>
  <c r="T33" i="199"/>
  <c r="T34" i="199"/>
  <c r="T35" i="199"/>
  <c r="P34" i="199"/>
  <c r="P33" i="199"/>
  <c r="E11" i="199"/>
  <c r="J18" i="199" s="1"/>
  <c r="P36" i="199"/>
  <c r="P35" i="199"/>
  <c r="T36" i="199"/>
  <c r="T26" i="199"/>
  <c r="S29" i="199"/>
  <c r="T29" i="199" s="1"/>
  <c r="T18" i="199"/>
  <c r="S25" i="199"/>
  <c r="T25" i="199" s="1"/>
  <c r="S21" i="199"/>
  <c r="T21" i="199" s="1"/>
  <c r="S17" i="199"/>
  <c r="S24" i="199"/>
  <c r="T24" i="199" s="1"/>
  <c r="T22" i="199"/>
  <c r="S28" i="199"/>
  <c r="T28" i="199" s="1"/>
  <c r="S19" i="199"/>
  <c r="T19" i="199" s="1"/>
  <c r="J31" i="199" l="1"/>
  <c r="L31" i="199" s="1"/>
  <c r="J17" i="199"/>
  <c r="K17" i="199" s="1"/>
  <c r="E12" i="199"/>
  <c r="J29" i="199" s="1"/>
  <c r="J21" i="199"/>
  <c r="S38" i="199"/>
  <c r="T37" i="199" s="1"/>
  <c r="T17" i="199"/>
  <c r="K18" i="199"/>
  <c r="L18" i="199" s="1"/>
  <c r="J24" i="199" l="1"/>
  <c r="J27" i="199"/>
  <c r="K27" i="199" s="1"/>
  <c r="L27" i="199" s="1"/>
  <c r="J22" i="199"/>
  <c r="J23" i="199"/>
  <c r="J25" i="199"/>
  <c r="K25" i="199" s="1"/>
  <c r="L25" i="199" s="1"/>
  <c r="J30" i="199"/>
  <c r="K30" i="199" s="1"/>
  <c r="L30" i="199" s="1"/>
  <c r="J19" i="199"/>
  <c r="K19" i="199" s="1"/>
  <c r="L19" i="199" s="1"/>
  <c r="J28" i="199"/>
  <c r="K28" i="199" s="1"/>
  <c r="J20" i="199"/>
  <c r="K20" i="199" s="1"/>
  <c r="L20" i="199" s="1"/>
  <c r="J26" i="199"/>
  <c r="T32" i="199"/>
  <c r="K22" i="199"/>
  <c r="L22" i="199" s="1"/>
  <c r="K26" i="199"/>
  <c r="L26" i="199" s="1"/>
  <c r="K29" i="199"/>
  <c r="L29" i="199" s="1"/>
  <c r="L17" i="199"/>
  <c r="K21" i="199"/>
  <c r="K24" i="199"/>
  <c r="L24" i="199" s="1"/>
  <c r="J32" i="199" l="1"/>
  <c r="N16" i="199" s="1"/>
  <c r="L23" i="199"/>
  <c r="K23" i="199"/>
  <c r="K38" i="199" s="1"/>
  <c r="L37" i="199" s="1"/>
  <c r="L28" i="199"/>
  <c r="L21" i="199"/>
  <c r="T39" i="199"/>
  <c r="J39" i="199" l="1"/>
  <c r="R16" i="199" s="1"/>
  <c r="N24" i="199"/>
  <c r="O24" i="199" s="1"/>
  <c r="P24" i="199" s="1"/>
  <c r="N17" i="199"/>
  <c r="N30" i="199"/>
  <c r="O30" i="199" s="1"/>
  <c r="P30" i="199" s="1"/>
  <c r="N23" i="199"/>
  <c r="O23" i="199" s="1"/>
  <c r="P23" i="199" s="1"/>
  <c r="N29" i="199"/>
  <c r="N22" i="199"/>
  <c r="O22" i="199" s="1"/>
  <c r="P22" i="199" s="1"/>
  <c r="N21" i="199"/>
  <c r="O21" i="199" s="1"/>
  <c r="P21" i="199" s="1"/>
  <c r="N27" i="199"/>
  <c r="O27" i="199" s="1"/>
  <c r="P27" i="199" s="1"/>
  <c r="N20" i="199"/>
  <c r="O20" i="199" s="1"/>
  <c r="P20" i="199" s="1"/>
  <c r="N26" i="199"/>
  <c r="O26" i="199" s="1"/>
  <c r="P26" i="199" s="1"/>
  <c r="N19" i="199"/>
  <c r="O19" i="199" s="1"/>
  <c r="P19" i="199" s="1"/>
  <c r="N25" i="199"/>
  <c r="O25" i="199" s="1"/>
  <c r="P25" i="199" s="1"/>
  <c r="N18" i="199"/>
  <c r="O18" i="199" s="1"/>
  <c r="P18" i="199" s="1"/>
  <c r="N31" i="199"/>
  <c r="P31" i="199" s="1"/>
  <c r="N28" i="199"/>
  <c r="L32" i="199"/>
  <c r="L39" i="199" s="1"/>
  <c r="N7" i="194"/>
  <c r="N11" i="194"/>
  <c r="O28" i="199" l="1"/>
  <c r="P28" i="199" s="1"/>
  <c r="O29" i="199"/>
  <c r="P29" i="199" s="1"/>
  <c r="O17" i="199"/>
  <c r="P17" i="199"/>
  <c r="L24" i="194"/>
  <c r="M24" i="194" s="1"/>
  <c r="O38" i="199" l="1"/>
  <c r="P37" i="199" s="1"/>
  <c r="P32" i="199"/>
  <c r="M42" i="194"/>
  <c r="L41" i="194"/>
  <c r="K41" i="194"/>
  <c r="K40" i="194"/>
  <c r="L39" i="194"/>
  <c r="K39" i="194"/>
  <c r="L38" i="194"/>
  <c r="K38" i="194"/>
  <c r="L37" i="194"/>
  <c r="K37" i="194"/>
  <c r="L36" i="194"/>
  <c r="K36" i="194"/>
  <c r="L35" i="194"/>
  <c r="K35" i="194"/>
  <c r="L32" i="194"/>
  <c r="L31" i="194"/>
  <c r="L30" i="194"/>
  <c r="M30" i="194" s="1"/>
  <c r="L29" i="194"/>
  <c r="M29" i="194" s="1"/>
  <c r="L28" i="194"/>
  <c r="L27" i="194"/>
  <c r="K27" i="194"/>
  <c r="L26" i="194"/>
  <c r="K26" i="194"/>
  <c r="L25" i="194"/>
  <c r="M25" i="194" s="1"/>
  <c r="L23" i="194"/>
  <c r="M23" i="194" s="1"/>
  <c r="L22" i="194"/>
  <c r="M22" i="194" s="1"/>
  <c r="L21" i="194"/>
  <c r="M21" i="194" s="1"/>
  <c r="L20" i="194"/>
  <c r="L19" i="194"/>
  <c r="M19" i="194" s="1"/>
  <c r="L18" i="194"/>
  <c r="E10" i="194"/>
  <c r="P39" i="199" l="1"/>
  <c r="M41" i="194"/>
  <c r="E11" i="194"/>
  <c r="M35" i="194"/>
  <c r="M38" i="194"/>
  <c r="M40" i="194"/>
  <c r="M39" i="194"/>
  <c r="M27" i="194"/>
  <c r="M26" i="194"/>
  <c r="L33" i="194"/>
  <c r="L44" i="194" s="1"/>
  <c r="M37" i="194"/>
  <c r="M36" i="194"/>
  <c r="J34" i="194" l="1"/>
  <c r="K34" i="194" s="1"/>
  <c r="M34" i="194" s="1"/>
  <c r="J19" i="194"/>
  <c r="E12" i="194"/>
  <c r="K28" i="194" s="1"/>
  <c r="J20" i="194"/>
  <c r="K20" i="194" s="1"/>
  <c r="M20" i="194" s="1"/>
  <c r="L43" i="194"/>
  <c r="J21" i="194" l="1"/>
  <c r="J32" i="194"/>
  <c r="K32" i="194" s="1"/>
  <c r="M32" i="194" s="1"/>
  <c r="J27" i="194"/>
  <c r="J31" i="194"/>
  <c r="M28" i="194"/>
  <c r="J29" i="194"/>
  <c r="J28" i="194"/>
  <c r="J30" i="194"/>
  <c r="K31" i="194"/>
  <c r="M31" i="194" s="1"/>
  <c r="J22" i="194"/>
  <c r="J23" i="194"/>
  <c r="J25" i="194"/>
  <c r="J26" i="194"/>
  <c r="J24" i="194"/>
  <c r="J33" i="194" l="1"/>
  <c r="J44" i="194" s="1"/>
  <c r="K18" i="194" s="1"/>
  <c r="K33" i="194" l="1"/>
  <c r="K44" i="194" s="1"/>
  <c r="M18" i="194" s="1"/>
  <c r="B28" i="138" l="1"/>
  <c r="B31" i="158"/>
  <c r="B30" i="159"/>
  <c r="B32" i="142"/>
  <c r="B32" i="114"/>
  <c r="B32" i="136"/>
  <c r="B32" i="124"/>
  <c r="B32" i="110"/>
  <c r="B32" i="154"/>
  <c r="B32" i="98"/>
  <c r="B33" i="121"/>
  <c r="B32" i="106"/>
  <c r="B31" i="104"/>
  <c r="B8" i="166"/>
  <c r="P12" i="199" s="1"/>
  <c r="F24" i="199" s="1"/>
  <c r="B27" i="138"/>
  <c r="B30" i="158"/>
  <c r="B29" i="159"/>
  <c r="B30" i="142"/>
  <c r="B30" i="114"/>
  <c r="B30" i="136"/>
  <c r="B30" i="124"/>
  <c r="B30" i="110"/>
  <c r="B30" i="154"/>
  <c r="B30" i="98"/>
  <c r="B31" i="121"/>
  <c r="B30" i="106"/>
  <c r="B29" i="104"/>
  <c r="B26" i="138"/>
  <c r="B25" i="138"/>
  <c r="B24" i="138"/>
  <c r="B23" i="138"/>
  <c r="B22" i="138"/>
  <c r="B29" i="158"/>
  <c r="B28" i="158"/>
  <c r="B27" i="158"/>
  <c r="B26" i="158"/>
  <c r="B25" i="158"/>
  <c r="B28" i="159"/>
  <c r="B27" i="159"/>
  <c r="B26" i="159"/>
  <c r="B25" i="159"/>
  <c r="B24" i="159"/>
  <c r="B29" i="142"/>
  <c r="B28" i="142"/>
  <c r="B27" i="142"/>
  <c r="B26" i="142"/>
  <c r="B25" i="142"/>
  <c r="B29" i="114"/>
  <c r="B28" i="114"/>
  <c r="B27" i="114"/>
  <c r="B26" i="114"/>
  <c r="B25" i="114"/>
  <c r="B29" i="136"/>
  <c r="B28" i="136"/>
  <c r="B27" i="136"/>
  <c r="B26" i="136"/>
  <c r="B25" i="136"/>
  <c r="B29" i="124"/>
  <c r="B28" i="124"/>
  <c r="B27" i="124"/>
  <c r="B26" i="124"/>
  <c r="B25" i="124"/>
  <c r="B29" i="110"/>
  <c r="B28" i="110"/>
  <c r="B27" i="110"/>
  <c r="B26" i="110"/>
  <c r="B25" i="110"/>
  <c r="B29" i="154"/>
  <c r="B28" i="154"/>
  <c r="B27" i="154"/>
  <c r="B26" i="154"/>
  <c r="B25" i="154"/>
  <c r="B29" i="98"/>
  <c r="B28" i="98"/>
  <c r="B27" i="98"/>
  <c r="B26" i="98"/>
  <c r="B25" i="98"/>
  <c r="B30" i="121"/>
  <c r="B29" i="121"/>
  <c r="B28" i="121"/>
  <c r="B27" i="121"/>
  <c r="B26" i="121"/>
  <c r="B29" i="106"/>
  <c r="B28" i="106"/>
  <c r="B27" i="106"/>
  <c r="B26" i="106"/>
  <c r="B25" i="106"/>
  <c r="B28" i="104"/>
  <c r="B27" i="104"/>
  <c r="B26" i="104"/>
  <c r="B25" i="104"/>
  <c r="B24" i="104"/>
  <c r="A8" i="166"/>
  <c r="N12" i="194" l="1"/>
  <c r="F26" i="194" s="1"/>
  <c r="P11" i="157"/>
  <c r="P11" i="158" s="1"/>
  <c r="E25" i="158" s="1"/>
  <c r="B33" i="157"/>
  <c r="B29" i="138"/>
  <c r="B32" i="158"/>
  <c r="B31" i="159"/>
  <c r="B33" i="142"/>
  <c r="B33" i="114"/>
  <c r="B33" i="136"/>
  <c r="B33" i="124"/>
  <c r="B33" i="110"/>
  <c r="B33" i="154"/>
  <c r="B33" i="98"/>
  <c r="B34" i="121"/>
  <c r="B33" i="106"/>
  <c r="B32" i="104"/>
  <c r="X1" i="158"/>
  <c r="X1" i="159"/>
  <c r="Y1" i="154"/>
  <c r="Y1" i="121"/>
  <c r="Y1" i="106"/>
  <c r="W1" i="138"/>
  <c r="W1" i="120"/>
  <c r="W1" i="142"/>
  <c r="W1" i="119"/>
  <c r="W1" i="114"/>
  <c r="W1" i="136"/>
  <c r="W1" i="124"/>
  <c r="W1" i="110"/>
  <c r="W1" i="98"/>
  <c r="W1" i="104"/>
  <c r="X1" i="157"/>
  <c r="O11" i="142" l="1"/>
  <c r="E25" i="142" s="1"/>
  <c r="Q11" i="154"/>
  <c r="E25" i="154" s="1"/>
  <c r="O11" i="124"/>
  <c r="E25" i="124" s="1"/>
  <c r="E25" i="157"/>
  <c r="O11" i="136"/>
  <c r="E25" i="136" s="1"/>
  <c r="P11" i="159"/>
  <c r="E24" i="159" s="1"/>
  <c r="O11" i="138"/>
  <c r="E22" i="138" s="1"/>
  <c r="O11" i="104"/>
  <c r="E24" i="104" s="1"/>
  <c r="Q11" i="106"/>
  <c r="E25" i="106" s="1"/>
  <c r="O11" i="98"/>
  <c r="E25" i="98" s="1"/>
  <c r="O11" i="110"/>
  <c r="E25" i="110" s="1"/>
  <c r="Q11" i="121"/>
  <c r="E26" i="121" s="1"/>
  <c r="O11" i="114"/>
  <c r="E25" i="114" s="1"/>
  <c r="I20" i="120"/>
  <c r="I19" i="120"/>
  <c r="I18" i="120"/>
  <c r="U24" i="120" l="1"/>
  <c r="R47" i="157"/>
  <c r="S47" i="157"/>
  <c r="K47" i="157"/>
  <c r="L47" i="157" s="1"/>
  <c r="V47" i="157" s="1"/>
  <c r="J37" i="158"/>
  <c r="K37" i="158"/>
  <c r="L37" i="158" s="1"/>
  <c r="V37" i="158" s="1"/>
  <c r="J38" i="158"/>
  <c r="K38" i="158"/>
  <c r="L38" i="158" s="1"/>
  <c r="V38" i="158" s="1"/>
  <c r="S38" i="158"/>
  <c r="K36" i="159"/>
  <c r="L36" i="159" s="1"/>
  <c r="V36" i="159" s="1"/>
  <c r="K37" i="159"/>
  <c r="L37" i="159" s="1"/>
  <c r="V37" i="159" s="1"/>
  <c r="S37" i="159"/>
  <c r="AA9" i="120"/>
  <c r="AA9" i="142"/>
  <c r="Z9" i="142"/>
  <c r="Q31" i="142"/>
  <c r="AA9" i="104"/>
  <c r="Z9" i="104"/>
  <c r="AA9" i="110"/>
  <c r="Z9" i="110"/>
  <c r="I20" i="119"/>
  <c r="I19" i="119"/>
  <c r="I18" i="119"/>
  <c r="Q36" i="114"/>
  <c r="Q31" i="114"/>
  <c r="Q36" i="136"/>
  <c r="Q31" i="136"/>
  <c r="Q35" i="110"/>
  <c r="Q31" i="110"/>
  <c r="S35" i="154"/>
  <c r="S31" i="154"/>
  <c r="S33" i="98"/>
  <c r="S34" i="98"/>
  <c r="S32" i="98"/>
  <c r="S31" i="98"/>
  <c r="S29" i="98"/>
  <c r="S30" i="98"/>
  <c r="S26" i="98"/>
  <c r="S25" i="98"/>
  <c r="S19" i="98"/>
  <c r="S20" i="98"/>
  <c r="S21" i="98"/>
  <c r="S22" i="98"/>
  <c r="S23" i="98"/>
  <c r="S24" i="98"/>
  <c r="S18" i="98"/>
  <c r="S17" i="98"/>
  <c r="S27" i="98"/>
  <c r="S28" i="98"/>
  <c r="S35" i="98"/>
  <c r="S38" i="98"/>
  <c r="S37" i="98"/>
  <c r="S36" i="98"/>
  <c r="T43" i="121"/>
  <c r="S32" i="121"/>
  <c r="J30" i="138"/>
  <c r="R30" i="138"/>
  <c r="K33" i="158"/>
  <c r="S33" i="158"/>
  <c r="K32" i="159"/>
  <c r="S32" i="159"/>
  <c r="J34" i="142"/>
  <c r="R34" i="142"/>
  <c r="J34" i="114"/>
  <c r="R34" i="114"/>
  <c r="J34" i="136"/>
  <c r="R34" i="136"/>
  <c r="J34" i="124"/>
  <c r="R34" i="124"/>
  <c r="J34" i="110"/>
  <c r="R34" i="110"/>
  <c r="L34" i="154"/>
  <c r="T34" i="154"/>
  <c r="L35" i="121"/>
  <c r="T35" i="121"/>
  <c r="L34" i="106"/>
  <c r="T34" i="106"/>
  <c r="AA9" i="138"/>
  <c r="Z9" i="138"/>
  <c r="J33" i="104"/>
  <c r="R33" i="104"/>
  <c r="K34" i="157"/>
  <c r="S34" i="157"/>
  <c r="Q31" i="124"/>
  <c r="Q36" i="124"/>
  <c r="J26" i="120"/>
  <c r="K26" i="120" s="1"/>
  <c r="U26" i="120" s="1"/>
  <c r="Q32" i="138"/>
  <c r="S38" i="159"/>
  <c r="R38" i="159"/>
  <c r="K38" i="159"/>
  <c r="L38" i="159" s="1"/>
  <c r="J38" i="159"/>
  <c r="R37" i="159"/>
  <c r="R36" i="159"/>
  <c r="S36" i="159" s="1"/>
  <c r="T36" i="159" s="1"/>
  <c r="S35" i="159"/>
  <c r="R35" i="159"/>
  <c r="K35" i="159"/>
  <c r="L35" i="159" s="1"/>
  <c r="V35" i="159" s="1"/>
  <c r="J35" i="159"/>
  <c r="S34" i="159"/>
  <c r="R34" i="159"/>
  <c r="K34" i="159"/>
  <c r="L34" i="159" s="1"/>
  <c r="V34" i="159" s="1"/>
  <c r="P33" i="159"/>
  <c r="P41" i="159" s="1"/>
  <c r="L24" i="9" s="1"/>
  <c r="G19" i="159"/>
  <c r="AB7" i="159" s="1"/>
  <c r="K17" i="159"/>
  <c r="L17" i="159" s="1"/>
  <c r="V17" i="159" s="1"/>
  <c r="J17" i="159"/>
  <c r="K16" i="159"/>
  <c r="J16" i="159"/>
  <c r="P10" i="159"/>
  <c r="D9" i="159"/>
  <c r="P6" i="159"/>
  <c r="D4" i="159"/>
  <c r="D24" i="9" s="1"/>
  <c r="D9" i="158"/>
  <c r="G20" i="158"/>
  <c r="K18" i="158"/>
  <c r="L18" i="158" s="1"/>
  <c r="V18" i="158" s="1"/>
  <c r="S39" i="158"/>
  <c r="R39" i="158"/>
  <c r="K39" i="158"/>
  <c r="L39" i="158" s="1"/>
  <c r="V39" i="158" s="1"/>
  <c r="J39" i="158"/>
  <c r="R38" i="158"/>
  <c r="R37" i="158"/>
  <c r="S37" i="158" s="1"/>
  <c r="T37" i="158" s="1"/>
  <c r="S36" i="158"/>
  <c r="R36" i="158"/>
  <c r="K36" i="158"/>
  <c r="L36" i="158" s="1"/>
  <c r="V36" i="158" s="1"/>
  <c r="J36" i="158"/>
  <c r="S35" i="158"/>
  <c r="R35" i="158"/>
  <c r="K35" i="158"/>
  <c r="L35" i="158" s="1"/>
  <c r="V35" i="158" s="1"/>
  <c r="P34" i="158"/>
  <c r="P42" i="158" s="1"/>
  <c r="L25" i="9" s="1"/>
  <c r="K17" i="158"/>
  <c r="L17" i="158" s="1"/>
  <c r="V17" i="158" s="1"/>
  <c r="J17" i="158"/>
  <c r="K16" i="158"/>
  <c r="L16" i="158" s="1"/>
  <c r="V16" i="158" s="1"/>
  <c r="J16" i="158"/>
  <c r="P10" i="158"/>
  <c r="P6" i="158"/>
  <c r="D4" i="158"/>
  <c r="D25" i="9" s="1"/>
  <c r="Q36" i="142"/>
  <c r="G18" i="119"/>
  <c r="AA9" i="119" s="1"/>
  <c r="D9" i="119"/>
  <c r="G20" i="114"/>
  <c r="G19" i="136"/>
  <c r="G18" i="136"/>
  <c r="G19" i="124"/>
  <c r="G18" i="124"/>
  <c r="G20" i="136"/>
  <c r="G20" i="124"/>
  <c r="S43" i="121"/>
  <c r="AA7" i="159" l="1"/>
  <c r="Z9" i="136"/>
  <c r="AA9" i="124"/>
  <c r="Z9" i="124"/>
  <c r="I21" i="119"/>
  <c r="T47" i="157"/>
  <c r="D10" i="159"/>
  <c r="I32" i="159" s="1"/>
  <c r="L32" i="159" s="1"/>
  <c r="V32" i="159" s="1"/>
  <c r="AA9" i="158"/>
  <c r="R34" i="158"/>
  <c r="R33" i="159"/>
  <c r="Z9" i="119"/>
  <c r="T37" i="159"/>
  <c r="J34" i="158"/>
  <c r="D10" i="158"/>
  <c r="I19" i="158" s="1"/>
  <c r="AA9" i="136"/>
  <c r="T35" i="158"/>
  <c r="T38" i="158"/>
  <c r="T39" i="158"/>
  <c r="AB8" i="158" s="1"/>
  <c r="T34" i="159"/>
  <c r="U43" i="121"/>
  <c r="J33" i="159"/>
  <c r="T35" i="159"/>
  <c r="T38" i="159"/>
  <c r="AB8" i="159" s="1"/>
  <c r="AA8" i="159"/>
  <c r="V38" i="159"/>
  <c r="L16" i="159"/>
  <c r="AA9" i="159" s="1"/>
  <c r="T36" i="158"/>
  <c r="AA7" i="158"/>
  <c r="AA8" i="158"/>
  <c r="S31" i="106"/>
  <c r="Q36" i="110"/>
  <c r="R36" i="110"/>
  <c r="S36" i="154"/>
  <c r="T36" i="154"/>
  <c r="Q38" i="104"/>
  <c r="R38" i="104"/>
  <c r="R42" i="157"/>
  <c r="S42" i="157"/>
  <c r="R43" i="157"/>
  <c r="Q41" i="136"/>
  <c r="Q43" i="136"/>
  <c r="R43" i="136"/>
  <c r="S41" i="98"/>
  <c r="I33" i="158" l="1"/>
  <c r="L33" i="158" s="1"/>
  <c r="V33" i="158" s="1"/>
  <c r="D11" i="159"/>
  <c r="I28" i="159" s="1"/>
  <c r="S36" i="110"/>
  <c r="I18" i="159"/>
  <c r="K18" i="159" s="1"/>
  <c r="I19" i="159"/>
  <c r="K19" i="159" s="1"/>
  <c r="L19" i="159" s="1"/>
  <c r="I20" i="158"/>
  <c r="K20" i="158" s="1"/>
  <c r="L20" i="158" s="1"/>
  <c r="D11" i="158"/>
  <c r="I23" i="158" s="1"/>
  <c r="S43" i="136"/>
  <c r="V16" i="159"/>
  <c r="K19" i="158"/>
  <c r="L19" i="158" s="1"/>
  <c r="U36" i="154"/>
  <c r="S38" i="104"/>
  <c r="T42" i="157"/>
  <c r="S43" i="157"/>
  <c r="T43" i="157" s="1"/>
  <c r="R41" i="136"/>
  <c r="S41" i="136" s="1"/>
  <c r="I27" i="159" l="1"/>
  <c r="K27" i="159" s="1"/>
  <c r="L27" i="159" s="1"/>
  <c r="V27" i="159" s="1"/>
  <c r="I23" i="159"/>
  <c r="K23" i="159" s="1"/>
  <c r="L23" i="159" s="1"/>
  <c r="V23" i="159" s="1"/>
  <c r="I20" i="159"/>
  <c r="K20" i="159" s="1"/>
  <c r="L20" i="159" s="1"/>
  <c r="V20" i="159" s="1"/>
  <c r="I26" i="159"/>
  <c r="K26" i="159" s="1"/>
  <c r="L26" i="159" s="1"/>
  <c r="V26" i="159" s="1"/>
  <c r="I22" i="159"/>
  <c r="K22" i="159" s="1"/>
  <c r="L22" i="159" s="1"/>
  <c r="V22" i="159" s="1"/>
  <c r="I24" i="159"/>
  <c r="K24" i="159" s="1"/>
  <c r="L24" i="159" s="1"/>
  <c r="V24" i="159" s="1"/>
  <c r="I21" i="159"/>
  <c r="K21" i="159" s="1"/>
  <c r="L21" i="159" s="1"/>
  <c r="I31" i="159"/>
  <c r="K31" i="159" s="1"/>
  <c r="L31" i="159" s="1"/>
  <c r="V31" i="159" s="1"/>
  <c r="I29" i="159"/>
  <c r="K29" i="159" s="1"/>
  <c r="L29" i="159" s="1"/>
  <c r="V29" i="159" s="1"/>
  <c r="I30" i="159"/>
  <c r="K30" i="159" s="1"/>
  <c r="L30" i="159" s="1"/>
  <c r="V30" i="159" s="1"/>
  <c r="I25" i="159"/>
  <c r="I28" i="158"/>
  <c r="K28" i="158" s="1"/>
  <c r="L28" i="158" s="1"/>
  <c r="V28" i="158" s="1"/>
  <c r="I29" i="158"/>
  <c r="K29" i="158" s="1"/>
  <c r="L29" i="158" s="1"/>
  <c r="V29" i="158" s="1"/>
  <c r="I22" i="158"/>
  <c r="K22" i="158" s="1"/>
  <c r="L22" i="158" s="1"/>
  <c r="V22" i="158" s="1"/>
  <c r="I32" i="158"/>
  <c r="K32" i="158" s="1"/>
  <c r="L32" i="158" s="1"/>
  <c r="V32" i="158" s="1"/>
  <c r="I21" i="158"/>
  <c r="K21" i="158" s="1"/>
  <c r="L21" i="158" s="1"/>
  <c r="I30" i="158"/>
  <c r="K30" i="158" s="1"/>
  <c r="L30" i="158" s="1"/>
  <c r="V30" i="158" s="1"/>
  <c r="I26" i="158"/>
  <c r="K26" i="158" s="1"/>
  <c r="I27" i="158"/>
  <c r="K27" i="158" s="1"/>
  <c r="L27" i="158" s="1"/>
  <c r="V27" i="158" s="1"/>
  <c r="I25" i="158"/>
  <c r="K25" i="158" s="1"/>
  <c r="L25" i="158" s="1"/>
  <c r="V25" i="158" s="1"/>
  <c r="I31" i="158"/>
  <c r="K31" i="158" s="1"/>
  <c r="L31" i="158" s="1"/>
  <c r="V31" i="158" s="1"/>
  <c r="I24" i="158"/>
  <c r="K24" i="158" s="1"/>
  <c r="L24" i="158" s="1"/>
  <c r="V24" i="158" s="1"/>
  <c r="K25" i="159"/>
  <c r="L25" i="159" s="1"/>
  <c r="V25" i="159" s="1"/>
  <c r="V19" i="159"/>
  <c r="K28" i="159"/>
  <c r="L28" i="159" s="1"/>
  <c r="V28" i="159" s="1"/>
  <c r="L18" i="159"/>
  <c r="V20" i="158"/>
  <c r="V19" i="158"/>
  <c r="K23" i="158"/>
  <c r="L23" i="158" s="1"/>
  <c r="V23" i="158" s="1"/>
  <c r="I33" i="159" l="1"/>
  <c r="R15" i="159" s="1"/>
  <c r="R16" i="159" s="1"/>
  <c r="S16" i="159" s="1"/>
  <c r="T16" i="159" s="1"/>
  <c r="AB9" i="159" s="1"/>
  <c r="I34" i="158"/>
  <c r="R15" i="158" s="1"/>
  <c r="V21" i="159"/>
  <c r="AA6" i="159"/>
  <c r="K40" i="159"/>
  <c r="L39" i="159" s="1"/>
  <c r="V39" i="159" s="1"/>
  <c r="V18" i="159"/>
  <c r="L33" i="159"/>
  <c r="K41" i="158"/>
  <c r="L40" i="158" s="1"/>
  <c r="V40" i="158" s="1"/>
  <c r="V21" i="158"/>
  <c r="L26" i="158"/>
  <c r="V26" i="158" s="1"/>
  <c r="S46" i="157"/>
  <c r="R46" i="157"/>
  <c r="K46" i="157"/>
  <c r="L46" i="157" s="1"/>
  <c r="J46" i="157"/>
  <c r="S45" i="157"/>
  <c r="R45" i="157"/>
  <c r="K45" i="157"/>
  <c r="L45" i="157" s="1"/>
  <c r="J45" i="157"/>
  <c r="S44" i="157"/>
  <c r="R44" i="157"/>
  <c r="K44" i="157"/>
  <c r="L44" i="157" s="1"/>
  <c r="J44" i="157"/>
  <c r="K43" i="157"/>
  <c r="L43" i="157" s="1"/>
  <c r="J43" i="157"/>
  <c r="K42" i="157"/>
  <c r="L42" i="157" s="1"/>
  <c r="V42" i="157" s="1"/>
  <c r="R40" i="157"/>
  <c r="S40" i="157" s="1"/>
  <c r="K40" i="157"/>
  <c r="L40" i="157" s="1"/>
  <c r="AA9" i="157" s="1"/>
  <c r="S39" i="157"/>
  <c r="R39" i="157"/>
  <c r="K39" i="157"/>
  <c r="L39" i="157" s="1"/>
  <c r="J39" i="157"/>
  <c r="R41" i="157"/>
  <c r="S41" i="157" s="1"/>
  <c r="K41" i="157"/>
  <c r="L41" i="157" s="1"/>
  <c r="J41" i="157"/>
  <c r="S38" i="157"/>
  <c r="R38" i="157"/>
  <c r="K38" i="157"/>
  <c r="L38" i="157" s="1"/>
  <c r="J38" i="157"/>
  <c r="S37" i="157"/>
  <c r="R37" i="157"/>
  <c r="L37" i="157"/>
  <c r="K37" i="157"/>
  <c r="J37" i="157"/>
  <c r="S36" i="157"/>
  <c r="R36" i="157"/>
  <c r="K36" i="157"/>
  <c r="L36" i="157" s="1"/>
  <c r="J36" i="157"/>
  <c r="P35" i="157"/>
  <c r="P50" i="157" s="1"/>
  <c r="L8" i="9" s="1"/>
  <c r="R31" i="157"/>
  <c r="S31" i="157" s="1"/>
  <c r="K31" i="157"/>
  <c r="L31" i="157" s="1"/>
  <c r="K18" i="157"/>
  <c r="L18" i="157" s="1"/>
  <c r="J18" i="157"/>
  <c r="K17" i="157"/>
  <c r="L17" i="157" s="1"/>
  <c r="J17" i="157"/>
  <c r="K16" i="157"/>
  <c r="L16" i="157" s="1"/>
  <c r="J16" i="157"/>
  <c r="P10" i="157"/>
  <c r="D9" i="157"/>
  <c r="P6" i="157"/>
  <c r="D4" i="157"/>
  <c r="D8" i="9" s="1"/>
  <c r="AA5" i="159" l="1"/>
  <c r="AA10" i="159" s="1"/>
  <c r="AA6" i="158"/>
  <c r="L41" i="159"/>
  <c r="I42" i="158"/>
  <c r="J15" i="158"/>
  <c r="J18" i="158" s="1"/>
  <c r="R26" i="159"/>
  <c r="S26" i="159" s="1"/>
  <c r="T26" i="159" s="1"/>
  <c r="R24" i="159"/>
  <c r="S24" i="159" s="1"/>
  <c r="T24" i="159" s="1"/>
  <c r="R17" i="159"/>
  <c r="R18" i="159" s="1"/>
  <c r="S18" i="159" s="1"/>
  <c r="T18" i="159" s="1"/>
  <c r="R20" i="159"/>
  <c r="S20" i="159" s="1"/>
  <c r="T20" i="159" s="1"/>
  <c r="R32" i="159"/>
  <c r="T32" i="159" s="1"/>
  <c r="R23" i="159"/>
  <c r="S23" i="159" s="1"/>
  <c r="T23" i="159" s="1"/>
  <c r="I41" i="159"/>
  <c r="R31" i="159"/>
  <c r="S31" i="159" s="1"/>
  <c r="T31" i="159" s="1"/>
  <c r="R28" i="159"/>
  <c r="S28" i="159" s="1"/>
  <c r="J15" i="159"/>
  <c r="J29" i="159" s="1"/>
  <c r="R21" i="159"/>
  <c r="S21" i="159" s="1"/>
  <c r="T21" i="159" s="1"/>
  <c r="R22" i="159"/>
  <c r="S22" i="159" s="1"/>
  <c r="T22" i="159" s="1"/>
  <c r="R30" i="159"/>
  <c r="S30" i="159" s="1"/>
  <c r="T30" i="159" s="1"/>
  <c r="R29" i="159"/>
  <c r="S29" i="159" s="1"/>
  <c r="T29" i="159" s="1"/>
  <c r="R27" i="159"/>
  <c r="S27" i="159" s="1"/>
  <c r="T27" i="159" s="1"/>
  <c r="R25" i="159"/>
  <c r="S25" i="159" s="1"/>
  <c r="T25" i="159" s="1"/>
  <c r="R18" i="158"/>
  <c r="S18" i="158" s="1"/>
  <c r="T18" i="158" s="1"/>
  <c r="R16" i="158"/>
  <c r="S16" i="158" s="1"/>
  <c r="T16" i="158" s="1"/>
  <c r="AB9" i="158" s="1"/>
  <c r="R17" i="158"/>
  <c r="S17" i="158" s="1"/>
  <c r="T17" i="158" s="1"/>
  <c r="R35" i="157"/>
  <c r="J35" i="157"/>
  <c r="V33" i="159"/>
  <c r="V41" i="159" s="1"/>
  <c r="M24" i="9" s="1"/>
  <c r="V34" i="158"/>
  <c r="V42" i="158" s="1"/>
  <c r="M25" i="9" s="1"/>
  <c r="AA5" i="158"/>
  <c r="L34" i="158"/>
  <c r="L42" i="158" s="1"/>
  <c r="R28" i="158"/>
  <c r="R25" i="158"/>
  <c r="R29" i="158"/>
  <c r="R26" i="158"/>
  <c r="R33" i="158"/>
  <c r="T33" i="158" s="1"/>
  <c r="R31" i="158"/>
  <c r="R24" i="158"/>
  <c r="R23" i="158"/>
  <c r="R22" i="158"/>
  <c r="R21" i="158"/>
  <c r="R32" i="158"/>
  <c r="R30" i="158"/>
  <c r="R27" i="158"/>
  <c r="T38" i="157"/>
  <c r="V38" i="157" s="1"/>
  <c r="T45" i="157"/>
  <c r="T46" i="157"/>
  <c r="V46" i="157" s="1"/>
  <c r="T39" i="157"/>
  <c r="V39" i="157" s="1"/>
  <c r="T36" i="157"/>
  <c r="V36" i="157" s="1"/>
  <c r="T37" i="157"/>
  <c r="V37" i="157" s="1"/>
  <c r="T41" i="157"/>
  <c r="V41" i="157" s="1"/>
  <c r="T40" i="157"/>
  <c r="T44" i="157"/>
  <c r="V44" i="157" s="1"/>
  <c r="D10" i="157"/>
  <c r="I34" i="157" s="1"/>
  <c r="L34" i="157" s="1"/>
  <c r="V16" i="157"/>
  <c r="AA8" i="157"/>
  <c r="V43" i="157"/>
  <c r="T31" i="157"/>
  <c r="V31" i="157" s="1"/>
  <c r="AA11" i="159" l="1"/>
  <c r="AA10" i="158"/>
  <c r="I20" i="157"/>
  <c r="J23" i="159"/>
  <c r="J26" i="159"/>
  <c r="J24" i="158"/>
  <c r="J20" i="158"/>
  <c r="J25" i="158"/>
  <c r="J19" i="159"/>
  <c r="S17" i="159"/>
  <c r="T17" i="159" s="1"/>
  <c r="J24" i="159"/>
  <c r="J30" i="159"/>
  <c r="J33" i="158"/>
  <c r="J28" i="158"/>
  <c r="J30" i="158"/>
  <c r="J22" i="158"/>
  <c r="J26" i="158"/>
  <c r="J29" i="158"/>
  <c r="J21" i="158"/>
  <c r="J31" i="158"/>
  <c r="J23" i="158"/>
  <c r="J32" i="158"/>
  <c r="J19" i="158"/>
  <c r="J27" i="158"/>
  <c r="R20" i="158"/>
  <c r="S20" i="158" s="1"/>
  <c r="T20" i="158" s="1"/>
  <c r="AB7" i="158" s="1"/>
  <c r="R19" i="158"/>
  <c r="S19" i="158" s="1"/>
  <c r="T19" i="158" s="1"/>
  <c r="R19" i="159"/>
  <c r="S19" i="159" s="1"/>
  <c r="T19" i="159" s="1"/>
  <c r="J22" i="159"/>
  <c r="J21" i="159"/>
  <c r="J32" i="159"/>
  <c r="J20" i="159"/>
  <c r="J31" i="159"/>
  <c r="J25" i="159"/>
  <c r="T28" i="159"/>
  <c r="J28" i="159"/>
  <c r="J27" i="159"/>
  <c r="V40" i="157"/>
  <c r="AB9" i="157"/>
  <c r="I19" i="157"/>
  <c r="K19" i="157" s="1"/>
  <c r="L19" i="157" s="1"/>
  <c r="D11" i="157"/>
  <c r="I21" i="157" s="1"/>
  <c r="J18" i="159"/>
  <c r="S24" i="158"/>
  <c r="T24" i="158" s="1"/>
  <c r="S23" i="158"/>
  <c r="T23" i="158" s="1"/>
  <c r="S28" i="158"/>
  <c r="T28" i="158" s="1"/>
  <c r="S22" i="158"/>
  <c r="T22" i="158" s="1"/>
  <c r="S25" i="158"/>
  <c r="T25" i="158" s="1"/>
  <c r="S21" i="158"/>
  <c r="T21" i="158" s="1"/>
  <c r="S32" i="158"/>
  <c r="T32" i="158" s="1"/>
  <c r="S29" i="158"/>
  <c r="T29" i="158" s="1"/>
  <c r="AA11" i="158"/>
  <c r="S27" i="158"/>
  <c r="T27" i="158" s="1"/>
  <c r="S31" i="158"/>
  <c r="T31" i="158" s="1"/>
  <c r="S30" i="158"/>
  <c r="T30" i="158" s="1"/>
  <c r="S26" i="158"/>
  <c r="T26" i="158" s="1"/>
  <c r="AB8" i="157"/>
  <c r="V45" i="157"/>
  <c r="K20" i="157"/>
  <c r="L20" i="157" s="1"/>
  <c r="AB6" i="159" l="1"/>
  <c r="T33" i="159"/>
  <c r="S40" i="159"/>
  <c r="T39" i="159" s="1"/>
  <c r="AB5" i="159" s="1"/>
  <c r="I28" i="157"/>
  <c r="K28" i="157" s="1"/>
  <c r="L28" i="157" s="1"/>
  <c r="I29" i="157"/>
  <c r="K29" i="157" s="1"/>
  <c r="L29" i="157" s="1"/>
  <c r="I32" i="157"/>
  <c r="K32" i="157" s="1"/>
  <c r="L32" i="157" s="1"/>
  <c r="I33" i="157"/>
  <c r="K33" i="157" s="1"/>
  <c r="L33" i="157" s="1"/>
  <c r="I27" i="157"/>
  <c r="K27" i="157" s="1"/>
  <c r="L27" i="157" s="1"/>
  <c r="I24" i="157"/>
  <c r="K24" i="157" s="1"/>
  <c r="L24" i="157" s="1"/>
  <c r="I26" i="157"/>
  <c r="K26" i="157" s="1"/>
  <c r="L26" i="157" s="1"/>
  <c r="I22" i="157"/>
  <c r="K22" i="157" s="1"/>
  <c r="L22" i="157" s="1"/>
  <c r="I23" i="157"/>
  <c r="K23" i="157" s="1"/>
  <c r="L23" i="157" s="1"/>
  <c r="I25" i="157"/>
  <c r="I30" i="157"/>
  <c r="K30" i="157" s="1"/>
  <c r="L30" i="157" s="1"/>
  <c r="T34" i="158"/>
  <c r="AB6" i="158"/>
  <c r="S41" i="158"/>
  <c r="T40" i="158" s="1"/>
  <c r="AB5" i="158" s="1"/>
  <c r="AA7" i="157"/>
  <c r="K21" i="157"/>
  <c r="L21" i="157" s="1"/>
  <c r="AB10" i="159" l="1"/>
  <c r="I35" i="157"/>
  <c r="R15" i="157" s="1"/>
  <c r="K25" i="157"/>
  <c r="L25" i="157" s="1"/>
  <c r="T41" i="159"/>
  <c r="R18" i="157"/>
  <c r="R16" i="157"/>
  <c r="R17" i="157"/>
  <c r="R22" i="157"/>
  <c r="R23" i="157"/>
  <c r="R21" i="157"/>
  <c r="R32" i="157"/>
  <c r="R34" i="157"/>
  <c r="R33" i="157"/>
  <c r="AB10" i="158"/>
  <c r="T42" i="158"/>
  <c r="R24" i="157"/>
  <c r="R28" i="157"/>
  <c r="S28" i="157" s="1"/>
  <c r="T28" i="157" s="1"/>
  <c r="V28" i="157" s="1"/>
  <c r="R25" i="157"/>
  <c r="S25" i="157" s="1"/>
  <c r="T25" i="157" s="1"/>
  <c r="R30" i="157"/>
  <c r="S30" i="157" s="1"/>
  <c r="T30" i="157" s="1"/>
  <c r="R29" i="157"/>
  <c r="S29" i="157" s="1"/>
  <c r="T29" i="157" s="1"/>
  <c r="R27" i="157"/>
  <c r="R26" i="157"/>
  <c r="AA6" i="157"/>
  <c r="L35" i="157"/>
  <c r="K49" i="157" l="1"/>
  <c r="L48" i="157" s="1"/>
  <c r="AA5" i="157" s="1"/>
  <c r="AA10" i="157" s="1"/>
  <c r="J15" i="157"/>
  <c r="J28" i="157" s="1"/>
  <c r="I50" i="157"/>
  <c r="AB11" i="159"/>
  <c r="R20" i="157"/>
  <c r="S18" i="157"/>
  <c r="T18" i="157" s="1"/>
  <c r="V18" i="157" s="1"/>
  <c r="R19" i="157"/>
  <c r="S16" i="157"/>
  <c r="T16" i="157" s="1"/>
  <c r="S17" i="157"/>
  <c r="T17" i="157" s="1"/>
  <c r="V17" i="157" s="1"/>
  <c r="AB11" i="158"/>
  <c r="S26" i="157"/>
  <c r="T26" i="157" s="1"/>
  <c r="S27" i="157"/>
  <c r="T27" i="157" s="1"/>
  <c r="T34" i="157"/>
  <c r="V34" i="157" s="1"/>
  <c r="L50" i="157" l="1"/>
  <c r="AA11" i="157" s="1"/>
  <c r="J34" i="157"/>
  <c r="J21" i="157"/>
  <c r="J23" i="157"/>
  <c r="J26" i="157"/>
  <c r="J32" i="157"/>
  <c r="J30" i="157"/>
  <c r="J20" i="157"/>
  <c r="J22" i="157"/>
  <c r="J29" i="157"/>
  <c r="J19" i="157"/>
  <c r="J25" i="157"/>
  <c r="J33" i="157"/>
  <c r="J27" i="157"/>
  <c r="J31" i="157"/>
  <c r="J24" i="157"/>
  <c r="V26" i="157"/>
  <c r="S22" i="157"/>
  <c r="T22" i="157" s="1"/>
  <c r="V22" i="157" s="1"/>
  <c r="S33" i="157"/>
  <c r="T33" i="157" s="1"/>
  <c r="V33" i="157" s="1"/>
  <c r="V29" i="157"/>
  <c r="V27" i="157"/>
  <c r="S24" i="157"/>
  <c r="T24" i="157" s="1"/>
  <c r="V24" i="157" s="1"/>
  <c r="S19" i="157"/>
  <c r="S20" i="157"/>
  <c r="T20" i="157" s="1"/>
  <c r="S32" i="157"/>
  <c r="T32" i="157" s="1"/>
  <c r="V32" i="157" s="1"/>
  <c r="S23" i="157"/>
  <c r="T23" i="157" s="1"/>
  <c r="V23" i="157" s="1"/>
  <c r="V25" i="157"/>
  <c r="S21" i="157"/>
  <c r="T21" i="157" s="1"/>
  <c r="V21" i="157" s="1"/>
  <c r="V30" i="157"/>
  <c r="AB7" i="157" l="1"/>
  <c r="V20" i="157"/>
  <c r="S49" i="157"/>
  <c r="T48" i="157" s="1"/>
  <c r="T19" i="157"/>
  <c r="V19" i="157" s="1"/>
  <c r="V35" i="157" l="1"/>
  <c r="AB5" i="157"/>
  <c r="V48" i="157"/>
  <c r="AB6" i="157"/>
  <c r="T35" i="157"/>
  <c r="T50" i="157" s="1"/>
  <c r="AB10" i="157" l="1"/>
  <c r="AB11" i="157" s="1"/>
  <c r="V50" i="157"/>
  <c r="M8" i="9" s="1"/>
  <c r="J31" i="106" l="1"/>
  <c r="K31" i="106" s="1"/>
  <c r="Q36" i="121"/>
  <c r="Q48" i="121" s="1"/>
  <c r="L12" i="9" s="1"/>
  <c r="J30" i="104"/>
  <c r="K30" i="104" s="1"/>
  <c r="L28" i="98"/>
  <c r="M28" i="98" s="1"/>
  <c r="U28" i="98" s="1"/>
  <c r="L29" i="121"/>
  <c r="T29" i="121"/>
  <c r="M31" i="98"/>
  <c r="K36" i="98"/>
  <c r="M36" i="98" s="1"/>
  <c r="U36" i="98" s="1"/>
  <c r="K41" i="98"/>
  <c r="L41" i="98"/>
  <c r="K43" i="136"/>
  <c r="U43" i="136" s="1"/>
  <c r="M43" i="121"/>
  <c r="W43" i="121" s="1"/>
  <c r="J38" i="104"/>
  <c r="K38" i="104" s="1"/>
  <c r="U38" i="104" s="1"/>
  <c r="R32" i="138"/>
  <c r="S32" i="138" s="1"/>
  <c r="J32" i="138"/>
  <c r="K32" i="138" s="1"/>
  <c r="U32" i="138" s="1"/>
  <c r="R36" i="142"/>
  <c r="S36" i="142" s="1"/>
  <c r="U36" i="142" s="1"/>
  <c r="J36" i="142"/>
  <c r="K36" i="142" s="1"/>
  <c r="J36" i="136"/>
  <c r="K36" i="136" s="1"/>
  <c r="U36" i="136" s="1"/>
  <c r="R36" i="136"/>
  <c r="S36" i="136" s="1"/>
  <c r="R36" i="114"/>
  <c r="S36" i="114" s="1"/>
  <c r="J36" i="114"/>
  <c r="K36" i="114" s="1"/>
  <c r="U36" i="114" s="1"/>
  <c r="R36" i="124"/>
  <c r="S36" i="124" s="1"/>
  <c r="J36" i="124"/>
  <c r="K36" i="124" s="1"/>
  <c r="U36" i="124" s="1"/>
  <c r="J36" i="110"/>
  <c r="K36" i="110" s="1"/>
  <c r="U36" i="110" s="1"/>
  <c r="T40" i="154"/>
  <c r="S40" i="154"/>
  <c r="L40" i="154"/>
  <c r="M40" i="154" s="1"/>
  <c r="W40" i="154" s="1"/>
  <c r="K40" i="154"/>
  <c r="T39" i="154"/>
  <c r="S39" i="154"/>
  <c r="L39" i="154"/>
  <c r="M39" i="154" s="1"/>
  <c r="W39" i="154" s="1"/>
  <c r="K39" i="154"/>
  <c r="T38" i="154"/>
  <c r="S38" i="154"/>
  <c r="L38" i="154"/>
  <c r="M38" i="154" s="1"/>
  <c r="W38" i="154" s="1"/>
  <c r="K38" i="154"/>
  <c r="T37" i="154"/>
  <c r="S37" i="154"/>
  <c r="L37" i="154"/>
  <c r="M37" i="154" s="1"/>
  <c r="W37" i="154" s="1"/>
  <c r="K37" i="154"/>
  <c r="L36" i="154"/>
  <c r="M36" i="154" s="1"/>
  <c r="W36" i="154" s="1"/>
  <c r="K36" i="154"/>
  <c r="K31" i="154"/>
  <c r="Q35" i="154"/>
  <c r="Q43" i="154" s="1"/>
  <c r="L15" i="9" s="1"/>
  <c r="Q10" i="154"/>
  <c r="D9" i="154"/>
  <c r="G18" i="154" s="1"/>
  <c r="Q6" i="154"/>
  <c r="D4" i="154"/>
  <c r="D15" i="9" s="1"/>
  <c r="J31" i="98"/>
  <c r="J32" i="121"/>
  <c r="K32" i="121" s="1"/>
  <c r="J42" i="154"/>
  <c r="K18" i="154" s="1"/>
  <c r="S37" i="121"/>
  <c r="M37" i="121"/>
  <c r="W37" i="121" s="1"/>
  <c r="S36" i="106"/>
  <c r="T36" i="106"/>
  <c r="Q35" i="104"/>
  <c r="R35" i="104"/>
  <c r="K36" i="106"/>
  <c r="L36" i="106"/>
  <c r="M36" i="106" s="1"/>
  <c r="J35" i="104"/>
  <c r="K35" i="104" s="1"/>
  <c r="L9" i="9"/>
  <c r="D9" i="9"/>
  <c r="AD31" i="9"/>
  <c r="AD7" i="9"/>
  <c r="AB31" i="9"/>
  <c r="AC7" i="9"/>
  <c r="AB7" i="9"/>
  <c r="Z31" i="9"/>
  <c r="AA31" i="9"/>
  <c r="AC31" i="9"/>
  <c r="AA7" i="9"/>
  <c r="Z7" i="9"/>
  <c r="R40" i="142"/>
  <c r="Q40" i="142"/>
  <c r="J40" i="142"/>
  <c r="K40" i="142" s="1"/>
  <c r="R39" i="142"/>
  <c r="Q39" i="142"/>
  <c r="J39" i="142"/>
  <c r="K39" i="142" s="1"/>
  <c r="R38" i="142"/>
  <c r="Q38" i="142"/>
  <c r="J38" i="142"/>
  <c r="K38" i="142" s="1"/>
  <c r="R37" i="142"/>
  <c r="Q37" i="142"/>
  <c r="J37" i="142"/>
  <c r="K37" i="142" s="1"/>
  <c r="J31" i="142"/>
  <c r="K31" i="142" s="1"/>
  <c r="O35" i="142"/>
  <c r="O43" i="142" s="1"/>
  <c r="L22" i="9" s="1"/>
  <c r="J18" i="142"/>
  <c r="K18" i="142" s="1"/>
  <c r="J17" i="142"/>
  <c r="K17" i="142" s="1"/>
  <c r="J16" i="142"/>
  <c r="K16" i="142" s="1"/>
  <c r="O10" i="142"/>
  <c r="D9" i="142"/>
  <c r="O6" i="142"/>
  <c r="D4" i="142"/>
  <c r="D22" i="9" s="1"/>
  <c r="W31" i="9"/>
  <c r="AL26" i="9" s="1"/>
  <c r="X31" i="9"/>
  <c r="Y31" i="9"/>
  <c r="AE31" i="9"/>
  <c r="Y7" i="9"/>
  <c r="X7" i="9"/>
  <c r="W7" i="9"/>
  <c r="R37" i="138"/>
  <c r="Q37" i="138"/>
  <c r="J37" i="138"/>
  <c r="K37" i="138" s="1"/>
  <c r="Z8" i="138" s="1"/>
  <c r="R36" i="138"/>
  <c r="Q36" i="138"/>
  <c r="J36" i="138"/>
  <c r="K36" i="138" s="1"/>
  <c r="U36" i="138" s="1"/>
  <c r="Q35" i="138"/>
  <c r="R35" i="138" s="1"/>
  <c r="S35" i="138" s="1"/>
  <c r="J35" i="138"/>
  <c r="K35" i="138" s="1"/>
  <c r="U35" i="138" s="1"/>
  <c r="Q34" i="138"/>
  <c r="R34" i="138" s="1"/>
  <c r="S34" i="138" s="1"/>
  <c r="J34" i="138"/>
  <c r="K34" i="138" s="1"/>
  <c r="U34" i="138" s="1"/>
  <c r="R33" i="138"/>
  <c r="Q33" i="138"/>
  <c r="J33" i="138"/>
  <c r="K33" i="138" s="1"/>
  <c r="U33" i="138" s="1"/>
  <c r="O31" i="138"/>
  <c r="O40" i="138" s="1"/>
  <c r="L26" i="9" s="1"/>
  <c r="O10" i="138"/>
  <c r="AA7" i="138"/>
  <c r="Z7" i="138"/>
  <c r="O6" i="138"/>
  <c r="D4" i="138"/>
  <c r="D26" i="9" s="1"/>
  <c r="R45" i="136"/>
  <c r="Q45" i="136"/>
  <c r="J45" i="136"/>
  <c r="K45" i="136" s="1"/>
  <c r="U45" i="136" s="1"/>
  <c r="R44" i="136"/>
  <c r="Q44" i="136"/>
  <c r="S44" i="136" s="1"/>
  <c r="J44" i="136"/>
  <c r="K44" i="136" s="1"/>
  <c r="U44" i="136" s="1"/>
  <c r="R42" i="136"/>
  <c r="Q42" i="136"/>
  <c r="J42" i="136"/>
  <c r="K42" i="136" s="1"/>
  <c r="U42" i="136" s="1"/>
  <c r="J41" i="136"/>
  <c r="K41" i="136" s="1"/>
  <c r="U41" i="136" s="1"/>
  <c r="R40" i="136"/>
  <c r="Q40" i="136"/>
  <c r="J40" i="136"/>
  <c r="I40" i="136"/>
  <c r="R39" i="136"/>
  <c r="Q39" i="136"/>
  <c r="J39" i="136"/>
  <c r="I39" i="136"/>
  <c r="R38" i="136"/>
  <c r="Q38" i="136"/>
  <c r="J38" i="136"/>
  <c r="K38" i="136" s="1"/>
  <c r="U38" i="136" s="1"/>
  <c r="R37" i="136"/>
  <c r="Q37" i="136"/>
  <c r="Q35" i="136" s="1"/>
  <c r="J37" i="136"/>
  <c r="K37" i="136" s="1"/>
  <c r="U37" i="136" s="1"/>
  <c r="R31" i="136"/>
  <c r="S31" i="136" s="1"/>
  <c r="J31" i="136"/>
  <c r="K31" i="136" s="1"/>
  <c r="U31" i="136" s="1"/>
  <c r="O35" i="136"/>
  <c r="O48" i="136" s="1"/>
  <c r="L19" i="9" s="1"/>
  <c r="O10" i="136"/>
  <c r="O6" i="136"/>
  <c r="D10" i="136" s="1"/>
  <c r="D4" i="136"/>
  <c r="D19" i="9" s="1"/>
  <c r="R40" i="124"/>
  <c r="Q40" i="124"/>
  <c r="J40" i="124"/>
  <c r="K40" i="124" s="1"/>
  <c r="U40" i="124" s="1"/>
  <c r="R39" i="124"/>
  <c r="Q39" i="124"/>
  <c r="J39" i="124"/>
  <c r="K39" i="124" s="1"/>
  <c r="U39" i="124" s="1"/>
  <c r="R38" i="124"/>
  <c r="Q38" i="124"/>
  <c r="J38" i="124"/>
  <c r="K38" i="124" s="1"/>
  <c r="U38" i="124" s="1"/>
  <c r="R37" i="124"/>
  <c r="Q37" i="124"/>
  <c r="Q35" i="124" s="1"/>
  <c r="J37" i="124"/>
  <c r="K37" i="124" s="1"/>
  <c r="U37" i="124" s="1"/>
  <c r="J31" i="124"/>
  <c r="K31" i="124" s="1"/>
  <c r="U31" i="124" s="1"/>
  <c r="O35" i="124"/>
  <c r="O43" i="124" s="1"/>
  <c r="L18" i="9" s="1"/>
  <c r="O10" i="124"/>
  <c r="O6" i="124"/>
  <c r="D4" i="124"/>
  <c r="D18" i="9" s="1"/>
  <c r="T45" i="121"/>
  <c r="S45" i="121"/>
  <c r="L45" i="121"/>
  <c r="M45" i="121" s="1"/>
  <c r="K45" i="121"/>
  <c r="T44" i="121"/>
  <c r="S44" i="121"/>
  <c r="L44" i="121"/>
  <c r="M44" i="121" s="1"/>
  <c r="K44" i="121"/>
  <c r="T42" i="121"/>
  <c r="S42" i="121"/>
  <c r="L42" i="121"/>
  <c r="M42" i="121" s="1"/>
  <c r="K42" i="121"/>
  <c r="T41" i="121"/>
  <c r="S41" i="121"/>
  <c r="L41" i="121"/>
  <c r="I41" i="121"/>
  <c r="K41" i="121" s="1"/>
  <c r="T40" i="121"/>
  <c r="S40" i="121"/>
  <c r="L40" i="121"/>
  <c r="I40" i="121"/>
  <c r="T39" i="121"/>
  <c r="S39" i="121"/>
  <c r="L39" i="121"/>
  <c r="M39" i="121" s="1"/>
  <c r="K39" i="121"/>
  <c r="T38" i="121"/>
  <c r="S38" i="121"/>
  <c r="L38" i="121"/>
  <c r="M38" i="121" s="1"/>
  <c r="K38" i="121"/>
  <c r="T32" i="121"/>
  <c r="U32" i="121" s="1"/>
  <c r="L32" i="121"/>
  <c r="T34" i="121"/>
  <c r="L34" i="121"/>
  <c r="T33" i="121"/>
  <c r="L33" i="121"/>
  <c r="T31" i="121"/>
  <c r="L31" i="121"/>
  <c r="T30" i="121"/>
  <c r="L30" i="121"/>
  <c r="T28" i="121"/>
  <c r="L28" i="121"/>
  <c r="T27" i="121"/>
  <c r="L27" i="121"/>
  <c r="T26" i="121"/>
  <c r="L26" i="121"/>
  <c r="T25" i="121"/>
  <c r="L25" i="121"/>
  <c r="T24" i="121"/>
  <c r="L24" i="121"/>
  <c r="T23" i="121"/>
  <c r="L23" i="121"/>
  <c r="T22" i="121"/>
  <c r="L22" i="121"/>
  <c r="T21" i="121"/>
  <c r="L21" i="121"/>
  <c r="T20" i="121"/>
  <c r="L20" i="121"/>
  <c r="T19" i="121"/>
  <c r="L19" i="121"/>
  <c r="Q10" i="121"/>
  <c r="D9" i="121"/>
  <c r="G19" i="121" s="1"/>
  <c r="Q6" i="121"/>
  <c r="D4" i="121"/>
  <c r="D12" i="9" s="1"/>
  <c r="K40" i="121"/>
  <c r="F33" i="9"/>
  <c r="G33" i="9"/>
  <c r="H33" i="9"/>
  <c r="I33" i="9"/>
  <c r="J33" i="9"/>
  <c r="K33" i="9"/>
  <c r="O31" i="9"/>
  <c r="AL10" i="9" s="1"/>
  <c r="P31" i="9"/>
  <c r="AL12" i="9" s="1"/>
  <c r="Q31" i="9"/>
  <c r="AL14" i="9" s="1"/>
  <c r="R31" i="9"/>
  <c r="AL16" i="9" s="1"/>
  <c r="S31" i="9"/>
  <c r="AL18" i="9" s="1"/>
  <c r="T31" i="9"/>
  <c r="AL20" i="9" s="1"/>
  <c r="U31" i="9"/>
  <c r="AL22" i="9" s="1"/>
  <c r="V31" i="9"/>
  <c r="AL24" i="9" s="1"/>
  <c r="N31" i="9"/>
  <c r="AL8" i="9" s="1"/>
  <c r="I32" i="9"/>
  <c r="G32" i="9"/>
  <c r="H32" i="9"/>
  <c r="J32" i="9"/>
  <c r="K32" i="9"/>
  <c r="F32" i="9"/>
  <c r="I31" i="9"/>
  <c r="G31" i="9"/>
  <c r="H31" i="9"/>
  <c r="J31" i="9"/>
  <c r="K31" i="9"/>
  <c r="F31" i="9"/>
  <c r="F34" i="9" s="1"/>
  <c r="S29" i="120"/>
  <c r="O29" i="120"/>
  <c r="L23" i="9" s="1"/>
  <c r="J27" i="120"/>
  <c r="J25" i="120"/>
  <c r="K25" i="120" s="1"/>
  <c r="J23" i="120"/>
  <c r="K23" i="120" s="1"/>
  <c r="U23" i="120" s="1"/>
  <c r="J22" i="120"/>
  <c r="K22" i="120" s="1"/>
  <c r="U22" i="120" s="1"/>
  <c r="J21" i="120"/>
  <c r="K21" i="120" s="1"/>
  <c r="U21" i="120" s="1"/>
  <c r="J20" i="120"/>
  <c r="R19" i="120"/>
  <c r="Q19" i="120"/>
  <c r="J19" i="120"/>
  <c r="K19" i="120" s="1"/>
  <c r="U19" i="120" s="1"/>
  <c r="R18" i="120"/>
  <c r="Q18" i="120"/>
  <c r="J18" i="120"/>
  <c r="Q15" i="120"/>
  <c r="K20" i="120"/>
  <c r="U20" i="120" s="1"/>
  <c r="AA8" i="120"/>
  <c r="AA7" i="120"/>
  <c r="Z7" i="120"/>
  <c r="D4" i="120"/>
  <c r="D23" i="9" s="1"/>
  <c r="S23" i="119"/>
  <c r="O23" i="119"/>
  <c r="L21" i="9" s="1"/>
  <c r="R21" i="119"/>
  <c r="Q21" i="119"/>
  <c r="J21" i="119"/>
  <c r="R20" i="119"/>
  <c r="Q20" i="119"/>
  <c r="J20" i="119"/>
  <c r="K20" i="119" s="1"/>
  <c r="U20" i="119" s="1"/>
  <c r="R19" i="119"/>
  <c r="Q19" i="119"/>
  <c r="J19" i="119"/>
  <c r="K19" i="119" s="1"/>
  <c r="U19" i="119" s="1"/>
  <c r="R18" i="119"/>
  <c r="Q18" i="119"/>
  <c r="J18" i="119"/>
  <c r="Q15" i="119"/>
  <c r="D4" i="119"/>
  <c r="D21" i="9" s="1"/>
  <c r="V7" i="9"/>
  <c r="U7" i="9"/>
  <c r="T7" i="9"/>
  <c r="S7" i="9"/>
  <c r="R7" i="9"/>
  <c r="Q7" i="9"/>
  <c r="P7" i="9"/>
  <c r="O7" i="9"/>
  <c r="N7" i="9"/>
  <c r="Q36" i="104"/>
  <c r="Q37" i="104"/>
  <c r="Q39" i="104"/>
  <c r="R39" i="104" s="1"/>
  <c r="Q40" i="104"/>
  <c r="Q41" i="104"/>
  <c r="Q42" i="104"/>
  <c r="Q30" i="104"/>
  <c r="R30" i="104" s="1"/>
  <c r="S37" i="106"/>
  <c r="S38" i="106"/>
  <c r="S39" i="106"/>
  <c r="S40" i="106"/>
  <c r="T31" i="106"/>
  <c r="U31" i="106" s="1"/>
  <c r="S42" i="98"/>
  <c r="S43" i="98"/>
  <c r="S44" i="98"/>
  <c r="S39" i="98"/>
  <c r="Q38" i="110"/>
  <c r="Q39" i="110"/>
  <c r="Q40" i="110"/>
  <c r="Q37" i="110"/>
  <c r="Q38" i="114"/>
  <c r="Q39" i="114"/>
  <c r="Q40" i="114"/>
  <c r="Q37" i="114"/>
  <c r="Q35" i="114" s="1"/>
  <c r="R40" i="114"/>
  <c r="J40" i="114"/>
  <c r="K40" i="114" s="1"/>
  <c r="U40" i="114" s="1"/>
  <c r="R39" i="114"/>
  <c r="J39" i="114"/>
  <c r="K39" i="114" s="1"/>
  <c r="U39" i="114" s="1"/>
  <c r="R38" i="114"/>
  <c r="J38" i="114"/>
  <c r="K38" i="114" s="1"/>
  <c r="R37" i="114"/>
  <c r="J37" i="114"/>
  <c r="K37" i="114" s="1"/>
  <c r="U37" i="114" s="1"/>
  <c r="J31" i="114"/>
  <c r="K31" i="114" s="1"/>
  <c r="U31" i="114" s="1"/>
  <c r="O35" i="114"/>
  <c r="O43" i="114" s="1"/>
  <c r="L20" i="9" s="1"/>
  <c r="O10" i="114"/>
  <c r="O6" i="114"/>
  <c r="D4" i="114"/>
  <c r="D20" i="9" s="1"/>
  <c r="L17" i="9"/>
  <c r="D17" i="9"/>
  <c r="R40" i="110"/>
  <c r="J40" i="110"/>
  <c r="K40" i="110" s="1"/>
  <c r="U40" i="110" s="1"/>
  <c r="R39" i="110"/>
  <c r="J39" i="110"/>
  <c r="K39" i="110" s="1"/>
  <c r="R38" i="110"/>
  <c r="J38" i="110"/>
  <c r="K38" i="110" s="1"/>
  <c r="R37" i="110"/>
  <c r="J37" i="110"/>
  <c r="K37" i="110" s="1"/>
  <c r="U37" i="110" s="1"/>
  <c r="J31" i="110"/>
  <c r="K31" i="110" s="1"/>
  <c r="U31" i="110" s="1"/>
  <c r="O35" i="110"/>
  <c r="O43" i="110" s="1"/>
  <c r="L16" i="9" s="1"/>
  <c r="O10" i="110"/>
  <c r="D9" i="110"/>
  <c r="O6" i="110"/>
  <c r="D4" i="110"/>
  <c r="D16" i="9" s="1"/>
  <c r="L13" i="9"/>
  <c r="D13" i="9"/>
  <c r="K37" i="106"/>
  <c r="K38" i="106"/>
  <c r="K39" i="106"/>
  <c r="K40" i="106"/>
  <c r="T40" i="106"/>
  <c r="L40" i="106"/>
  <c r="M40" i="106" s="1"/>
  <c r="T39" i="106"/>
  <c r="L39" i="106"/>
  <c r="M39" i="106" s="1"/>
  <c r="T38" i="106"/>
  <c r="L38" i="106"/>
  <c r="M38" i="106" s="1"/>
  <c r="T37" i="106"/>
  <c r="L37" i="106"/>
  <c r="M37" i="106" s="1"/>
  <c r="Q35" i="106"/>
  <c r="Q43" i="106" s="1"/>
  <c r="L11" i="9" s="1"/>
  <c r="Q10" i="106"/>
  <c r="D9" i="106"/>
  <c r="G18" i="106" s="1"/>
  <c r="Q6" i="106"/>
  <c r="D4" i="106"/>
  <c r="D11" i="9" s="1"/>
  <c r="L19" i="98"/>
  <c r="M19" i="98" s="1"/>
  <c r="U19" i="98" s="1"/>
  <c r="L20" i="98"/>
  <c r="L21" i="98"/>
  <c r="M21" i="98" s="1"/>
  <c r="U21" i="98" s="1"/>
  <c r="L22" i="98"/>
  <c r="M22" i="98" s="1"/>
  <c r="U22" i="98" s="1"/>
  <c r="L23" i="98"/>
  <c r="M23" i="98" s="1"/>
  <c r="U23" i="98" s="1"/>
  <c r="L24" i="98"/>
  <c r="M24" i="98" s="1"/>
  <c r="U24" i="98" s="1"/>
  <c r="L25" i="98"/>
  <c r="L26" i="98"/>
  <c r="L27" i="98"/>
  <c r="L29" i="98"/>
  <c r="M29" i="98" s="1"/>
  <c r="U29" i="98" s="1"/>
  <c r="L30" i="98"/>
  <c r="L32" i="98"/>
  <c r="L18" i="98"/>
  <c r="M45" i="98"/>
  <c r="L17" i="98"/>
  <c r="R42" i="104"/>
  <c r="J42" i="104"/>
  <c r="K42" i="104" s="1"/>
  <c r="R41" i="104"/>
  <c r="J41" i="104"/>
  <c r="K41" i="104" s="1"/>
  <c r="R40" i="104"/>
  <c r="J40" i="104"/>
  <c r="K40" i="104" s="1"/>
  <c r="J39" i="104"/>
  <c r="K39" i="104" s="1"/>
  <c r="R37" i="104"/>
  <c r="J37" i="104"/>
  <c r="K37" i="104" s="1"/>
  <c r="R36" i="104"/>
  <c r="J36" i="104"/>
  <c r="K36" i="104" s="1"/>
  <c r="O34" i="104"/>
  <c r="O45" i="104" s="1"/>
  <c r="L10" i="9" s="1"/>
  <c r="J17" i="104"/>
  <c r="K17" i="104" s="1"/>
  <c r="J16" i="104"/>
  <c r="K16" i="104" s="1"/>
  <c r="O10" i="104"/>
  <c r="D9" i="104"/>
  <c r="O6" i="104"/>
  <c r="D4" i="104"/>
  <c r="D10" i="9" s="1"/>
  <c r="U45" i="98"/>
  <c r="L33" i="98"/>
  <c r="Q35" i="98"/>
  <c r="Q48" i="98" s="1"/>
  <c r="L14" i="9" s="1"/>
  <c r="L44" i="98"/>
  <c r="K44" i="98"/>
  <c r="L43" i="98"/>
  <c r="K43" i="98"/>
  <c r="L42" i="98"/>
  <c r="K42" i="98"/>
  <c r="L40" i="98"/>
  <c r="K40" i="98"/>
  <c r="L39" i="98"/>
  <c r="I39" i="98"/>
  <c r="K39" i="98" s="1"/>
  <c r="L38" i="98"/>
  <c r="I38" i="98"/>
  <c r="K38" i="98" s="1"/>
  <c r="L37" i="98"/>
  <c r="K37" i="98"/>
  <c r="K26" i="98"/>
  <c r="K25" i="98"/>
  <c r="O10" i="98"/>
  <c r="D9" i="98"/>
  <c r="G18" i="98" s="1"/>
  <c r="O6" i="98"/>
  <c r="D4" i="98"/>
  <c r="D14" i="9" s="1"/>
  <c r="E25" i="52"/>
  <c r="K17" i="52"/>
  <c r="L17" i="52" s="1"/>
  <c r="R17" i="52" s="1"/>
  <c r="K18" i="52"/>
  <c r="L18" i="52" s="1"/>
  <c r="R18" i="52" s="1"/>
  <c r="K34" i="52"/>
  <c r="L34" i="52" s="1"/>
  <c r="R34" i="52" s="1"/>
  <c r="K35" i="52"/>
  <c r="L35" i="52" s="1"/>
  <c r="R35" i="52" s="1"/>
  <c r="K36" i="52"/>
  <c r="K37" i="52"/>
  <c r="L37" i="52" s="1"/>
  <c r="R37" i="52" s="1"/>
  <c r="K38" i="52"/>
  <c r="K39" i="52"/>
  <c r="L39" i="52" s="1"/>
  <c r="R39" i="52" s="1"/>
  <c r="K40" i="52"/>
  <c r="K41" i="52"/>
  <c r="K42" i="52"/>
  <c r="L42" i="52" s="1"/>
  <c r="R42" i="52" s="1"/>
  <c r="D4" i="52"/>
  <c r="D9" i="52"/>
  <c r="P33" i="52"/>
  <c r="P45" i="52" s="1"/>
  <c r="N10" i="52"/>
  <c r="D10" i="52" s="1"/>
  <c r="N6" i="52"/>
  <c r="J17" i="52"/>
  <c r="J18" i="52"/>
  <c r="J16" i="52"/>
  <c r="J35" i="52"/>
  <c r="J37" i="52"/>
  <c r="J38" i="52"/>
  <c r="J39" i="52"/>
  <c r="J41" i="52"/>
  <c r="L41" i="52"/>
  <c r="R41" i="52" s="1"/>
  <c r="J42" i="52"/>
  <c r="J34" i="52"/>
  <c r="K16" i="52"/>
  <c r="L16" i="52" s="1"/>
  <c r="J40" i="52"/>
  <c r="B31" i="52"/>
  <c r="B30" i="52"/>
  <c r="D3" i="82"/>
  <c r="D4" i="82"/>
  <c r="D5" i="82"/>
  <c r="D6" i="82"/>
  <c r="D7" i="82"/>
  <c r="D8" i="82"/>
  <c r="D9" i="82"/>
  <c r="D10" i="82"/>
  <c r="D11" i="82"/>
  <c r="D12" i="82"/>
  <c r="D13" i="82"/>
  <c r="D14" i="82"/>
  <c r="D15" i="82"/>
  <c r="D16" i="82"/>
  <c r="D17" i="82"/>
  <c r="D18" i="82"/>
  <c r="D19" i="82"/>
  <c r="D20" i="82"/>
  <c r="D21" i="82"/>
  <c r="D22" i="82"/>
  <c r="D23" i="82"/>
  <c r="D24" i="82"/>
  <c r="D25" i="82"/>
  <c r="D26" i="82"/>
  <c r="D27" i="82"/>
  <c r="D28" i="82"/>
  <c r="D29" i="82"/>
  <c r="D30" i="82"/>
  <c r="D31" i="82"/>
  <c r="D32" i="82"/>
  <c r="D33" i="82"/>
  <c r="D34" i="82"/>
  <c r="D35" i="82"/>
  <c r="D36" i="82"/>
  <c r="D37" i="82"/>
  <c r="D38" i="82"/>
  <c r="D39" i="82"/>
  <c r="D40" i="82"/>
  <c r="D41" i="82"/>
  <c r="D42" i="82"/>
  <c r="D43" i="82"/>
  <c r="D44" i="82"/>
  <c r="D45" i="82"/>
  <c r="D46" i="82"/>
  <c r="D47" i="82"/>
  <c r="D48" i="82"/>
  <c r="D49" i="82"/>
  <c r="D50" i="82"/>
  <c r="D51" i="82"/>
  <c r="D52" i="82"/>
  <c r="D53" i="82"/>
  <c r="D54" i="82"/>
  <c r="D55" i="82"/>
  <c r="D56" i="82"/>
  <c r="D57" i="82"/>
  <c r="D58" i="82"/>
  <c r="D59" i="82"/>
  <c r="D2" i="82"/>
  <c r="C24" i="73"/>
  <c r="D24" i="73"/>
  <c r="E24" i="73"/>
  <c r="F24" i="73"/>
  <c r="G24" i="73"/>
  <c r="H24" i="73"/>
  <c r="B10" i="73"/>
  <c r="B11" i="73"/>
  <c r="B12" i="73"/>
  <c r="B13" i="73"/>
  <c r="B14" i="73"/>
  <c r="B15" i="73"/>
  <c r="B16" i="73"/>
  <c r="B17" i="73"/>
  <c r="B18" i="73"/>
  <c r="B19" i="73"/>
  <c r="B20" i="73"/>
  <c r="B21" i="73"/>
  <c r="B22" i="73"/>
  <c r="A1" i="50"/>
  <c r="J36" i="52"/>
  <c r="J33" i="52" s="1"/>
  <c r="S40" i="98"/>
  <c r="U31" i="98"/>
  <c r="L40" i="52"/>
  <c r="R40" i="52" s="1"/>
  <c r="L38" i="52"/>
  <c r="R38" i="52" s="1"/>
  <c r="L36" i="52"/>
  <c r="R36" i="52" s="1"/>
  <c r="U38" i="110"/>
  <c r="S19" i="119" l="1"/>
  <c r="M38" i="98"/>
  <c r="U38" i="98" s="1"/>
  <c r="D10" i="124"/>
  <c r="V8" i="52"/>
  <c r="V7" i="52"/>
  <c r="G34" i="9"/>
  <c r="H34" i="9"/>
  <c r="I20" i="52"/>
  <c r="D11" i="52"/>
  <c r="I32" i="52"/>
  <c r="L32" i="52" s="1"/>
  <c r="R32" i="52" s="1"/>
  <c r="I19" i="52"/>
  <c r="K19" i="52" s="1"/>
  <c r="K34" i="9"/>
  <c r="D10" i="121"/>
  <c r="D11" i="121" s="1"/>
  <c r="I31" i="121" s="1"/>
  <c r="K40" i="136"/>
  <c r="U40" i="136" s="1"/>
  <c r="M32" i="121"/>
  <c r="W32" i="121" s="1"/>
  <c r="D10" i="106"/>
  <c r="D11" i="106" s="1"/>
  <c r="I28" i="106" s="1"/>
  <c r="J34" i="9"/>
  <c r="U40" i="154"/>
  <c r="M41" i="98"/>
  <c r="U41" i="98" s="1"/>
  <c r="D10" i="104"/>
  <c r="I19" i="104" s="1"/>
  <c r="I34" i="9"/>
  <c r="AC9" i="121"/>
  <c r="AB9" i="121"/>
  <c r="U39" i="154"/>
  <c r="M42" i="98"/>
  <c r="U42" i="98" s="1"/>
  <c r="M44" i="98"/>
  <c r="U44" i="98" s="1"/>
  <c r="AC9" i="106"/>
  <c r="AB9" i="106"/>
  <c r="D10" i="114"/>
  <c r="I19" i="114" s="1"/>
  <c r="J19" i="114" s="1"/>
  <c r="K19" i="114" s="1"/>
  <c r="U19" i="114" s="1"/>
  <c r="U25" i="120"/>
  <c r="Z9" i="120"/>
  <c r="S33" i="138"/>
  <c r="S39" i="124"/>
  <c r="D10" i="110"/>
  <c r="I34" i="110" s="1"/>
  <c r="K34" i="110" s="1"/>
  <c r="U34" i="110" s="1"/>
  <c r="Z8" i="110"/>
  <c r="U39" i="110"/>
  <c r="S37" i="110"/>
  <c r="S40" i="110"/>
  <c r="AB9" i="154"/>
  <c r="AC9" i="154"/>
  <c r="D10" i="154"/>
  <c r="I19" i="154" s="1"/>
  <c r="L31" i="154"/>
  <c r="M31" i="154" s="1"/>
  <c r="W31" i="154" s="1"/>
  <c r="S18" i="120"/>
  <c r="AA6" i="120" s="1"/>
  <c r="R28" i="120"/>
  <c r="I29" i="120"/>
  <c r="Q35" i="142"/>
  <c r="U37" i="138"/>
  <c r="I34" i="136"/>
  <c r="K34" i="136" s="1"/>
  <c r="U34" i="136" s="1"/>
  <c r="I18" i="136"/>
  <c r="D11" i="136"/>
  <c r="I23" i="136" s="1"/>
  <c r="K39" i="136"/>
  <c r="U39" i="136" s="1"/>
  <c r="M40" i="98"/>
  <c r="U40" i="98" s="1"/>
  <c r="Z9" i="98"/>
  <c r="AA9" i="98"/>
  <c r="M37" i="98"/>
  <c r="U37" i="98" s="1"/>
  <c r="M39" i="98"/>
  <c r="U39" i="98" s="1"/>
  <c r="M43" i="98"/>
  <c r="U43" i="98" s="1"/>
  <c r="M40" i="121"/>
  <c r="M41" i="121"/>
  <c r="M25" i="98"/>
  <c r="U25" i="98" s="1"/>
  <c r="M26" i="98"/>
  <c r="U26" i="98" s="1"/>
  <c r="W44" i="121"/>
  <c r="U42" i="121"/>
  <c r="W42" i="121" s="1"/>
  <c r="U44" i="121"/>
  <c r="S36" i="121"/>
  <c r="Q34" i="104"/>
  <c r="S37" i="124"/>
  <c r="S40" i="124"/>
  <c r="Z8" i="120"/>
  <c r="K18" i="120"/>
  <c r="U18" i="120" s="1"/>
  <c r="S19" i="120"/>
  <c r="AA5" i="120" s="1"/>
  <c r="AA10" i="120" s="1"/>
  <c r="AA11" i="120" s="1"/>
  <c r="Q31" i="138"/>
  <c r="D10" i="138"/>
  <c r="D11" i="138" s="1"/>
  <c r="I29" i="138" s="1"/>
  <c r="J29" i="138" s="1"/>
  <c r="K29" i="138" s="1"/>
  <c r="U29" i="138" s="1"/>
  <c r="S36" i="138"/>
  <c r="S37" i="138"/>
  <c r="AA8" i="138" s="1"/>
  <c r="J28" i="120"/>
  <c r="K27" i="120" s="1"/>
  <c r="U27" i="120" s="1"/>
  <c r="S20" i="119"/>
  <c r="S21" i="119"/>
  <c r="AA5" i="119" s="1"/>
  <c r="R22" i="119"/>
  <c r="K18" i="119"/>
  <c r="Z7" i="119" s="1"/>
  <c r="S18" i="119"/>
  <c r="AA6" i="119" s="1"/>
  <c r="J22" i="119"/>
  <c r="S38" i="114"/>
  <c r="S37" i="114"/>
  <c r="G18" i="114"/>
  <c r="G19" i="114"/>
  <c r="Z8" i="114" s="1"/>
  <c r="S39" i="136"/>
  <c r="I20" i="121"/>
  <c r="J20" i="121" s="1"/>
  <c r="K20" i="121" s="1"/>
  <c r="M20" i="121" s="1"/>
  <c r="I35" i="121"/>
  <c r="M35" i="121" s="1"/>
  <c r="T31" i="154"/>
  <c r="U31" i="154" s="1"/>
  <c r="L47" i="121"/>
  <c r="M46" i="121" s="1"/>
  <c r="I20" i="106"/>
  <c r="J20" i="106" s="1"/>
  <c r="S41" i="104"/>
  <c r="U41" i="104" s="1"/>
  <c r="S39" i="114"/>
  <c r="S40" i="114"/>
  <c r="S45" i="136"/>
  <c r="S37" i="136"/>
  <c r="S42" i="136"/>
  <c r="S38" i="136"/>
  <c r="S40" i="136"/>
  <c r="R31" i="124"/>
  <c r="S31" i="124" s="1"/>
  <c r="S38" i="124"/>
  <c r="U37" i="154"/>
  <c r="U38" i="154"/>
  <c r="L46" i="98"/>
  <c r="S39" i="110"/>
  <c r="S38" i="110"/>
  <c r="D10" i="98"/>
  <c r="D11" i="98" s="1"/>
  <c r="U38" i="106"/>
  <c r="W38" i="106" s="1"/>
  <c r="U40" i="106"/>
  <c r="W40" i="106" s="1"/>
  <c r="U37" i="106"/>
  <c r="W37" i="106" s="1"/>
  <c r="S39" i="104"/>
  <c r="U39" i="104" s="1"/>
  <c r="U38" i="121"/>
  <c r="W38" i="121" s="1"/>
  <c r="U45" i="121"/>
  <c r="W45" i="121" s="1"/>
  <c r="U40" i="121"/>
  <c r="U41" i="121"/>
  <c r="W41" i="121" s="1"/>
  <c r="U39" i="121"/>
  <c r="W39" i="121" s="1"/>
  <c r="T47" i="121"/>
  <c r="U46" i="121" s="1"/>
  <c r="U39" i="106"/>
  <c r="U36" i="106"/>
  <c r="W36" i="106" s="1"/>
  <c r="S35" i="106"/>
  <c r="S37" i="104"/>
  <c r="S40" i="104"/>
  <c r="U40" i="104" s="1"/>
  <c r="S35" i="104"/>
  <c r="U35" i="104" s="1"/>
  <c r="S40" i="142"/>
  <c r="U40" i="142" s="1"/>
  <c r="D10" i="142"/>
  <c r="I20" i="142" s="1"/>
  <c r="J20" i="142" s="1"/>
  <c r="R31" i="142"/>
  <c r="S31" i="142" s="1"/>
  <c r="U31" i="142" s="1"/>
  <c r="S38" i="142"/>
  <c r="U38" i="142" s="1"/>
  <c r="S37" i="142"/>
  <c r="U37" i="142" s="1"/>
  <c r="S39" i="142"/>
  <c r="U39" i="142" s="1"/>
  <c r="L18" i="154"/>
  <c r="M18" i="154" s="1"/>
  <c r="B24" i="73"/>
  <c r="W39" i="106"/>
  <c r="AB8" i="106"/>
  <c r="AB8" i="154"/>
  <c r="C25" i="73"/>
  <c r="L31" i="106"/>
  <c r="M31" i="106" s="1"/>
  <c r="W31" i="106" s="1"/>
  <c r="I18" i="124"/>
  <c r="I19" i="124"/>
  <c r="I20" i="124"/>
  <c r="D11" i="124"/>
  <c r="I34" i="124"/>
  <c r="K34" i="124" s="1"/>
  <c r="U34" i="124" s="1"/>
  <c r="J18" i="136"/>
  <c r="K18" i="136" s="1"/>
  <c r="K20" i="52"/>
  <c r="R16" i="52"/>
  <c r="I20" i="154"/>
  <c r="K20" i="154" s="1"/>
  <c r="I34" i="154"/>
  <c r="D11" i="154"/>
  <c r="AB8" i="121"/>
  <c r="Z8" i="142"/>
  <c r="U38" i="114"/>
  <c r="AA8" i="98"/>
  <c r="S42" i="104"/>
  <c r="U42" i="104" s="1"/>
  <c r="R31" i="110"/>
  <c r="S31" i="110" s="1"/>
  <c r="S36" i="104"/>
  <c r="U36" i="104" s="1"/>
  <c r="I20" i="136"/>
  <c r="R31" i="114"/>
  <c r="S31" i="114" s="1"/>
  <c r="Z8" i="119"/>
  <c r="AA8" i="119"/>
  <c r="I19" i="136"/>
  <c r="U37" i="104"/>
  <c r="Z8" i="104"/>
  <c r="I33" i="104"/>
  <c r="K33" i="104" s="1"/>
  <c r="S30" i="104"/>
  <c r="U30" i="104" s="1"/>
  <c r="Z5" i="120" l="1"/>
  <c r="AC8" i="154"/>
  <c r="I19" i="106"/>
  <c r="J19" i="106" s="1"/>
  <c r="K19" i="106" s="1"/>
  <c r="I18" i="104"/>
  <c r="I34" i="106"/>
  <c r="K34" i="106" s="1"/>
  <c r="M34" i="106" s="1"/>
  <c r="Z8" i="98"/>
  <c r="I26" i="136"/>
  <c r="W40" i="121"/>
  <c r="I27" i="136"/>
  <c r="U29" i="120"/>
  <c r="M23" i="9" s="1"/>
  <c r="I33" i="136"/>
  <c r="D11" i="104"/>
  <c r="I21" i="121"/>
  <c r="J21" i="121" s="1"/>
  <c r="K21" i="121" s="1"/>
  <c r="M21" i="121" s="1"/>
  <c r="D11" i="114"/>
  <c r="I21" i="114" s="1"/>
  <c r="I30" i="52"/>
  <c r="I22" i="52"/>
  <c r="I21" i="52"/>
  <c r="I29" i="52"/>
  <c r="I24" i="52"/>
  <c r="I23" i="52"/>
  <c r="I31" i="52"/>
  <c r="I26" i="52"/>
  <c r="I25" i="52"/>
  <c r="I28" i="52"/>
  <c r="K28" i="52" s="1"/>
  <c r="L28" i="52" s="1"/>
  <c r="R28" i="52" s="1"/>
  <c r="I27" i="52"/>
  <c r="L19" i="52"/>
  <c r="R19" i="52" s="1"/>
  <c r="I18" i="114"/>
  <c r="I32" i="136"/>
  <c r="J32" i="136" s="1"/>
  <c r="K32" i="136" s="1"/>
  <c r="U32" i="136" s="1"/>
  <c r="K35" i="121"/>
  <c r="I25" i="136"/>
  <c r="J25" i="136" s="1"/>
  <c r="K25" i="136" s="1"/>
  <c r="I21" i="136"/>
  <c r="L20" i="52"/>
  <c r="Z6" i="119"/>
  <c r="I34" i="114"/>
  <c r="K34" i="114" s="1"/>
  <c r="U34" i="114" s="1"/>
  <c r="I20" i="114"/>
  <c r="J20" i="114"/>
  <c r="K20" i="114" s="1"/>
  <c r="U20" i="114" s="1"/>
  <c r="J18" i="114"/>
  <c r="AA9" i="114"/>
  <c r="Z9" i="114"/>
  <c r="D11" i="110"/>
  <c r="I24" i="110" s="1"/>
  <c r="J24" i="110" s="1"/>
  <c r="K24" i="110" s="1"/>
  <c r="U24" i="110" s="1"/>
  <c r="I19" i="110"/>
  <c r="J19" i="110" s="1"/>
  <c r="I20" i="110"/>
  <c r="J20" i="110" s="1"/>
  <c r="K20" i="110" s="1"/>
  <c r="Z6" i="120"/>
  <c r="Z10" i="120" s="1"/>
  <c r="K29" i="120"/>
  <c r="I28" i="136"/>
  <c r="I29" i="136"/>
  <c r="J29" i="136" s="1"/>
  <c r="K29" i="136" s="1"/>
  <c r="U29" i="136" s="1"/>
  <c r="I22" i="136"/>
  <c r="I24" i="136"/>
  <c r="I30" i="136"/>
  <c r="J30" i="136" s="1"/>
  <c r="K30" i="136" s="1"/>
  <c r="U30" i="136" s="1"/>
  <c r="W46" i="121"/>
  <c r="I22" i="138"/>
  <c r="J22" i="138" s="1"/>
  <c r="K22" i="138" s="1"/>
  <c r="U22" i="138" s="1"/>
  <c r="I25" i="138"/>
  <c r="J25" i="138" s="1"/>
  <c r="I26" i="138"/>
  <c r="J26" i="138" s="1"/>
  <c r="K26" i="138" s="1"/>
  <c r="U26" i="138" s="1"/>
  <c r="I28" i="138"/>
  <c r="I18" i="138"/>
  <c r="I30" i="138"/>
  <c r="K30" i="138" s="1"/>
  <c r="U30" i="138" s="1"/>
  <c r="I24" i="138"/>
  <c r="J24" i="138" s="1"/>
  <c r="K24" i="138" s="1"/>
  <c r="U24" i="138" s="1"/>
  <c r="I17" i="138"/>
  <c r="J17" i="138" s="1"/>
  <c r="K17" i="138" s="1"/>
  <c r="U17" i="138" s="1"/>
  <c r="I20" i="138"/>
  <c r="J20" i="138" s="1"/>
  <c r="K20" i="138" s="1"/>
  <c r="U20" i="138" s="1"/>
  <c r="I19" i="138"/>
  <c r="J19" i="138" s="1"/>
  <c r="K19" i="138" s="1"/>
  <c r="I16" i="138"/>
  <c r="J16" i="138" s="1"/>
  <c r="I21" i="138"/>
  <c r="J21" i="138" s="1"/>
  <c r="K21" i="138" s="1"/>
  <c r="U21" i="138" s="1"/>
  <c r="I27" i="138"/>
  <c r="J27" i="138" s="1"/>
  <c r="K27" i="138" s="1"/>
  <c r="U27" i="138" s="1"/>
  <c r="I23" i="138"/>
  <c r="J23" i="138" s="1"/>
  <c r="K23" i="138" s="1"/>
  <c r="U23" i="138" s="1"/>
  <c r="AA7" i="119"/>
  <c r="AA10" i="119" s="1"/>
  <c r="AA11" i="119" s="1"/>
  <c r="U18" i="119"/>
  <c r="K21" i="119"/>
  <c r="I23" i="119"/>
  <c r="AA8" i="114"/>
  <c r="Z8" i="136"/>
  <c r="AA8" i="136"/>
  <c r="I28" i="98"/>
  <c r="J28" i="98" s="1"/>
  <c r="K30" i="98"/>
  <c r="M30" i="98" s="1"/>
  <c r="U30" i="98" s="1"/>
  <c r="K27" i="98"/>
  <c r="M27" i="98" s="1"/>
  <c r="U27" i="98" s="1"/>
  <c r="AA8" i="110"/>
  <c r="I30" i="121"/>
  <c r="J30" i="121" s="1"/>
  <c r="K30" i="121" s="1"/>
  <c r="M30" i="121" s="1"/>
  <c r="I26" i="121"/>
  <c r="J26" i="121" s="1"/>
  <c r="K26" i="121" s="1"/>
  <c r="M26" i="121" s="1"/>
  <c r="I28" i="121"/>
  <c r="J28" i="121" s="1"/>
  <c r="K28" i="121" s="1"/>
  <c r="M28" i="121" s="1"/>
  <c r="I33" i="121"/>
  <c r="J33" i="121" s="1"/>
  <c r="K33" i="121" s="1"/>
  <c r="M33" i="121" s="1"/>
  <c r="I25" i="121"/>
  <c r="I23" i="121"/>
  <c r="I27" i="121"/>
  <c r="J27" i="121" s="1"/>
  <c r="K27" i="121" s="1"/>
  <c r="M27" i="121" s="1"/>
  <c r="I34" i="121"/>
  <c r="J34" i="121" s="1"/>
  <c r="K34" i="121" s="1"/>
  <c r="M34" i="121" s="1"/>
  <c r="I22" i="121"/>
  <c r="J22" i="121" s="1"/>
  <c r="I24" i="121"/>
  <c r="J24" i="121" s="1"/>
  <c r="K24" i="121" s="1"/>
  <c r="M24" i="121" s="1"/>
  <c r="I29" i="121"/>
  <c r="J29" i="121" s="1"/>
  <c r="K29" i="121" s="1"/>
  <c r="M29" i="121" s="1"/>
  <c r="K20" i="106"/>
  <c r="L20" i="106" s="1"/>
  <c r="M20" i="106" s="1"/>
  <c r="I25" i="106"/>
  <c r="J25" i="106" s="1"/>
  <c r="K25" i="106" s="1"/>
  <c r="L25" i="106" s="1"/>
  <c r="M25" i="106" s="1"/>
  <c r="I30" i="106"/>
  <c r="K30" i="106" s="1"/>
  <c r="L30" i="106" s="1"/>
  <c r="M30" i="106" s="1"/>
  <c r="I33" i="106"/>
  <c r="J33" i="106" s="1"/>
  <c r="I23" i="106"/>
  <c r="K23" i="106" s="1"/>
  <c r="L23" i="106" s="1"/>
  <c r="M23" i="106" s="1"/>
  <c r="I27" i="106"/>
  <c r="J27" i="106" s="1"/>
  <c r="I24" i="106"/>
  <c r="K24" i="106" s="1"/>
  <c r="L24" i="106" s="1"/>
  <c r="M24" i="106" s="1"/>
  <c r="I26" i="106"/>
  <c r="J26" i="106" s="1"/>
  <c r="K26" i="106" s="1"/>
  <c r="I29" i="106"/>
  <c r="J29" i="106" s="1"/>
  <c r="I21" i="106"/>
  <c r="J21" i="106" s="1"/>
  <c r="K21" i="106" s="1"/>
  <c r="I32" i="106"/>
  <c r="J32" i="106" s="1"/>
  <c r="K32" i="106" s="1"/>
  <c r="I22" i="106"/>
  <c r="J22" i="106" s="1"/>
  <c r="K22" i="106" s="1"/>
  <c r="AA8" i="104"/>
  <c r="I33" i="98"/>
  <c r="K33" i="98" s="1"/>
  <c r="M33" i="98" s="1"/>
  <c r="U33" i="98" s="1"/>
  <c r="I22" i="98"/>
  <c r="J22" i="98" s="1"/>
  <c r="I25" i="98"/>
  <c r="J25" i="98" s="1"/>
  <c r="I30" i="98"/>
  <c r="J30" i="98" s="1"/>
  <c r="I23" i="98"/>
  <c r="J23" i="98" s="1"/>
  <c r="I32" i="98"/>
  <c r="I26" i="98"/>
  <c r="J26" i="98" s="1"/>
  <c r="I21" i="98"/>
  <c r="J21" i="98" s="1"/>
  <c r="I20" i="98"/>
  <c r="K20" i="98" s="1"/>
  <c r="I24" i="98"/>
  <c r="J24" i="98" s="1"/>
  <c r="I34" i="98"/>
  <c r="K34" i="98" s="1"/>
  <c r="M34" i="98" s="1"/>
  <c r="U34" i="98" s="1"/>
  <c r="I29" i="98"/>
  <c r="J29" i="98" s="1"/>
  <c r="I27" i="98"/>
  <c r="J27" i="98" s="1"/>
  <c r="I19" i="98"/>
  <c r="J19" i="98" s="1"/>
  <c r="AC8" i="106"/>
  <c r="AC8" i="121"/>
  <c r="I34" i="142"/>
  <c r="K34" i="142" s="1"/>
  <c r="I19" i="142"/>
  <c r="J19" i="142" s="1"/>
  <c r="K20" i="142"/>
  <c r="Z7" i="142" s="1"/>
  <c r="D11" i="142"/>
  <c r="I22" i="142" s="1"/>
  <c r="U18" i="136"/>
  <c r="L19" i="106"/>
  <c r="M19" i="106" s="1"/>
  <c r="J27" i="136"/>
  <c r="K27" i="136" s="1"/>
  <c r="U27" i="136" s="1"/>
  <c r="W18" i="154"/>
  <c r="J28" i="106"/>
  <c r="K28" i="106" s="1"/>
  <c r="M34" i="154"/>
  <c r="W34" i="154" s="1"/>
  <c r="K34" i="154"/>
  <c r="J23" i="136"/>
  <c r="K23" i="136" s="1"/>
  <c r="U23" i="136" s="1"/>
  <c r="I24" i="154"/>
  <c r="K24" i="154" s="1"/>
  <c r="I21" i="154"/>
  <c r="K21" i="154" s="1"/>
  <c r="I26" i="154"/>
  <c r="K26" i="154" s="1"/>
  <c r="I25" i="154"/>
  <c r="K25" i="154" s="1"/>
  <c r="I29" i="154"/>
  <c r="K29" i="154" s="1"/>
  <c r="I27" i="154"/>
  <c r="K27" i="154" s="1"/>
  <c r="I22" i="154"/>
  <c r="K22" i="154" s="1"/>
  <c r="I23" i="154"/>
  <c r="K23" i="154" s="1"/>
  <c r="I32" i="154"/>
  <c r="K32" i="154" s="1"/>
  <c r="I33" i="154"/>
  <c r="K33" i="154" s="1"/>
  <c r="I30" i="154"/>
  <c r="K30" i="154" s="1"/>
  <c r="I28" i="154"/>
  <c r="K28" i="154" s="1"/>
  <c r="J18" i="124"/>
  <c r="K18" i="124" s="1"/>
  <c r="J19" i="124"/>
  <c r="K19" i="124" s="1"/>
  <c r="U19" i="124" s="1"/>
  <c r="J26" i="136"/>
  <c r="K26" i="136" s="1"/>
  <c r="U26" i="136" s="1"/>
  <c r="K18" i="114"/>
  <c r="J19" i="136"/>
  <c r="K19" i="136" s="1"/>
  <c r="U19" i="136" s="1"/>
  <c r="J20" i="136"/>
  <c r="K20" i="136" s="1"/>
  <c r="U20" i="136" s="1"/>
  <c r="K19" i="154"/>
  <c r="J20" i="124"/>
  <c r="K20" i="124" s="1"/>
  <c r="U20" i="124" s="1"/>
  <c r="J31" i="121"/>
  <c r="K31" i="121" s="1"/>
  <c r="M31" i="121" s="1"/>
  <c r="AA8" i="124"/>
  <c r="Z8" i="124"/>
  <c r="R20" i="52"/>
  <c r="J21" i="136"/>
  <c r="K21" i="136" s="1"/>
  <c r="L20" i="154"/>
  <c r="M20" i="154" s="1"/>
  <c r="I33" i="124"/>
  <c r="I26" i="124"/>
  <c r="I29" i="124"/>
  <c r="I22" i="124"/>
  <c r="I28" i="124"/>
  <c r="I24" i="124"/>
  <c r="I25" i="124"/>
  <c r="I27" i="124"/>
  <c r="I30" i="124"/>
  <c r="I21" i="124"/>
  <c r="I32" i="124"/>
  <c r="I23" i="124"/>
  <c r="J33" i="136"/>
  <c r="K33" i="136" s="1"/>
  <c r="U33" i="136" s="1"/>
  <c r="I31" i="104"/>
  <c r="I26" i="104"/>
  <c r="I32" i="104"/>
  <c r="I22" i="104"/>
  <c r="I24" i="104"/>
  <c r="I28" i="104"/>
  <c r="I25" i="104"/>
  <c r="I23" i="104"/>
  <c r="I27" i="104"/>
  <c r="I20" i="104"/>
  <c r="I29" i="104"/>
  <c r="I21" i="104"/>
  <c r="J19" i="104"/>
  <c r="K19" i="104" s="1"/>
  <c r="J18" i="104"/>
  <c r="I22" i="114" l="1"/>
  <c r="Z7" i="124"/>
  <c r="I32" i="114"/>
  <c r="I28" i="114"/>
  <c r="J28" i="114" s="1"/>
  <c r="K28" i="114" s="1"/>
  <c r="U28" i="114" s="1"/>
  <c r="K26" i="52"/>
  <c r="L26" i="52" s="1"/>
  <c r="R26" i="52" s="1"/>
  <c r="I25" i="114"/>
  <c r="J25" i="114" s="1"/>
  <c r="K25" i="114" s="1"/>
  <c r="U25" i="114" s="1"/>
  <c r="I33" i="114"/>
  <c r="J33" i="114" s="1"/>
  <c r="K33" i="114" s="1"/>
  <c r="U33" i="114" s="1"/>
  <c r="I27" i="114"/>
  <c r="K27" i="52"/>
  <c r="L27" i="52" s="1"/>
  <c r="R27" i="52" s="1"/>
  <c r="K31" i="52"/>
  <c r="L31" i="52" s="1"/>
  <c r="R31" i="52" s="1"/>
  <c r="K21" i="52"/>
  <c r="V6" i="52"/>
  <c r="I29" i="114"/>
  <c r="J29" i="114" s="1"/>
  <c r="K29" i="114" s="1"/>
  <c r="U29" i="114" s="1"/>
  <c r="I30" i="114"/>
  <c r="J30" i="114" s="1"/>
  <c r="K30" i="114" s="1"/>
  <c r="U30" i="114" s="1"/>
  <c r="I24" i="114"/>
  <c r="J24" i="114" s="1"/>
  <c r="K24" i="114" s="1"/>
  <c r="U24" i="114" s="1"/>
  <c r="I33" i="52"/>
  <c r="K23" i="52"/>
  <c r="L23" i="52" s="1"/>
  <c r="R23" i="52" s="1"/>
  <c r="K22" i="52"/>
  <c r="L22" i="52" s="1"/>
  <c r="R22" i="52" s="1"/>
  <c r="K29" i="52"/>
  <c r="L29" i="52" s="1"/>
  <c r="R29" i="52" s="1"/>
  <c r="I23" i="114"/>
  <c r="J23" i="114" s="1"/>
  <c r="K23" i="114" s="1"/>
  <c r="U23" i="114" s="1"/>
  <c r="I26" i="114"/>
  <c r="J26" i="114" s="1"/>
  <c r="K26" i="114" s="1"/>
  <c r="U26" i="114" s="1"/>
  <c r="K25" i="52"/>
  <c r="L25" i="52" s="1"/>
  <c r="R25" i="52" s="1"/>
  <c r="K24" i="52"/>
  <c r="L24" i="52"/>
  <c r="R24" i="52" s="1"/>
  <c r="K30" i="52"/>
  <c r="L30" i="52" s="1"/>
  <c r="R30" i="52" s="1"/>
  <c r="Z11" i="120"/>
  <c r="I33" i="142"/>
  <c r="J33" i="142" s="1"/>
  <c r="K33" i="142" s="1"/>
  <c r="I35" i="136"/>
  <c r="Q15" i="136" s="1"/>
  <c r="I25" i="142"/>
  <c r="J25" i="142" s="1"/>
  <c r="K25" i="142" s="1"/>
  <c r="I28" i="142"/>
  <c r="J28" i="142" s="1"/>
  <c r="K28" i="142" s="1"/>
  <c r="I32" i="142"/>
  <c r="J32" i="142" s="1"/>
  <c r="K32" i="142" s="1"/>
  <c r="J27" i="114"/>
  <c r="K27" i="114" s="1"/>
  <c r="U27" i="114" s="1"/>
  <c r="J32" i="114"/>
  <c r="K32" i="114" s="1"/>
  <c r="U32" i="114" s="1"/>
  <c r="J22" i="114"/>
  <c r="K22" i="114" s="1"/>
  <c r="J21" i="114"/>
  <c r="K21" i="114" s="1"/>
  <c r="I28" i="110"/>
  <c r="J28" i="110" s="1"/>
  <c r="K28" i="110" s="1"/>
  <c r="U28" i="110" s="1"/>
  <c r="I30" i="110"/>
  <c r="J30" i="110" s="1"/>
  <c r="K30" i="110" s="1"/>
  <c r="U30" i="110" s="1"/>
  <c r="I32" i="110"/>
  <c r="J32" i="110" s="1"/>
  <c r="I23" i="110"/>
  <c r="J23" i="110" s="1"/>
  <c r="K23" i="110" s="1"/>
  <c r="U23" i="110" s="1"/>
  <c r="I21" i="110"/>
  <c r="J21" i="110" s="1"/>
  <c r="K21" i="110" s="1"/>
  <c r="U21" i="110" s="1"/>
  <c r="I25" i="110"/>
  <c r="J25" i="110" s="1"/>
  <c r="K25" i="110" s="1"/>
  <c r="U25" i="110" s="1"/>
  <c r="I22" i="110"/>
  <c r="J22" i="110" s="1"/>
  <c r="K22" i="110" s="1"/>
  <c r="U22" i="110" s="1"/>
  <c r="I27" i="110"/>
  <c r="J27" i="110" s="1"/>
  <c r="I29" i="110"/>
  <c r="J29" i="110" s="1"/>
  <c r="K29" i="110" s="1"/>
  <c r="U29" i="110" s="1"/>
  <c r="I26" i="110"/>
  <c r="J26" i="110" s="1"/>
  <c r="K26" i="110" s="1"/>
  <c r="U26" i="110" s="1"/>
  <c r="I33" i="110"/>
  <c r="J33" i="110" s="1"/>
  <c r="K33" i="110" s="1"/>
  <c r="U33" i="110" s="1"/>
  <c r="J22" i="136"/>
  <c r="K22" i="136" s="1"/>
  <c r="J28" i="136"/>
  <c r="K28" i="136" s="1"/>
  <c r="U28" i="136" s="1"/>
  <c r="J24" i="136"/>
  <c r="K24" i="136" s="1"/>
  <c r="U24" i="136" s="1"/>
  <c r="Z7" i="136"/>
  <c r="I35" i="124"/>
  <c r="Q15" i="124" s="1"/>
  <c r="J28" i="138"/>
  <c r="K28" i="138" s="1"/>
  <c r="U28" i="138" s="1"/>
  <c r="J18" i="138"/>
  <c r="I31" i="138"/>
  <c r="Q15" i="138" s="1"/>
  <c r="K25" i="138"/>
  <c r="U25" i="138" s="1"/>
  <c r="K23" i="119"/>
  <c r="U21" i="119"/>
  <c r="U23" i="119" s="1"/>
  <c r="M21" i="9" s="1"/>
  <c r="Z5" i="119"/>
  <c r="Z10" i="119" s="1"/>
  <c r="K27" i="106"/>
  <c r="L27" i="106" s="1"/>
  <c r="M27" i="106" s="1"/>
  <c r="J25" i="121"/>
  <c r="K25" i="121" s="1"/>
  <c r="M25" i="121" s="1"/>
  <c r="K22" i="121"/>
  <c r="M22" i="121" s="1"/>
  <c r="I36" i="121"/>
  <c r="I48" i="121" s="1"/>
  <c r="J23" i="121"/>
  <c r="K23" i="121" s="1"/>
  <c r="M23" i="121" s="1"/>
  <c r="K33" i="106"/>
  <c r="L33" i="106" s="1"/>
  <c r="J42" i="106"/>
  <c r="K18" i="106" s="1"/>
  <c r="L18" i="106" s="1"/>
  <c r="M18" i="106" s="1"/>
  <c r="AB7" i="106" s="1"/>
  <c r="I35" i="106"/>
  <c r="I43" i="106" s="1"/>
  <c r="I34" i="104"/>
  <c r="Q15" i="104" s="1"/>
  <c r="W20" i="154"/>
  <c r="AB7" i="154"/>
  <c r="I35" i="98"/>
  <c r="S15" i="98" s="1"/>
  <c r="J20" i="98"/>
  <c r="M20" i="98" s="1"/>
  <c r="U20" i="98" s="1"/>
  <c r="J32" i="98"/>
  <c r="K32" i="98"/>
  <c r="M32" i="98" s="1"/>
  <c r="U32" i="98" s="1"/>
  <c r="J33" i="98"/>
  <c r="I23" i="142"/>
  <c r="J23" i="142" s="1"/>
  <c r="K23" i="142" s="1"/>
  <c r="I30" i="142"/>
  <c r="J30" i="142" s="1"/>
  <c r="I24" i="142"/>
  <c r="J24" i="142" s="1"/>
  <c r="K24" i="142" s="1"/>
  <c r="K19" i="142"/>
  <c r="I29" i="142"/>
  <c r="J29" i="142" s="1"/>
  <c r="I21" i="142"/>
  <c r="J21" i="142" s="1"/>
  <c r="K21" i="142" s="1"/>
  <c r="I27" i="142"/>
  <c r="J27" i="142" s="1"/>
  <c r="K27" i="142" s="1"/>
  <c r="I26" i="142"/>
  <c r="J26" i="142" s="1"/>
  <c r="U21" i="136"/>
  <c r="U18" i="124"/>
  <c r="L28" i="106"/>
  <c r="M28" i="106" s="1"/>
  <c r="L32" i="106"/>
  <c r="M32" i="106" s="1"/>
  <c r="L21" i="106"/>
  <c r="M21" i="106" s="1"/>
  <c r="U25" i="136"/>
  <c r="J32" i="124"/>
  <c r="K32" i="124" s="1"/>
  <c r="U32" i="124" s="1"/>
  <c r="U18" i="114"/>
  <c r="Z7" i="114"/>
  <c r="J22" i="142"/>
  <c r="K22" i="142" s="1"/>
  <c r="J30" i="124"/>
  <c r="K30" i="124" s="1"/>
  <c r="U30" i="124" s="1"/>
  <c r="J33" i="124"/>
  <c r="K33" i="124" s="1"/>
  <c r="U33" i="124" s="1"/>
  <c r="L28" i="154"/>
  <c r="M28" i="154" s="1"/>
  <c r="W28" i="154" s="1"/>
  <c r="L25" i="154"/>
  <c r="M25" i="154" s="1"/>
  <c r="W25" i="154" s="1"/>
  <c r="J21" i="124"/>
  <c r="K21" i="124" s="1"/>
  <c r="J26" i="124"/>
  <c r="K26" i="124" s="1"/>
  <c r="U26" i="124" s="1"/>
  <c r="L29" i="154"/>
  <c r="M29" i="154" s="1"/>
  <c r="W29" i="154" s="1"/>
  <c r="J23" i="124"/>
  <c r="K23" i="124" s="1"/>
  <c r="U23" i="124" s="1"/>
  <c r="L22" i="154"/>
  <c r="M22" i="154" s="1"/>
  <c r="W22" i="154" s="1"/>
  <c r="L32" i="154"/>
  <c r="M32" i="154" s="1"/>
  <c r="W32" i="154" s="1"/>
  <c r="I35" i="154"/>
  <c r="K29" i="106"/>
  <c r="U19" i="138"/>
  <c r="L27" i="154"/>
  <c r="M27" i="154" s="1"/>
  <c r="W27" i="154" s="1"/>
  <c r="J22" i="124"/>
  <c r="K22" i="124" s="1"/>
  <c r="U22" i="124" s="1"/>
  <c r="L19" i="154"/>
  <c r="K35" i="154"/>
  <c r="Z7" i="110"/>
  <c r="U20" i="110"/>
  <c r="J24" i="124"/>
  <c r="K24" i="124" s="1"/>
  <c r="U24" i="124" s="1"/>
  <c r="J29" i="124"/>
  <c r="K29" i="124" s="1"/>
  <c r="U29" i="124" s="1"/>
  <c r="J28" i="124"/>
  <c r="K28" i="124" s="1"/>
  <c r="U28" i="124" s="1"/>
  <c r="L23" i="154"/>
  <c r="M23" i="154" s="1"/>
  <c r="W23" i="154" s="1"/>
  <c r="U16" i="142"/>
  <c r="L26" i="106"/>
  <c r="M26" i="106" s="1"/>
  <c r="L24" i="154"/>
  <c r="M24" i="154" s="1"/>
  <c r="W24" i="154" s="1"/>
  <c r="J25" i="124"/>
  <c r="K25" i="124" s="1"/>
  <c r="U25" i="124" s="1"/>
  <c r="L22" i="106"/>
  <c r="M22" i="106" s="1"/>
  <c r="L33" i="154"/>
  <c r="M33" i="154" s="1"/>
  <c r="W33" i="154" s="1"/>
  <c r="L21" i="154"/>
  <c r="M21" i="154" s="1"/>
  <c r="J27" i="124"/>
  <c r="K27" i="124" s="1"/>
  <c r="U27" i="124" s="1"/>
  <c r="L30" i="154"/>
  <c r="M30" i="154" s="1"/>
  <c r="W30" i="154" s="1"/>
  <c r="L26" i="154"/>
  <c r="M26" i="154" s="1"/>
  <c r="W26" i="154" s="1"/>
  <c r="K16" i="138"/>
  <c r="K19" i="110"/>
  <c r="Z7" i="104"/>
  <c r="J32" i="104"/>
  <c r="K32" i="104" s="1"/>
  <c r="J25" i="104"/>
  <c r="K25" i="104" s="1"/>
  <c r="J31" i="104"/>
  <c r="K31" i="104" s="1"/>
  <c r="J20" i="104"/>
  <c r="K20" i="104" s="1"/>
  <c r="J26" i="104"/>
  <c r="K26" i="104" s="1"/>
  <c r="K18" i="104"/>
  <c r="J23" i="104"/>
  <c r="K23" i="104" s="1"/>
  <c r="J27" i="104"/>
  <c r="K27" i="104" s="1"/>
  <c r="J29" i="104"/>
  <c r="K29" i="104" s="1"/>
  <c r="J21" i="104"/>
  <c r="K21" i="104" s="1"/>
  <c r="J22" i="104"/>
  <c r="K22" i="104" s="1"/>
  <c r="J24" i="104"/>
  <c r="K24" i="104" s="1"/>
  <c r="J28" i="104"/>
  <c r="K28" i="104" s="1"/>
  <c r="K44" i="52" l="1"/>
  <c r="L43" i="52" s="1"/>
  <c r="R43" i="52" s="1"/>
  <c r="I45" i="52"/>
  <c r="J15" i="52"/>
  <c r="L21" i="52"/>
  <c r="V5" i="52"/>
  <c r="I35" i="114"/>
  <c r="K32" i="110"/>
  <c r="U32" i="110" s="1"/>
  <c r="Z6" i="138"/>
  <c r="J42" i="114"/>
  <c r="K41" i="114" s="1"/>
  <c r="U41" i="114" s="1"/>
  <c r="J47" i="136"/>
  <c r="K46" i="136" s="1"/>
  <c r="U46" i="136" s="1"/>
  <c r="I48" i="136"/>
  <c r="I43" i="124"/>
  <c r="U21" i="114"/>
  <c r="K35" i="114"/>
  <c r="U22" i="114"/>
  <c r="Z6" i="114"/>
  <c r="I43" i="114"/>
  <c r="Q15" i="114"/>
  <c r="I35" i="110"/>
  <c r="Q15" i="110" s="1"/>
  <c r="Q16" i="104"/>
  <c r="Q17" i="104"/>
  <c r="U22" i="136"/>
  <c r="U35" i="136" s="1"/>
  <c r="K35" i="136"/>
  <c r="Z6" i="136"/>
  <c r="J42" i="124"/>
  <c r="K41" i="124" s="1"/>
  <c r="U41" i="124" s="1"/>
  <c r="K43" i="154"/>
  <c r="S15" i="154"/>
  <c r="J47" i="121"/>
  <c r="K19" i="121" s="1"/>
  <c r="Q32" i="104"/>
  <c r="R32" i="104" s="1"/>
  <c r="S32" i="104" s="1"/>
  <c r="U32" i="104" s="1"/>
  <c r="Q31" i="104"/>
  <c r="R31" i="104" s="1"/>
  <c r="S31" i="104" s="1"/>
  <c r="U31" i="104" s="1"/>
  <c r="Q22" i="104"/>
  <c r="Q24" i="104"/>
  <c r="R24" i="104" s="1"/>
  <c r="S24" i="104" s="1"/>
  <c r="U24" i="104" s="1"/>
  <c r="Q26" i="104"/>
  <c r="Q28" i="104"/>
  <c r="R28" i="104" s="1"/>
  <c r="S28" i="104" s="1"/>
  <c r="U28" i="104" s="1"/>
  <c r="Q33" i="104"/>
  <c r="S33" i="104" s="1"/>
  <c r="U33" i="104" s="1"/>
  <c r="Q21" i="104"/>
  <c r="R21" i="104" s="1"/>
  <c r="S21" i="104" s="1"/>
  <c r="U21" i="104" s="1"/>
  <c r="Q23" i="104"/>
  <c r="R23" i="104" s="1"/>
  <c r="S23" i="104" s="1"/>
  <c r="U23" i="104" s="1"/>
  <c r="Q25" i="104"/>
  <c r="Q27" i="104"/>
  <c r="R27" i="104" s="1"/>
  <c r="S27" i="104" s="1"/>
  <c r="U27" i="104" s="1"/>
  <c r="Q20" i="104"/>
  <c r="R20" i="104" s="1"/>
  <c r="S20" i="104" s="1"/>
  <c r="J39" i="138"/>
  <c r="K38" i="138" s="1"/>
  <c r="U38" i="138" s="1"/>
  <c r="Q16" i="138"/>
  <c r="R16" i="138" s="1"/>
  <c r="S16" i="138" s="1"/>
  <c r="Q17" i="138"/>
  <c r="R17" i="138" s="1"/>
  <c r="S17" i="138" s="1"/>
  <c r="K18" i="138"/>
  <c r="U18" i="138" s="1"/>
  <c r="Q25" i="138"/>
  <c r="R25" i="138" s="1"/>
  <c r="S25" i="138" s="1"/>
  <c r="Q27" i="138"/>
  <c r="Q28" i="138"/>
  <c r="R28" i="138" s="1"/>
  <c r="S28" i="138" s="1"/>
  <c r="Q19" i="138"/>
  <c r="R19" i="138" s="1"/>
  <c r="S19" i="138" s="1"/>
  <c r="Q21" i="138"/>
  <c r="R21" i="138" s="1"/>
  <c r="S21" i="138" s="1"/>
  <c r="Q20" i="138"/>
  <c r="R20" i="138" s="1"/>
  <c r="S20" i="138" s="1"/>
  <c r="Q23" i="138"/>
  <c r="R23" i="138" s="1"/>
  <c r="S23" i="138" s="1"/>
  <c r="Q26" i="138"/>
  <c r="R26" i="138" s="1"/>
  <c r="S26" i="138" s="1"/>
  <c r="Q18" i="138"/>
  <c r="R18" i="138" s="1"/>
  <c r="S18" i="138" s="1"/>
  <c r="Q24" i="138"/>
  <c r="R24" i="138" s="1"/>
  <c r="S24" i="138" s="1"/>
  <c r="Q29" i="138"/>
  <c r="R29" i="138" s="1"/>
  <c r="S29" i="138" s="1"/>
  <c r="Q22" i="138"/>
  <c r="R22" i="138" s="1"/>
  <c r="S22" i="138" s="1"/>
  <c r="Q30" i="138"/>
  <c r="S30" i="138" s="1"/>
  <c r="I40" i="138"/>
  <c r="Z11" i="119"/>
  <c r="I48" i="98"/>
  <c r="M33" i="106"/>
  <c r="AB5" i="121"/>
  <c r="S15" i="106"/>
  <c r="S18" i="106" s="1"/>
  <c r="T18" i="106" s="1"/>
  <c r="Q29" i="104"/>
  <c r="R29" i="104" s="1"/>
  <c r="S29" i="104" s="1"/>
  <c r="U29" i="104" s="1"/>
  <c r="I45" i="104"/>
  <c r="Z5" i="98"/>
  <c r="J46" i="98"/>
  <c r="K18" i="98" s="1"/>
  <c r="M18" i="98" s="1"/>
  <c r="J42" i="110"/>
  <c r="K41" i="110" s="1"/>
  <c r="U41" i="110" s="1"/>
  <c r="K27" i="110"/>
  <c r="U27" i="110" s="1"/>
  <c r="I35" i="142"/>
  <c r="I43" i="142" s="1"/>
  <c r="K30" i="142"/>
  <c r="K26" i="142"/>
  <c r="K29" i="142"/>
  <c r="W21" i="154"/>
  <c r="I43" i="154"/>
  <c r="U19" i="110"/>
  <c r="L42" i="154"/>
  <c r="M41" i="154" s="1"/>
  <c r="W41" i="154" s="1"/>
  <c r="M19" i="154"/>
  <c r="K35" i="124"/>
  <c r="L29" i="106"/>
  <c r="M29" i="106" s="1"/>
  <c r="J44" i="104"/>
  <c r="K43" i="104" s="1"/>
  <c r="U16" i="138"/>
  <c r="U21" i="124"/>
  <c r="U35" i="124" s="1"/>
  <c r="Z5" i="124"/>
  <c r="J42" i="142"/>
  <c r="K41" i="142" s="1"/>
  <c r="Z5" i="142" s="1"/>
  <c r="K35" i="106"/>
  <c r="K43" i="106" s="1"/>
  <c r="Z6" i="124"/>
  <c r="U20" i="104"/>
  <c r="Z6" i="104"/>
  <c r="K34" i="104"/>
  <c r="R21" i="52" l="1"/>
  <c r="V4" i="52"/>
  <c r="V9" i="52" s="1"/>
  <c r="L33" i="52"/>
  <c r="J22" i="52"/>
  <c r="J28" i="52"/>
  <c r="J32" i="52"/>
  <c r="J24" i="52"/>
  <c r="J29" i="52"/>
  <c r="J31" i="52"/>
  <c r="J30" i="52"/>
  <c r="J19" i="52"/>
  <c r="J21" i="52"/>
  <c r="J27" i="52"/>
  <c r="J23" i="52"/>
  <c r="J25" i="52"/>
  <c r="J20" i="52"/>
  <c r="J26" i="52"/>
  <c r="Z6" i="110"/>
  <c r="U43" i="124"/>
  <c r="M18" i="9" s="1"/>
  <c r="K43" i="114"/>
  <c r="Z5" i="114"/>
  <c r="Z10" i="114" s="1"/>
  <c r="Z5" i="136"/>
  <c r="Z10" i="136" s="1"/>
  <c r="U48" i="136"/>
  <c r="M19" i="9" s="1"/>
  <c r="U35" i="114"/>
  <c r="U43" i="114" s="1"/>
  <c r="M20" i="9" s="1"/>
  <c r="K48" i="136"/>
  <c r="I43" i="110"/>
  <c r="K43" i="124"/>
  <c r="K31" i="138"/>
  <c r="K40" i="138" s="1"/>
  <c r="R16" i="104"/>
  <c r="S16" i="104" s="1"/>
  <c r="U16" i="104" s="1"/>
  <c r="Q18" i="104"/>
  <c r="R18" i="104" s="1"/>
  <c r="R17" i="104"/>
  <c r="S17" i="104" s="1"/>
  <c r="U17" i="104" s="1"/>
  <c r="Q19" i="104"/>
  <c r="R19" i="104" s="1"/>
  <c r="S19" i="104" s="1"/>
  <c r="AA7" i="104" s="1"/>
  <c r="U19" i="104"/>
  <c r="K36" i="121"/>
  <c r="K48" i="121" s="1"/>
  <c r="M19" i="121"/>
  <c r="M17" i="9"/>
  <c r="Z5" i="138"/>
  <c r="Z10" i="138" s="1"/>
  <c r="U31" i="138"/>
  <c r="U40" i="138" s="1"/>
  <c r="M26" i="9" s="1"/>
  <c r="R27" i="138"/>
  <c r="S27" i="138" s="1"/>
  <c r="S31" i="138" s="1"/>
  <c r="Z10" i="124"/>
  <c r="S34" i="106"/>
  <c r="U34" i="106" s="1"/>
  <c r="W34" i="106" s="1"/>
  <c r="S27" i="106"/>
  <c r="T27" i="106" s="1"/>
  <c r="U27" i="106" s="1"/>
  <c r="W27" i="106" s="1"/>
  <c r="S24" i="106"/>
  <c r="T24" i="106" s="1"/>
  <c r="U24" i="106" s="1"/>
  <c r="W24" i="106" s="1"/>
  <c r="S21" i="106"/>
  <c r="T21" i="106" s="1"/>
  <c r="U21" i="106" s="1"/>
  <c r="W21" i="106" s="1"/>
  <c r="S32" i="106"/>
  <c r="T32" i="106" s="1"/>
  <c r="U32" i="106" s="1"/>
  <c r="W32" i="106" s="1"/>
  <c r="S20" i="106"/>
  <c r="T20" i="106" s="1"/>
  <c r="U20" i="106" s="1"/>
  <c r="S33" i="106"/>
  <c r="T33" i="106" s="1"/>
  <c r="U33" i="106" s="1"/>
  <c r="W33" i="106" s="1"/>
  <c r="S26" i="106"/>
  <c r="T26" i="106" s="1"/>
  <c r="U26" i="106" s="1"/>
  <c r="W26" i="106" s="1"/>
  <c r="S30" i="106"/>
  <c r="T30" i="106" s="1"/>
  <c r="U30" i="106" s="1"/>
  <c r="W30" i="106" s="1"/>
  <c r="S28" i="106"/>
  <c r="T28" i="106" s="1"/>
  <c r="U28" i="106" s="1"/>
  <c r="W28" i="106" s="1"/>
  <c r="S25" i="106"/>
  <c r="T25" i="106" s="1"/>
  <c r="U25" i="106" s="1"/>
  <c r="W25" i="106" s="1"/>
  <c r="U18" i="106"/>
  <c r="W18" i="106" s="1"/>
  <c r="S23" i="106"/>
  <c r="T23" i="106" s="1"/>
  <c r="U23" i="106" s="1"/>
  <c r="W23" i="106" s="1"/>
  <c r="S29" i="106"/>
  <c r="T29" i="106" s="1"/>
  <c r="U29" i="106" s="1"/>
  <c r="L42" i="106"/>
  <c r="M41" i="106" s="1"/>
  <c r="S19" i="106"/>
  <c r="T19" i="106" s="1"/>
  <c r="U19" i="106" s="1"/>
  <c r="W19" i="106" s="1"/>
  <c r="S22" i="106"/>
  <c r="T22" i="106" s="1"/>
  <c r="U22" i="106" s="1"/>
  <c r="W22" i="106" s="1"/>
  <c r="W29" i="106"/>
  <c r="AB6" i="106"/>
  <c r="R26" i="104"/>
  <c r="S26" i="104" s="1"/>
  <c r="U26" i="104" s="1"/>
  <c r="R25" i="104"/>
  <c r="S25" i="104" s="1"/>
  <c r="U25" i="104" s="1"/>
  <c r="K35" i="98"/>
  <c r="K48" i="98" s="1"/>
  <c r="M17" i="98" s="1"/>
  <c r="M35" i="98" s="1"/>
  <c r="Z5" i="110"/>
  <c r="U35" i="110"/>
  <c r="U43" i="110" s="1"/>
  <c r="M16" i="9" s="1"/>
  <c r="K35" i="110"/>
  <c r="K43" i="110" s="1"/>
  <c r="R22" i="104"/>
  <c r="S22" i="104" s="1"/>
  <c r="U22" i="104" s="1"/>
  <c r="K35" i="142"/>
  <c r="K43" i="142" s="1"/>
  <c r="Z6" i="142"/>
  <c r="Z10" i="142" s="1"/>
  <c r="W19" i="154"/>
  <c r="W35" i="154" s="1"/>
  <c r="W43" i="154" s="1"/>
  <c r="M15" i="9" s="1"/>
  <c r="AB6" i="154"/>
  <c r="M35" i="154"/>
  <c r="M43" i="154" s="1"/>
  <c r="Z5" i="104"/>
  <c r="Z10" i="104" s="1"/>
  <c r="K45" i="104"/>
  <c r="AB5" i="154"/>
  <c r="M35" i="106"/>
  <c r="U18" i="98"/>
  <c r="Z7" i="98"/>
  <c r="L45" i="52" l="1"/>
  <c r="V10" i="52" s="1"/>
  <c r="R33" i="52"/>
  <c r="R45" i="52" s="1"/>
  <c r="Z10" i="110"/>
  <c r="Z11" i="110" s="1"/>
  <c r="Z11" i="136"/>
  <c r="Z11" i="114"/>
  <c r="Z11" i="124"/>
  <c r="AB10" i="154"/>
  <c r="AB11" i="154" s="1"/>
  <c r="S18" i="104"/>
  <c r="U18" i="104" s="1"/>
  <c r="U34" i="104" s="1"/>
  <c r="AC7" i="106"/>
  <c r="W20" i="106"/>
  <c r="AB7" i="121"/>
  <c r="M36" i="121"/>
  <c r="AB6" i="121"/>
  <c r="R39" i="138"/>
  <c r="S38" i="138" s="1"/>
  <c r="AA5" i="138" s="1"/>
  <c r="Z11" i="138"/>
  <c r="AA6" i="138"/>
  <c r="AB5" i="106"/>
  <c r="AB10" i="106" s="1"/>
  <c r="AC6" i="106"/>
  <c r="U35" i="106"/>
  <c r="T42" i="106"/>
  <c r="U41" i="106" s="1"/>
  <c r="AC5" i="106" s="1"/>
  <c r="Z11" i="104"/>
  <c r="Z6" i="98"/>
  <c r="Z10" i="98" s="1"/>
  <c r="U17" i="98"/>
  <c r="R44" i="104"/>
  <c r="S43" i="104" s="1"/>
  <c r="Z11" i="142"/>
  <c r="M48" i="98"/>
  <c r="U35" i="98"/>
  <c r="U48" i="98" s="1"/>
  <c r="M14" i="9" s="1"/>
  <c r="M43" i="106"/>
  <c r="W35" i="106"/>
  <c r="AB10" i="121" l="1"/>
  <c r="S34" i="104"/>
  <c r="S45" i="104" s="1"/>
  <c r="AA6" i="104"/>
  <c r="W41" i="106"/>
  <c r="W43" i="106" s="1"/>
  <c r="M11" i="9" s="1"/>
  <c r="AC10" i="106"/>
  <c r="AA5" i="104"/>
  <c r="U43" i="104"/>
  <c r="U45" i="104" s="1"/>
  <c r="M10" i="9" s="1"/>
  <c r="S15" i="121"/>
  <c r="M48" i="121"/>
  <c r="Z11" i="98"/>
  <c r="AA10" i="138"/>
  <c r="S40" i="138"/>
  <c r="AB11" i="106"/>
  <c r="U43" i="106"/>
  <c r="M13" i="9"/>
  <c r="AB11" i="121" l="1"/>
  <c r="AC11" i="106"/>
  <c r="AA10" i="104"/>
  <c r="AA11" i="104" s="1"/>
  <c r="S33" i="121"/>
  <c r="U33" i="121" s="1"/>
  <c r="W33" i="121" s="1"/>
  <c r="S25" i="121"/>
  <c r="U25" i="121" s="1"/>
  <c r="W25" i="121" s="1"/>
  <c r="S19" i="121"/>
  <c r="U19" i="121" s="1"/>
  <c r="W19" i="121" s="1"/>
  <c r="S26" i="121"/>
  <c r="U26" i="121" s="1"/>
  <c r="W26" i="121" s="1"/>
  <c r="S20" i="121"/>
  <c r="U20" i="121" s="1"/>
  <c r="W20" i="121" s="1"/>
  <c r="S23" i="121"/>
  <c r="U23" i="121" s="1"/>
  <c r="W23" i="121" s="1"/>
  <c r="S34" i="121"/>
  <c r="U34" i="121" s="1"/>
  <c r="W34" i="121" s="1"/>
  <c r="S29" i="121"/>
  <c r="U29" i="121" s="1"/>
  <c r="W29" i="121" s="1"/>
  <c r="S31" i="121"/>
  <c r="U31" i="121" s="1"/>
  <c r="W31" i="121" s="1"/>
  <c r="S28" i="121"/>
  <c r="U28" i="121" s="1"/>
  <c r="W28" i="121" s="1"/>
  <c r="S35" i="121"/>
  <c r="U35" i="121" s="1"/>
  <c r="W35" i="121" s="1"/>
  <c r="S24" i="121"/>
  <c r="U24" i="121" s="1"/>
  <c r="W24" i="121" s="1"/>
  <c r="S22" i="121"/>
  <c r="U22" i="121" s="1"/>
  <c r="S21" i="121"/>
  <c r="U21" i="121" s="1"/>
  <c r="S30" i="121"/>
  <c r="U30" i="121" s="1"/>
  <c r="W30" i="121" s="1"/>
  <c r="S27" i="121"/>
  <c r="U27" i="121" s="1"/>
  <c r="W27" i="121" s="1"/>
  <c r="AA11" i="138"/>
  <c r="M9" i="9" l="1"/>
  <c r="AC5" i="121"/>
  <c r="W22" i="121"/>
  <c r="AC7" i="121"/>
  <c r="W21" i="121"/>
  <c r="AC6" i="121"/>
  <c r="U36" i="121"/>
  <c r="U48" i="121" s="1"/>
  <c r="W36" i="121" l="1"/>
  <c r="W48" i="121" s="1"/>
  <c r="M12" i="9" s="1"/>
  <c r="AC10" i="121"/>
  <c r="AC11" i="121" s="1"/>
  <c r="AA6" i="98" l="1"/>
  <c r="AA5" i="98"/>
  <c r="AA7" i="98"/>
  <c r="AA10" i="98" l="1"/>
  <c r="AA11" i="98" s="1"/>
  <c r="Q30" i="110" l="1"/>
  <c r="R30" i="110" s="1"/>
  <c r="Q22" i="110"/>
  <c r="R22" i="110" s="1"/>
  <c r="Q33" i="110"/>
  <c r="R33" i="110" s="1"/>
  <c r="Q25" i="110"/>
  <c r="R25" i="110" s="1"/>
  <c r="S25" i="110" s="1"/>
  <c r="Q28" i="110"/>
  <c r="R28" i="110" s="1"/>
  <c r="S28" i="110" s="1"/>
  <c r="Q27" i="110"/>
  <c r="R27" i="110" s="1"/>
  <c r="S27" i="110" s="1"/>
  <c r="Q23" i="110"/>
  <c r="Q29" i="110"/>
  <c r="R29" i="110" s="1"/>
  <c r="S29" i="110" s="1"/>
  <c r="Q19" i="110"/>
  <c r="R19" i="110" s="1"/>
  <c r="Q24" i="110"/>
  <c r="Q21" i="110"/>
  <c r="R21" i="110" s="1"/>
  <c r="S21" i="110" s="1"/>
  <c r="R23" i="110" l="1"/>
  <c r="S23" i="110" s="1"/>
  <c r="R24" i="110"/>
  <c r="S24" i="110" s="1"/>
  <c r="Q26" i="110"/>
  <c r="S22" i="110"/>
  <c r="Q32" i="110"/>
  <c r="S30" i="110"/>
  <c r="S19" i="110"/>
  <c r="Q34" i="110"/>
  <c r="S34" i="110" s="1"/>
  <c r="S33" i="110"/>
  <c r="Q20" i="110"/>
  <c r="R26" i="110" l="1"/>
  <c r="S26" i="110" s="1"/>
  <c r="AA6" i="110" s="1"/>
  <c r="R20" i="110"/>
  <c r="R32" i="110"/>
  <c r="S32" i="110" s="1"/>
  <c r="R42" i="110" l="1"/>
  <c r="S41" i="110" s="1"/>
  <c r="AA5" i="110" s="1"/>
  <c r="S20" i="110"/>
  <c r="AA7" i="110" l="1"/>
  <c r="AA10" i="110" s="1"/>
  <c r="AA11" i="110" s="1"/>
  <c r="S35" i="110"/>
  <c r="S43" i="110" s="1"/>
  <c r="S26" i="154"/>
  <c r="S30" i="154" l="1"/>
  <c r="T30" i="154" s="1"/>
  <c r="U30" i="154" s="1"/>
  <c r="S19" i="154"/>
  <c r="T19" i="154" s="1"/>
  <c r="S27" i="154"/>
  <c r="T27" i="154" s="1"/>
  <c r="S22" i="154"/>
  <c r="T22" i="154" s="1"/>
  <c r="S21" i="154"/>
  <c r="T21" i="154" s="1"/>
  <c r="S32" i="154"/>
  <c r="T32" i="154" s="1"/>
  <c r="U32" i="154" s="1"/>
  <c r="T26" i="154"/>
  <c r="U26" i="154" s="1"/>
  <c r="S25" i="154"/>
  <c r="S29" i="154"/>
  <c r="S24" i="154"/>
  <c r="S20" i="154"/>
  <c r="S28" i="154"/>
  <c r="S33" i="154"/>
  <c r="S18" i="154"/>
  <c r="S23" i="154"/>
  <c r="S34" i="154"/>
  <c r="U34" i="154" s="1"/>
  <c r="U21" i="154" l="1"/>
  <c r="U22" i="154"/>
  <c r="U27" i="154"/>
  <c r="U19" i="154"/>
  <c r="T24" i="154"/>
  <c r="U24" i="154" s="1"/>
  <c r="T20" i="154"/>
  <c r="U20" i="154" s="1"/>
  <c r="T23" i="154"/>
  <c r="U23" i="154" s="1"/>
  <c r="T28" i="154"/>
  <c r="U28" i="154" s="1"/>
  <c r="T25" i="154"/>
  <c r="U25" i="154" s="1"/>
  <c r="T33" i="154"/>
  <c r="U33" i="154" s="1"/>
  <c r="T18" i="154"/>
  <c r="T29" i="154"/>
  <c r="U29" i="154" s="1"/>
  <c r="T42" i="154" l="1"/>
  <c r="U41" i="154" s="1"/>
  <c r="AC5" i="154" s="1"/>
  <c r="U18" i="154"/>
  <c r="AC6" i="154" s="1"/>
  <c r="U35" i="154" l="1"/>
  <c r="U43" i="154" s="1"/>
  <c r="AC7" i="154"/>
  <c r="AC10" i="154" s="1"/>
  <c r="AC11" i="154" s="1"/>
  <c r="Q24" i="124"/>
  <c r="R24" i="124" s="1"/>
  <c r="S24" i="124" s="1"/>
  <c r="Q30" i="124"/>
  <c r="R30" i="124" s="1"/>
  <c r="S30" i="124" s="1"/>
  <c r="Q28" i="124"/>
  <c r="Q22" i="124"/>
  <c r="Q34" i="124"/>
  <c r="S34" i="124" s="1"/>
  <c r="Q25" i="124"/>
  <c r="R25" i="124" s="1"/>
  <c r="Q21" i="124"/>
  <c r="R21" i="124" s="1"/>
  <c r="Q32" i="124"/>
  <c r="R32" i="124" s="1"/>
  <c r="Q29" i="124"/>
  <c r="S32" i="124" l="1"/>
  <c r="S25" i="124"/>
  <c r="R22" i="124"/>
  <c r="S22" i="124" s="1"/>
  <c r="R29" i="124"/>
  <c r="S29" i="124" s="1"/>
  <c r="Q20" i="124"/>
  <c r="S21" i="124"/>
  <c r="Q19" i="124"/>
  <c r="R28" i="124"/>
  <c r="S28" i="124" s="1"/>
  <c r="Q26" i="124"/>
  <c r="Q23" i="124"/>
  <c r="Q27" i="124"/>
  <c r="Q18" i="124"/>
  <c r="Q33" i="124"/>
  <c r="R27" i="124" l="1"/>
  <c r="S27" i="124" s="1"/>
  <c r="R18" i="124"/>
  <c r="S18" i="124" s="1"/>
  <c r="R20" i="124"/>
  <c r="S20" i="124" s="1"/>
  <c r="AA7" i="124" s="1"/>
  <c r="R23" i="124"/>
  <c r="S23" i="124" s="1"/>
  <c r="R33" i="124"/>
  <c r="S33" i="124" s="1"/>
  <c r="R19" i="124"/>
  <c r="S19" i="124" s="1"/>
  <c r="R26" i="124"/>
  <c r="S26" i="124" s="1"/>
  <c r="S35" i="124" l="1"/>
  <c r="AA6" i="124"/>
  <c r="R42" i="124"/>
  <c r="S41" i="124" s="1"/>
  <c r="AA5" i="124" s="1"/>
  <c r="Q29" i="136"/>
  <c r="S43" i="124" l="1"/>
  <c r="AA10" i="124"/>
  <c r="R29" i="136"/>
  <c r="S29" i="136" s="1"/>
  <c r="Q27" i="136"/>
  <c r="Q28" i="136"/>
  <c r="Q30" i="136"/>
  <c r="Q23" i="136"/>
  <c r="Q24" i="136"/>
  <c r="Q25" i="136"/>
  <c r="Q34" i="136"/>
  <c r="S34" i="136" s="1"/>
  <c r="Q22" i="136"/>
  <c r="Q18" i="136"/>
  <c r="Q20" i="136"/>
  <c r="Q21" i="136"/>
  <c r="Q19" i="136"/>
  <c r="Q26" i="136"/>
  <c r="Q33" i="136"/>
  <c r="Q32" i="136"/>
  <c r="AA11" i="124" l="1"/>
  <c r="R23" i="136"/>
  <c r="S23" i="136" s="1"/>
  <c r="R32" i="136"/>
  <c r="S32" i="136" s="1"/>
  <c r="R18" i="136"/>
  <c r="S18" i="136" s="1"/>
  <c r="R28" i="136"/>
  <c r="S28" i="136" s="1"/>
  <c r="R21" i="136"/>
  <c r="S21" i="136" s="1"/>
  <c r="R24" i="136"/>
  <c r="S24" i="136" s="1"/>
  <c r="R22" i="136"/>
  <c r="S22" i="136" s="1"/>
  <c r="R27" i="136"/>
  <c r="S27" i="136" s="1"/>
  <c r="R20" i="136"/>
  <c r="S20" i="136" s="1"/>
  <c r="R30" i="136"/>
  <c r="S30" i="136" s="1"/>
  <c r="R19" i="136"/>
  <c r="S19" i="136" s="1"/>
  <c r="R26" i="136"/>
  <c r="S26" i="136" s="1"/>
  <c r="R33" i="136"/>
  <c r="S33" i="136" s="1"/>
  <c r="R25" i="136"/>
  <c r="S25" i="136" s="1"/>
  <c r="AA7" i="136" l="1"/>
  <c r="S35" i="136"/>
  <c r="AA6" i="136"/>
  <c r="R47" i="136"/>
  <c r="S46" i="136" s="1"/>
  <c r="AA5" i="136" s="1"/>
  <c r="S48" i="136" l="1"/>
  <c r="AA10" i="136"/>
  <c r="Q25" i="114"/>
  <c r="Q22" i="114"/>
  <c r="R22" i="114" s="1"/>
  <c r="S22" i="114" s="1"/>
  <c r="Q26" i="114"/>
  <c r="Q19" i="114"/>
  <c r="Q24" i="114"/>
  <c r="Q34" i="114"/>
  <c r="S34" i="114" s="1"/>
  <c r="Q23" i="114"/>
  <c r="Q27" i="114"/>
  <c r="R27" i="114" s="1"/>
  <c r="S27" i="114" s="1"/>
  <c r="Q33" i="114"/>
  <c r="R33" i="114" s="1"/>
  <c r="Q32" i="114"/>
  <c r="Q30" i="114"/>
  <c r="AA11" i="136" l="1"/>
  <c r="R19" i="114"/>
  <c r="S19" i="114" s="1"/>
  <c r="S33" i="114"/>
  <c r="R30" i="114"/>
  <c r="S30" i="114" s="1"/>
  <c r="R25" i="114"/>
  <c r="S25" i="114" s="1"/>
  <c r="R32" i="114"/>
  <c r="S32" i="114" s="1"/>
  <c r="R23" i="114"/>
  <c r="S23" i="114" s="1"/>
  <c r="R26" i="114"/>
  <c r="S26" i="114" s="1"/>
  <c r="Q21" i="114"/>
  <c r="Q20" i="114"/>
  <c r="Q28" i="114"/>
  <c r="R24" i="114"/>
  <c r="S24" i="114" s="1"/>
  <c r="Q29" i="114"/>
  <c r="Q18" i="114"/>
  <c r="R18" i="114" l="1"/>
  <c r="R20" i="114"/>
  <c r="S20" i="114" s="1"/>
  <c r="R21" i="114"/>
  <c r="S21" i="114" s="1"/>
  <c r="R28" i="114"/>
  <c r="S28" i="114" s="1"/>
  <c r="R29" i="114"/>
  <c r="S29" i="114" s="1"/>
  <c r="AA5" i="114" l="1"/>
  <c r="R42" i="114"/>
  <c r="S41" i="114" s="1"/>
  <c r="S18" i="114"/>
  <c r="AA6" i="114" s="1"/>
  <c r="AA7" i="114" l="1"/>
  <c r="AA10" i="114" s="1"/>
  <c r="AA11" i="114" s="1"/>
  <c r="S35" i="114"/>
  <c r="S43" i="114" s="1"/>
  <c r="Q15" i="142"/>
  <c r="Q18" i="142" l="1"/>
  <c r="R18" i="142" s="1"/>
  <c r="S18" i="142" s="1"/>
  <c r="U18" i="142" s="1"/>
  <c r="Q16" i="142"/>
  <c r="Q17" i="142"/>
  <c r="Q34" i="142"/>
  <c r="S34" i="142" s="1"/>
  <c r="U34" i="142" s="1"/>
  <c r="Q32" i="142"/>
  <c r="Q33" i="142"/>
  <c r="Q28" i="142"/>
  <c r="R28" i="142" s="1"/>
  <c r="S28" i="142" s="1"/>
  <c r="U28" i="142" s="1"/>
  <c r="Q27" i="142"/>
  <c r="R27" i="142" s="1"/>
  <c r="Q26" i="142"/>
  <c r="Q24" i="142"/>
  <c r="Q23" i="142"/>
  <c r="Q21" i="142"/>
  <c r="Q22" i="142"/>
  <c r="Q30" i="142"/>
  <c r="Q29" i="142"/>
  <c r="Q25" i="142"/>
  <c r="R22" i="142"/>
  <c r="S22" i="142" s="1"/>
  <c r="U22" i="142" s="1"/>
  <c r="R16" i="142" l="1"/>
  <c r="S16" i="142" s="1"/>
  <c r="AA8" i="142" s="1"/>
  <c r="R17" i="142"/>
  <c r="S17" i="142" s="1"/>
  <c r="U17" i="142" s="1"/>
  <c r="Q19" i="142"/>
  <c r="R19" i="142" s="1"/>
  <c r="Q20" i="142"/>
  <c r="R20" i="142" s="1"/>
  <c r="S27" i="142"/>
  <c r="U27" i="142" s="1"/>
  <c r="R21" i="142"/>
  <c r="S21" i="142" s="1"/>
  <c r="R24" i="142"/>
  <c r="S24" i="142" s="1"/>
  <c r="U24" i="142" s="1"/>
  <c r="R23" i="142"/>
  <c r="S23" i="142" s="1"/>
  <c r="U23" i="142" s="1"/>
  <c r="R29" i="142"/>
  <c r="S29" i="142" s="1"/>
  <c r="U29" i="142" s="1"/>
  <c r="R25" i="142"/>
  <c r="S25" i="142" s="1"/>
  <c r="R30" i="142"/>
  <c r="S30" i="142" s="1"/>
  <c r="U30" i="142" s="1"/>
  <c r="R32" i="142"/>
  <c r="S32" i="142" s="1"/>
  <c r="U32" i="142" s="1"/>
  <c r="R33" i="142"/>
  <c r="S33" i="142" s="1"/>
  <c r="U33" i="142" s="1"/>
  <c r="R26" i="142"/>
  <c r="S26" i="142" s="1"/>
  <c r="U26" i="142" s="1"/>
  <c r="S19" i="142" l="1"/>
  <c r="U19" i="142" s="1"/>
  <c r="U25" i="142"/>
  <c r="U21" i="142"/>
  <c r="R42" i="142"/>
  <c r="S41" i="142" s="1"/>
  <c r="U41" i="142" s="1"/>
  <c r="S20" i="142"/>
  <c r="AA6" i="142" l="1"/>
  <c r="AA5" i="142"/>
  <c r="U20" i="142"/>
  <c r="U35" i="142" s="1"/>
  <c r="U43" i="142" s="1"/>
  <c r="M22" i="9" s="1"/>
  <c r="AA7" i="142"/>
  <c r="S35" i="142"/>
  <c r="S43" i="142" s="1"/>
  <c r="AA10" i="142" l="1"/>
  <c r="AA11" i="142" s="1"/>
  <c r="M33" i="194" l="1"/>
  <c r="M44" i="19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Ryan Mendoza</author>
  </authors>
  <commentList>
    <comment ref="E11" authorId="0" shapeId="0" xr:uid="{00000000-0006-0000-0800-000001000000}">
      <text>
        <r>
          <rPr>
            <b/>
            <sz val="8"/>
            <color indexed="81"/>
            <rFont val="Tahoma"/>
            <family val="2"/>
          </rPr>
          <t>However, per PC 1203.1d (e), any addition or increase after 1/1/09 will be l</t>
        </r>
        <r>
          <rPr>
            <b/>
            <u/>
            <sz val="8"/>
            <color indexed="81"/>
            <rFont val="Tahoma"/>
            <family val="2"/>
          </rPr>
          <t>ast distrib priority</t>
        </r>
        <r>
          <rPr>
            <b/>
            <sz val="8"/>
            <color indexed="81"/>
            <rFont val="Tahoma"/>
            <family val="2"/>
          </rPr>
          <t>.  &lt;AWAITING OGC opinion by Jasmin&gt;</t>
        </r>
        <r>
          <rPr>
            <sz val="8"/>
            <color indexed="81"/>
            <rFont val="Tahoma"/>
            <family val="2"/>
          </rPr>
          <t xml:space="preserve">
</t>
        </r>
      </text>
    </comment>
    <comment ref="F17" authorId="0" shapeId="0" xr:uid="{00000000-0006-0000-0800-000002000000}">
      <text>
        <r>
          <rPr>
            <sz val="8"/>
            <color indexed="81"/>
            <rFont val="Tahoma"/>
            <family val="2"/>
          </rPr>
          <t xml:space="preserve">Sunset changed to 7/1/13 per SB 78 Ch.10.  If not extended fee will revert to $30.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Ryan Mendoza</author>
    <author>AOC User</author>
  </authors>
  <commentList>
    <comment ref="S5" authorId="0" shapeId="0" xr:uid="{00000000-0006-0000-1F00-000001000000}">
      <text>
        <r>
          <rPr>
            <b/>
            <sz val="9"/>
            <color indexed="81"/>
            <rFont val="Tahoma"/>
            <family val="2"/>
          </rPr>
          <t>IF FINE IS NOT STANDARD (Not BASE-UP), ENSURE THE BASE FINE ENTERED IS DIVISIBLE BY 10 FOR A MORE ACCURATE IAS TOP-DOWN.</t>
        </r>
        <r>
          <rPr>
            <sz val="9"/>
            <color indexed="81"/>
            <rFont val="Tahoma"/>
            <family val="2"/>
          </rPr>
          <t xml:space="preserve">
</t>
        </r>
      </text>
    </comment>
    <comment ref="D8" authorId="0" shapeId="0" xr:uid="{00000000-0006-0000-1F00-000002000000}">
      <text>
        <r>
          <rPr>
            <b/>
            <sz val="8"/>
            <color indexed="81"/>
            <rFont val="Tahoma"/>
            <family val="2"/>
          </rPr>
          <t>If CITY ARREST, Enter County % under PC 1463.002 list. Else, enter 100.</t>
        </r>
        <r>
          <rPr>
            <sz val="8"/>
            <color indexed="81"/>
            <rFont val="Tahoma"/>
            <family val="2"/>
          </rPr>
          <t xml:space="preserve">
</t>
        </r>
      </text>
    </comment>
    <comment ref="C31" authorId="1" shapeId="0" xr:uid="{00000000-0006-0000-1F00-000003000000}">
      <text>
        <r>
          <rPr>
            <b/>
            <sz val="10"/>
            <color indexed="81"/>
            <rFont val="Tahoma"/>
            <family val="2"/>
          </rPr>
          <t>ASSESSED FOR EVERY CONVICTION OF VC VIOLATION</t>
        </r>
        <r>
          <rPr>
            <sz val="10"/>
            <color indexed="81"/>
            <rFont val="Tahoma"/>
            <family val="2"/>
          </rPr>
          <t xml:space="preserve">
</t>
        </r>
      </text>
    </comment>
    <comment ref="C36" authorId="1" shapeId="0" xr:uid="{00000000-0006-0000-1F00-000004000000}">
      <text>
        <r>
          <rPr>
            <b/>
            <sz val="10"/>
            <color indexed="81"/>
            <rFont val="Tahoma"/>
            <family val="2"/>
          </rPr>
          <t>ASSESSED FOR EVERY CONVICTION</t>
        </r>
        <r>
          <rPr>
            <sz val="10"/>
            <color indexed="81"/>
            <rFont val="Tahoma"/>
            <family val="2"/>
          </rPr>
          <t xml:space="preserve">
</t>
        </r>
      </text>
    </comment>
    <comment ref="C37" authorId="1" shapeId="0" xr:uid="{00000000-0006-0000-1F00-000005000000}">
      <text>
        <r>
          <rPr>
            <b/>
            <sz val="10"/>
            <color indexed="81"/>
            <rFont val="Tahoma"/>
            <family val="2"/>
          </rPr>
          <t>ASSESSED FOR EVERY CONVICTION</t>
        </r>
        <r>
          <rPr>
            <sz val="10"/>
            <color indexed="81"/>
            <rFont val="Tahoma"/>
            <family val="2"/>
          </rPr>
          <t xml:space="preserve">
</t>
        </r>
      </text>
    </comment>
    <comment ref="C39" authorId="0" shapeId="0" xr:uid="{00000000-0006-0000-1F00-000006000000}">
      <text>
        <r>
          <rPr>
            <b/>
            <sz val="9"/>
            <color indexed="81"/>
            <rFont val="Tahoma"/>
            <family val="2"/>
          </rPr>
          <t xml:space="preserve">PC 1205(e) administrative &amp; clerical costs determined by BOS or by Court. </t>
        </r>
        <r>
          <rPr>
            <sz val="9"/>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Ryan Mendoza</author>
    <author>AOC User</author>
  </authors>
  <commentList>
    <comment ref="Q5" authorId="0" shapeId="0" xr:uid="{00000000-0006-0000-2000-000001000000}">
      <text>
        <r>
          <rPr>
            <b/>
            <sz val="9"/>
            <color indexed="81"/>
            <rFont val="Tahoma"/>
            <family val="2"/>
          </rPr>
          <t>IF FINE IS NOT STANDARD (Not BASE-UP), ENSURE THE BASE FINE ENTERED IS DIVISIBLE BY 10 FOR A MORE ACCURATE IAS TOP-DOWN.</t>
        </r>
        <r>
          <rPr>
            <sz val="9"/>
            <color indexed="81"/>
            <rFont val="Tahoma"/>
            <family val="2"/>
          </rPr>
          <t xml:space="preserve">
</t>
        </r>
      </text>
    </comment>
    <comment ref="D8" authorId="0" shapeId="0" xr:uid="{00000000-0006-0000-2000-000002000000}">
      <text>
        <r>
          <rPr>
            <b/>
            <sz val="8"/>
            <color indexed="81"/>
            <rFont val="Tahoma"/>
            <family val="2"/>
          </rPr>
          <t>If CITY ARREST, Enter County % under PC 1463.002 list. Else, enter 100.</t>
        </r>
        <r>
          <rPr>
            <sz val="8"/>
            <color indexed="81"/>
            <rFont val="Tahoma"/>
            <family val="2"/>
          </rPr>
          <t xml:space="preserve">
</t>
        </r>
      </text>
    </comment>
    <comment ref="C31" authorId="1" shapeId="0" xr:uid="{00000000-0006-0000-2000-000003000000}">
      <text>
        <r>
          <rPr>
            <b/>
            <sz val="10"/>
            <color indexed="81"/>
            <rFont val="Tahoma"/>
            <family val="2"/>
          </rPr>
          <t>ASSESSED FOR EVERY CONVICTION OF VC VIOLATION</t>
        </r>
        <r>
          <rPr>
            <sz val="10"/>
            <color indexed="81"/>
            <rFont val="Tahoma"/>
            <family val="2"/>
          </rPr>
          <t xml:space="preserve">
</t>
        </r>
      </text>
    </comment>
    <comment ref="C36" authorId="1" shapeId="0" xr:uid="{00000000-0006-0000-2000-000004000000}">
      <text>
        <r>
          <rPr>
            <b/>
            <sz val="10"/>
            <color indexed="81"/>
            <rFont val="Tahoma"/>
            <family val="2"/>
          </rPr>
          <t>ASSESSED FOR EVERY CONVICTION</t>
        </r>
        <r>
          <rPr>
            <sz val="10"/>
            <color indexed="81"/>
            <rFont val="Tahoma"/>
            <family val="2"/>
          </rPr>
          <t xml:space="preserve">
</t>
        </r>
      </text>
    </comment>
    <comment ref="C37" authorId="1" shapeId="0" xr:uid="{00000000-0006-0000-2000-000005000000}">
      <text>
        <r>
          <rPr>
            <b/>
            <sz val="10"/>
            <color indexed="81"/>
            <rFont val="Tahoma"/>
            <family val="2"/>
          </rPr>
          <t>ASSESSED FOR EVERY CONVICTION</t>
        </r>
        <r>
          <rPr>
            <sz val="10"/>
            <color indexed="81"/>
            <rFont val="Tahoma"/>
            <family val="2"/>
          </rPr>
          <t xml:space="preserve">
</t>
        </r>
      </text>
    </comment>
    <comment ref="C39" authorId="0" shapeId="0" xr:uid="{00000000-0006-0000-2000-000006000000}">
      <text>
        <r>
          <rPr>
            <b/>
            <sz val="9"/>
            <color indexed="81"/>
            <rFont val="Tahoma"/>
            <family val="2"/>
          </rPr>
          <t xml:space="preserve">PC 1205(e) administrative &amp; clerical costs determined by BOS or by Court. </t>
        </r>
        <r>
          <rPr>
            <sz val="9"/>
            <color indexed="81"/>
            <rFont val="Tahoma"/>
            <family val="2"/>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Ryan Mendoza</author>
    <author>AOC User</author>
  </authors>
  <commentList>
    <comment ref="Q5" authorId="0" shapeId="0" xr:uid="{00000000-0006-0000-2100-000001000000}">
      <text>
        <r>
          <rPr>
            <b/>
            <sz val="9"/>
            <color indexed="81"/>
            <rFont val="Tahoma"/>
            <family val="2"/>
          </rPr>
          <t>IF FINE IS NOT STANDARD (Not BASE-UP), ENSURE THE BASE FINE ENTERED IS DIVISIBLE BY 10 FOR A MORE ACCURATE IAS TOP-DOWN.</t>
        </r>
        <r>
          <rPr>
            <sz val="9"/>
            <color indexed="81"/>
            <rFont val="Tahoma"/>
            <family val="2"/>
          </rPr>
          <t xml:space="preserve">
</t>
        </r>
      </text>
    </comment>
    <comment ref="C31" authorId="1" shapeId="0" xr:uid="{00000000-0006-0000-2100-000002000000}">
      <text>
        <r>
          <rPr>
            <b/>
            <sz val="10"/>
            <color indexed="81"/>
            <rFont val="Tahoma"/>
            <family val="2"/>
          </rPr>
          <t>ASSESSED FOR EVERY CONVICTION OF VC VIOLATION</t>
        </r>
        <r>
          <rPr>
            <sz val="10"/>
            <color indexed="81"/>
            <rFont val="Tahoma"/>
            <family val="2"/>
          </rPr>
          <t xml:space="preserve">
</t>
        </r>
      </text>
    </comment>
    <comment ref="C36" authorId="1" shapeId="0" xr:uid="{00000000-0006-0000-2100-000003000000}">
      <text>
        <r>
          <rPr>
            <b/>
            <sz val="10"/>
            <color indexed="81"/>
            <rFont val="Tahoma"/>
            <family val="2"/>
          </rPr>
          <t>ASSESSED FOR EVERY CONVICTION</t>
        </r>
        <r>
          <rPr>
            <sz val="10"/>
            <color indexed="81"/>
            <rFont val="Tahoma"/>
            <family val="2"/>
          </rPr>
          <t xml:space="preserve">
</t>
        </r>
      </text>
    </comment>
    <comment ref="C37" authorId="1" shapeId="0" xr:uid="{00000000-0006-0000-2100-000004000000}">
      <text>
        <r>
          <rPr>
            <b/>
            <sz val="10"/>
            <color indexed="81"/>
            <rFont val="Tahoma"/>
            <family val="2"/>
          </rPr>
          <t>ASSESSED FOR EVERY CONVICTION</t>
        </r>
        <r>
          <rPr>
            <sz val="10"/>
            <color indexed="81"/>
            <rFont val="Tahoma"/>
            <family val="2"/>
          </rPr>
          <t xml:space="preserve">
</t>
        </r>
      </text>
    </comment>
    <comment ref="C39" authorId="0" shapeId="0" xr:uid="{00000000-0006-0000-2100-000005000000}">
      <text>
        <r>
          <rPr>
            <b/>
            <sz val="9"/>
            <color indexed="81"/>
            <rFont val="Tahoma"/>
            <family val="2"/>
          </rPr>
          <t xml:space="preserve">PC 1205(e) administrative &amp; clerical costs determined by BOS or by Court. </t>
        </r>
        <r>
          <rPr>
            <sz val="9"/>
            <color indexed="81"/>
            <rFont val="Tahoma"/>
            <family val="2"/>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Ryan Mendoza</author>
    <author>AOC User</author>
  </authors>
  <commentList>
    <comment ref="Q5" authorId="0" shapeId="0" xr:uid="{00000000-0006-0000-2200-000001000000}">
      <text>
        <r>
          <rPr>
            <b/>
            <sz val="9"/>
            <color indexed="81"/>
            <rFont val="Tahoma"/>
            <family val="2"/>
          </rPr>
          <t>IF FINE IS NOT STANDARD (Not BASE-UP), ENSURE THE BASE FINE ENTERED IS DIVISIBLE BY 10 FOR A MORE ACCURATE IAS TOP-DOWN.</t>
        </r>
        <r>
          <rPr>
            <sz val="9"/>
            <color indexed="81"/>
            <rFont val="Tahoma"/>
            <family val="2"/>
          </rPr>
          <t xml:space="preserve">
</t>
        </r>
      </text>
    </comment>
    <comment ref="C31" authorId="1" shapeId="0" xr:uid="{00000000-0006-0000-2200-000002000000}">
      <text>
        <r>
          <rPr>
            <b/>
            <sz val="10"/>
            <color indexed="81"/>
            <rFont val="Tahoma"/>
            <family val="2"/>
          </rPr>
          <t>ASSESSED FOR EVERY CONVICTION OF VC VIOLATION</t>
        </r>
        <r>
          <rPr>
            <sz val="10"/>
            <color indexed="81"/>
            <rFont val="Tahoma"/>
            <family val="2"/>
          </rPr>
          <t xml:space="preserve">
</t>
        </r>
      </text>
    </comment>
    <comment ref="C36" authorId="1" shapeId="0" xr:uid="{00000000-0006-0000-2200-000003000000}">
      <text>
        <r>
          <rPr>
            <b/>
            <sz val="10"/>
            <color indexed="81"/>
            <rFont val="Tahoma"/>
            <family val="2"/>
          </rPr>
          <t>ASSESSED FOR EVERY CONVICTION</t>
        </r>
        <r>
          <rPr>
            <sz val="10"/>
            <color indexed="81"/>
            <rFont val="Tahoma"/>
            <family val="2"/>
          </rPr>
          <t xml:space="preserve">
</t>
        </r>
      </text>
    </comment>
    <comment ref="C37" authorId="1" shapeId="0" xr:uid="{00000000-0006-0000-2200-000004000000}">
      <text>
        <r>
          <rPr>
            <b/>
            <sz val="10"/>
            <color indexed="81"/>
            <rFont val="Tahoma"/>
            <family val="2"/>
          </rPr>
          <t>ASSESSED FOR EVERY CONVICTION</t>
        </r>
        <r>
          <rPr>
            <sz val="10"/>
            <color indexed="81"/>
            <rFont val="Tahoma"/>
            <family val="2"/>
          </rPr>
          <t xml:space="preserve">
</t>
        </r>
      </text>
    </comment>
    <comment ref="C44" authorId="0" shapeId="0" xr:uid="{00000000-0006-0000-2200-000005000000}">
      <text>
        <r>
          <rPr>
            <b/>
            <sz val="9"/>
            <color indexed="81"/>
            <rFont val="Tahoma"/>
            <family val="2"/>
          </rPr>
          <t xml:space="preserve">PC 1205(e) administrative &amp; clerical costs determined by BOS or by Court. </t>
        </r>
        <r>
          <rPr>
            <sz val="9"/>
            <color indexed="81"/>
            <rFont val="Tahoma"/>
            <family val="2"/>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Ryan Mendoza</author>
    <author>AOC User</author>
  </authors>
  <commentList>
    <comment ref="Q5" authorId="0" shapeId="0" xr:uid="{00000000-0006-0000-2300-000001000000}">
      <text>
        <r>
          <rPr>
            <b/>
            <sz val="9"/>
            <color indexed="81"/>
            <rFont val="Tahoma"/>
            <family val="2"/>
          </rPr>
          <t>IF FINE IS NOT STANDARD (Not BASE-UP), ENSURE THE BASE FINE ENTERED IS DIVISIBLE BY 10 FOR A MORE ACCURATE IAS TOP-DOWN.</t>
        </r>
        <r>
          <rPr>
            <sz val="9"/>
            <color indexed="81"/>
            <rFont val="Tahoma"/>
            <family val="2"/>
          </rPr>
          <t xml:space="preserve">
</t>
        </r>
      </text>
    </comment>
    <comment ref="C31" authorId="1" shapeId="0" xr:uid="{00000000-0006-0000-2300-000002000000}">
      <text>
        <r>
          <rPr>
            <b/>
            <sz val="10"/>
            <color indexed="81"/>
            <rFont val="Tahoma"/>
            <family val="2"/>
          </rPr>
          <t>ASSESSED FOR EVERY CONVICTION OF VC VIOLATION</t>
        </r>
        <r>
          <rPr>
            <sz val="10"/>
            <color indexed="81"/>
            <rFont val="Tahoma"/>
            <family val="2"/>
          </rPr>
          <t xml:space="preserve">
</t>
        </r>
      </text>
    </comment>
    <comment ref="C36" authorId="1" shapeId="0" xr:uid="{00000000-0006-0000-2300-000003000000}">
      <text>
        <r>
          <rPr>
            <b/>
            <sz val="10"/>
            <color indexed="81"/>
            <rFont val="Tahoma"/>
            <family val="2"/>
          </rPr>
          <t>ASSESSED FOR EVERY CONVICTION</t>
        </r>
        <r>
          <rPr>
            <sz val="10"/>
            <color indexed="81"/>
            <rFont val="Tahoma"/>
            <family val="2"/>
          </rPr>
          <t xml:space="preserve">
</t>
        </r>
      </text>
    </comment>
    <comment ref="C37" authorId="1" shapeId="0" xr:uid="{00000000-0006-0000-2300-000004000000}">
      <text>
        <r>
          <rPr>
            <b/>
            <sz val="10"/>
            <color indexed="81"/>
            <rFont val="Tahoma"/>
            <family val="2"/>
          </rPr>
          <t>ASSESSED FOR EVERY CONVICTION</t>
        </r>
        <r>
          <rPr>
            <sz val="10"/>
            <color indexed="81"/>
            <rFont val="Tahoma"/>
            <family val="2"/>
          </rPr>
          <t xml:space="preserve">
</t>
        </r>
      </text>
    </comment>
    <comment ref="C39" authorId="0" shapeId="0" xr:uid="{00000000-0006-0000-2300-000005000000}">
      <text>
        <r>
          <rPr>
            <b/>
            <sz val="9"/>
            <color indexed="81"/>
            <rFont val="Tahoma"/>
            <family val="2"/>
          </rPr>
          <t xml:space="preserve">PC 1205(e) administrative &amp; clerical costs determined by BOS or by Court. </t>
        </r>
        <r>
          <rPr>
            <sz val="9"/>
            <color indexed="81"/>
            <rFont val="Tahoma"/>
            <family val="2"/>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Ryan Mendoza</author>
    <author>AOC User</author>
  </authors>
  <commentList>
    <comment ref="Q5" authorId="0" shapeId="0" xr:uid="{00000000-0006-0000-2500-000001000000}">
      <text>
        <r>
          <rPr>
            <b/>
            <sz val="9"/>
            <color indexed="81"/>
            <rFont val="Tahoma"/>
            <family val="2"/>
          </rPr>
          <t>IF FINE IS NOT STANDARD (Not BASE-UP), ENSURE THE BASE FINE ENTERED IS DIVISIBLE BY 10 FOR A MORE ACCURATE IAS TOP-DOWN.</t>
        </r>
        <r>
          <rPr>
            <sz val="9"/>
            <color indexed="81"/>
            <rFont val="Tahoma"/>
            <family val="2"/>
          </rPr>
          <t xml:space="preserve">
</t>
        </r>
      </text>
    </comment>
    <comment ref="D8" authorId="0" shapeId="0" xr:uid="{00000000-0006-0000-2500-000002000000}">
      <text>
        <r>
          <rPr>
            <b/>
            <sz val="8"/>
            <color indexed="81"/>
            <rFont val="Tahoma"/>
            <family val="2"/>
          </rPr>
          <t>If CITY ARREST, Enter County % under PC 1463.002 list. Else, enter 100.</t>
        </r>
        <r>
          <rPr>
            <sz val="8"/>
            <color indexed="81"/>
            <rFont val="Tahoma"/>
            <family val="2"/>
          </rPr>
          <t xml:space="preserve">
</t>
        </r>
      </text>
    </comment>
    <comment ref="C31" authorId="1" shapeId="0" xr:uid="{00000000-0006-0000-2500-000003000000}">
      <text>
        <r>
          <rPr>
            <b/>
            <sz val="10"/>
            <color indexed="81"/>
            <rFont val="Tahoma"/>
            <family val="2"/>
          </rPr>
          <t>ASSESSED FOR EVERY CONVICTION OF VC VIOLATION</t>
        </r>
        <r>
          <rPr>
            <sz val="10"/>
            <color indexed="81"/>
            <rFont val="Tahoma"/>
            <family val="2"/>
          </rPr>
          <t xml:space="preserve">
</t>
        </r>
      </text>
    </comment>
    <comment ref="C36" authorId="1" shapeId="0" xr:uid="{00000000-0006-0000-2500-000004000000}">
      <text>
        <r>
          <rPr>
            <b/>
            <sz val="10"/>
            <color indexed="81"/>
            <rFont val="Tahoma"/>
            <family val="2"/>
          </rPr>
          <t>ASSESSED FOR EVERY CONVICTION</t>
        </r>
        <r>
          <rPr>
            <sz val="10"/>
            <color indexed="81"/>
            <rFont val="Tahoma"/>
            <family val="2"/>
          </rPr>
          <t xml:space="preserve">
</t>
        </r>
      </text>
    </comment>
    <comment ref="C37" authorId="1" shapeId="0" xr:uid="{00000000-0006-0000-2500-000005000000}">
      <text>
        <r>
          <rPr>
            <b/>
            <sz val="10"/>
            <color indexed="81"/>
            <rFont val="Tahoma"/>
            <family val="2"/>
          </rPr>
          <t>ASSESSED FOR EVERY CONVICTION</t>
        </r>
        <r>
          <rPr>
            <sz val="10"/>
            <color indexed="81"/>
            <rFont val="Tahoma"/>
            <family val="2"/>
          </rPr>
          <t xml:space="preserve">
</t>
        </r>
      </text>
    </comment>
    <comment ref="C39" authorId="0" shapeId="0" xr:uid="{00000000-0006-0000-2500-000006000000}">
      <text>
        <r>
          <rPr>
            <b/>
            <sz val="9"/>
            <color indexed="81"/>
            <rFont val="Tahoma"/>
            <family val="2"/>
          </rPr>
          <t xml:space="preserve">PC 1205(e) administrative &amp; clerical costs determined by BOS or by Court. </t>
        </r>
        <r>
          <rPr>
            <sz val="9"/>
            <color indexed="81"/>
            <rFont val="Tahoma"/>
            <family val="2"/>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AOC User</author>
    <author>Ryan Mendoza</author>
  </authors>
  <commentList>
    <comment ref="C21" authorId="0" shapeId="0" xr:uid="{00000000-0006-0000-2600-000001000000}">
      <text>
        <r>
          <rPr>
            <b/>
            <sz val="10"/>
            <color indexed="81"/>
            <rFont val="Tahoma"/>
            <family val="2"/>
          </rPr>
          <t>ASSESSED FOR EVERY CONVICTION</t>
        </r>
        <r>
          <rPr>
            <sz val="10"/>
            <color indexed="81"/>
            <rFont val="Tahoma"/>
            <family val="2"/>
          </rPr>
          <t xml:space="preserve">
</t>
        </r>
      </text>
    </comment>
    <comment ref="C22" authorId="0" shapeId="0" xr:uid="{00000000-0006-0000-2600-000002000000}">
      <text>
        <r>
          <rPr>
            <b/>
            <sz val="10"/>
            <color indexed="81"/>
            <rFont val="Tahoma"/>
            <family val="2"/>
          </rPr>
          <t>ASSESSED FOR EVERY CONVICTION</t>
        </r>
        <r>
          <rPr>
            <sz val="10"/>
            <color indexed="81"/>
            <rFont val="Tahoma"/>
            <family val="2"/>
          </rPr>
          <t xml:space="preserve">
</t>
        </r>
      </text>
    </comment>
    <comment ref="C23" authorId="1" shapeId="0" xr:uid="{00000000-0006-0000-2600-000003000000}">
      <text>
        <r>
          <rPr>
            <b/>
            <sz val="9"/>
            <color indexed="81"/>
            <rFont val="Tahoma"/>
            <family val="2"/>
          </rPr>
          <t>Court may not impose IF it finds "COMPELLING AND EXTRAORDINARY REASON/S" stated on RECORD. Inability to pay is not considered a compelling and extraordinary reason.</t>
        </r>
        <r>
          <rPr>
            <sz val="9"/>
            <color indexed="81"/>
            <rFont val="Tahoma"/>
            <family val="2"/>
          </rPr>
          <t xml:space="preserve">
</t>
        </r>
      </text>
    </comment>
    <comment ref="C26" authorId="1" shapeId="0" xr:uid="{00000000-0006-0000-2600-000004000000}">
      <text>
        <r>
          <rPr>
            <b/>
            <sz val="9"/>
            <color indexed="81"/>
            <rFont val="Tahoma"/>
            <family val="2"/>
          </rPr>
          <t xml:space="preserve">PC 1205(e) administrative &amp; clerical costs determined by BOS or by Court. </t>
        </r>
        <r>
          <rPr>
            <sz val="9"/>
            <color indexed="81"/>
            <rFont val="Tahoma"/>
            <family val="2"/>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Ryan Mendoza</author>
    <author>AOC User</author>
  </authors>
  <commentList>
    <comment ref="R5" authorId="0" shapeId="0" xr:uid="{00000000-0006-0000-2700-000001000000}">
      <text>
        <r>
          <rPr>
            <b/>
            <sz val="9"/>
            <color indexed="81"/>
            <rFont val="Tahoma"/>
            <family val="2"/>
          </rPr>
          <t>IF FINE IS NOT STANDARD (Not BASE-UP), ENSURE THE BASE FINE ENTERED IS DIVISIBLE BY 10 FOR A MORE ACCURATE IAS TOP-DOWN.</t>
        </r>
        <r>
          <rPr>
            <sz val="9"/>
            <color indexed="81"/>
            <rFont val="Tahoma"/>
            <family val="2"/>
          </rPr>
          <t xml:space="preserve">
</t>
        </r>
      </text>
    </comment>
    <comment ref="C34" authorId="1" shapeId="0" xr:uid="{00000000-0006-0000-2700-000002000000}">
      <text>
        <r>
          <rPr>
            <b/>
            <sz val="10"/>
            <color indexed="81"/>
            <rFont val="Tahoma"/>
            <family val="2"/>
          </rPr>
          <t>ASSESSED FOR EVERY CONVICTION</t>
        </r>
        <r>
          <rPr>
            <sz val="10"/>
            <color indexed="81"/>
            <rFont val="Tahoma"/>
            <family val="2"/>
          </rPr>
          <t xml:space="preserve">
</t>
        </r>
      </text>
    </comment>
    <comment ref="C35" authorId="1" shapeId="0" xr:uid="{00000000-0006-0000-2700-000003000000}">
      <text>
        <r>
          <rPr>
            <b/>
            <sz val="10"/>
            <color indexed="81"/>
            <rFont val="Tahoma"/>
            <family val="2"/>
          </rPr>
          <t>ASSESSED FOR EVERY CONVICTION</t>
        </r>
        <r>
          <rPr>
            <sz val="10"/>
            <color indexed="81"/>
            <rFont val="Tahoma"/>
            <family val="2"/>
          </rPr>
          <t xml:space="preserve">
</t>
        </r>
      </text>
    </comment>
    <comment ref="C36" authorId="0" shapeId="0" xr:uid="{00000000-0006-0000-2700-000004000000}">
      <text>
        <r>
          <rPr>
            <b/>
            <sz val="9"/>
            <color indexed="81"/>
            <rFont val="Tahoma"/>
            <family val="2"/>
          </rPr>
          <t>Court may not impose IF it finds "COMPELLING AND EXTRAORDINARY REASON/S" stated on RECORD. Inability to pay is not considered a compelling and extraordinary reason.</t>
        </r>
        <r>
          <rPr>
            <sz val="9"/>
            <color indexed="81"/>
            <rFont val="Tahoma"/>
            <family val="2"/>
          </rPr>
          <t xml:space="preserve">
</t>
        </r>
      </text>
    </comment>
    <comment ref="C38" authorId="0" shapeId="0" xr:uid="{00000000-0006-0000-2700-000005000000}">
      <text>
        <r>
          <rPr>
            <b/>
            <sz val="9"/>
            <color indexed="81"/>
            <rFont val="Tahoma"/>
            <family val="2"/>
          </rPr>
          <t xml:space="preserve">PC 1205(e) administrative &amp; clerical costs determined by BOS or by Court. </t>
        </r>
        <r>
          <rPr>
            <sz val="9"/>
            <color indexed="81"/>
            <rFont val="Tahoma"/>
            <family val="2"/>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Ryan Mendoza</author>
    <author>AOC User</author>
  </authors>
  <commentList>
    <comment ref="R5" authorId="0" shapeId="0" xr:uid="{00000000-0006-0000-2800-000001000000}">
      <text>
        <r>
          <rPr>
            <b/>
            <sz val="9"/>
            <color indexed="81"/>
            <rFont val="Tahoma"/>
            <family val="2"/>
          </rPr>
          <t>IF FINE IS NOT STANDARD (Not BASE-UP), ENSURE THE BASE FINE ENTERED IS DIVISIBLE BY 10 FOR A MORE ACCURATE IAS TOP-DOWN.</t>
        </r>
        <r>
          <rPr>
            <sz val="9"/>
            <color indexed="81"/>
            <rFont val="Tahoma"/>
            <family val="2"/>
          </rPr>
          <t xml:space="preserve">
</t>
        </r>
      </text>
    </comment>
    <comment ref="C35" authorId="1" shapeId="0" xr:uid="{00000000-0006-0000-2800-000002000000}">
      <text>
        <r>
          <rPr>
            <b/>
            <sz val="10"/>
            <color indexed="81"/>
            <rFont val="Tahoma"/>
            <family val="2"/>
          </rPr>
          <t>ASSESSED FOR EVERY CONVICTION</t>
        </r>
        <r>
          <rPr>
            <sz val="10"/>
            <color indexed="81"/>
            <rFont val="Tahoma"/>
            <family val="2"/>
          </rPr>
          <t xml:space="preserve">
</t>
        </r>
      </text>
    </comment>
    <comment ref="C36" authorId="1" shapeId="0" xr:uid="{00000000-0006-0000-2800-000003000000}">
      <text>
        <r>
          <rPr>
            <b/>
            <sz val="10"/>
            <color indexed="81"/>
            <rFont val="Tahoma"/>
            <family val="2"/>
          </rPr>
          <t>ASSESSED FOR EVERY CONVICTION</t>
        </r>
        <r>
          <rPr>
            <sz val="10"/>
            <color indexed="81"/>
            <rFont val="Tahoma"/>
            <family val="2"/>
          </rPr>
          <t xml:space="preserve">
</t>
        </r>
      </text>
    </comment>
    <comment ref="C37" authorId="0" shapeId="0" xr:uid="{00000000-0006-0000-2800-000004000000}">
      <text>
        <r>
          <rPr>
            <b/>
            <sz val="9"/>
            <color indexed="81"/>
            <rFont val="Tahoma"/>
            <family val="2"/>
          </rPr>
          <t>Court may not impose IF it finds "COMPELLING AND EXTRAORDINARY REASON/S" stated on RECORD. Inability to pay is not considered a compelling and extraordinary reason.</t>
        </r>
        <r>
          <rPr>
            <sz val="9"/>
            <color indexed="81"/>
            <rFont val="Tahoma"/>
            <family val="2"/>
          </rPr>
          <t xml:space="preserve">
</t>
        </r>
      </text>
    </comment>
    <comment ref="C39" authorId="0" shapeId="0" xr:uid="{00000000-0006-0000-2800-000005000000}">
      <text>
        <r>
          <rPr>
            <b/>
            <sz val="9"/>
            <color indexed="81"/>
            <rFont val="Tahoma"/>
            <family val="2"/>
          </rPr>
          <t xml:space="preserve">PC 1205(e) administrative &amp; clerical costs determined by BOS or by Court. </t>
        </r>
        <r>
          <rPr>
            <sz val="9"/>
            <color indexed="81"/>
            <rFont val="Tahoma"/>
            <family val="2"/>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Ryan Mendoza</author>
    <author>AOC User</author>
  </authors>
  <commentList>
    <comment ref="Q5" authorId="0" shapeId="0" xr:uid="{00000000-0006-0000-2900-000001000000}">
      <text>
        <r>
          <rPr>
            <b/>
            <sz val="9"/>
            <color indexed="81"/>
            <rFont val="Tahoma"/>
            <family val="2"/>
          </rPr>
          <t>IF FINE IS NOT STANDARD (Not BASE-UP), ENSURE THE BASE FINE ENTERED IS DIVISIBLE BY 10 FOR A MORE ACCURATE IAS TOP-DOWN.</t>
        </r>
        <r>
          <rPr>
            <sz val="9"/>
            <color indexed="81"/>
            <rFont val="Tahoma"/>
            <family val="2"/>
          </rPr>
          <t xml:space="preserve">
</t>
        </r>
      </text>
    </comment>
    <comment ref="C32" authorId="1" shapeId="0" xr:uid="{00000000-0006-0000-2900-000002000000}">
      <text>
        <r>
          <rPr>
            <b/>
            <sz val="10"/>
            <color indexed="81"/>
            <rFont val="Tahoma"/>
            <family val="2"/>
          </rPr>
          <t>ASSESSED FOR EVERY CONVICTION</t>
        </r>
        <r>
          <rPr>
            <sz val="10"/>
            <color indexed="81"/>
            <rFont val="Tahoma"/>
            <family val="2"/>
          </rPr>
          <t xml:space="preserve">
</t>
        </r>
      </text>
    </comment>
    <comment ref="C33" authorId="1" shapeId="0" xr:uid="{00000000-0006-0000-2900-000003000000}">
      <text>
        <r>
          <rPr>
            <b/>
            <sz val="10"/>
            <color indexed="81"/>
            <rFont val="Tahoma"/>
            <family val="2"/>
          </rPr>
          <t>ASSESSED FOR EVERY CONVICTION</t>
        </r>
        <r>
          <rPr>
            <sz val="10"/>
            <color indexed="81"/>
            <rFont val="Tahoma"/>
            <family val="2"/>
          </rPr>
          <t xml:space="preserve">
</t>
        </r>
      </text>
    </comment>
    <comment ref="C35" authorId="0" shapeId="0" xr:uid="{00000000-0006-0000-2900-000004000000}">
      <text>
        <r>
          <rPr>
            <b/>
            <sz val="9"/>
            <color indexed="81"/>
            <rFont val="Tahoma"/>
            <family val="2"/>
          </rPr>
          <t>Court may not impose IF it finds "COMPELLING AND EXTRAORDINARY REASON/S" stated on RECORD. Inability to pay is not considered a compelling and extraordinary reason.</t>
        </r>
        <r>
          <rPr>
            <sz val="9"/>
            <color indexed="81"/>
            <rFont val="Tahoma"/>
            <family val="2"/>
          </rPr>
          <t xml:space="preserve">
</t>
        </r>
      </text>
    </comment>
    <comment ref="C37" authorId="0" shapeId="0" xr:uid="{00000000-0006-0000-2900-000005000000}">
      <text>
        <r>
          <rPr>
            <b/>
            <sz val="9"/>
            <color indexed="81"/>
            <rFont val="Tahoma"/>
            <family val="2"/>
          </rPr>
          <t xml:space="preserve">PC 1205(e) administrative &amp; clerical costs determined by BOS or by Court.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Ryan Mendoza</author>
    <author>AOC User</author>
  </authors>
  <commentList>
    <comment ref="E9" authorId="0" shapeId="0" xr:uid="{DB3AE3CE-02F2-4588-B5B0-802B1A1A7AF4}">
      <text>
        <r>
          <rPr>
            <b/>
            <sz val="8"/>
            <color indexed="81"/>
            <rFont val="Tahoma"/>
            <family val="2"/>
          </rPr>
          <t>If CITY ARREST, Enter County % under PC 1463.002 list. Else, enter 100.</t>
        </r>
        <r>
          <rPr>
            <sz val="8"/>
            <color indexed="81"/>
            <rFont val="Tahoma"/>
            <family val="2"/>
          </rPr>
          <t xml:space="preserve">
</t>
        </r>
      </text>
    </comment>
    <comment ref="D33" authorId="1" shapeId="0" xr:uid="{F71268E1-BFA3-4F52-81D4-31C13A9E6FA6}">
      <text>
        <r>
          <rPr>
            <b/>
            <sz val="10"/>
            <color indexed="81"/>
            <rFont val="Tahoma"/>
            <family val="2"/>
          </rPr>
          <t>ASSESSED FOR EVERY CONVICTION</t>
        </r>
        <r>
          <rPr>
            <sz val="10"/>
            <color indexed="81"/>
            <rFont val="Tahoma"/>
            <family val="2"/>
          </rPr>
          <t xml:space="preserve">
</t>
        </r>
      </text>
    </comment>
    <comment ref="D34" authorId="1" shapeId="0" xr:uid="{6A322C57-043F-45CC-A487-F6C246EE8E0B}">
      <text>
        <r>
          <rPr>
            <b/>
            <sz val="10"/>
            <color indexed="81"/>
            <rFont val="Tahoma"/>
            <family val="2"/>
          </rPr>
          <t>ASSESSED FOR EVERY CONVICTION</t>
        </r>
        <r>
          <rPr>
            <sz val="10"/>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Administrative Office of the Courts</author>
  </authors>
  <commentList>
    <comment ref="AK5" authorId="0" shapeId="0" xr:uid="{00000000-0006-0000-1000-000001000000}">
      <text>
        <r>
          <rPr>
            <b/>
            <sz val="8"/>
            <color indexed="81"/>
            <rFont val="Tahoma"/>
            <family val="2"/>
          </rPr>
          <t>ENTER Pending, Dropped or Issue (IM&lt; Log, Verbal)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Ryan Mendoza</author>
  </authors>
  <commentList>
    <comment ref="D8" authorId="0" shapeId="0" xr:uid="{00000000-0006-0000-1500-000001000000}">
      <text>
        <r>
          <rPr>
            <b/>
            <sz val="8"/>
            <color indexed="81"/>
            <rFont val="Tahoma"/>
            <family val="2"/>
          </rPr>
          <t>If CITY ARREST, Enter County % under PC 1463.002 list. Else, enter 100.</t>
        </r>
        <r>
          <rPr>
            <sz val="8"/>
            <color indexed="81"/>
            <rFont val="Tahoma"/>
            <family val="2"/>
          </rPr>
          <t xml:space="preserve">
</t>
        </r>
      </text>
    </comment>
    <comment ref="C34" authorId="0" shapeId="0" xr:uid="{00000000-0006-0000-1500-000002000000}">
      <text>
        <r>
          <rPr>
            <b/>
            <sz val="8"/>
            <color indexed="81"/>
            <rFont val="Tahoma"/>
            <family val="2"/>
          </rPr>
          <t>Court Sec. Fee &amp; Crim Conv. Assmnt ASSESSED FOR EVERY CONVICTION</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Ryan Mendoza</author>
    <author>AOC User</author>
    <author>rcabral</author>
  </authors>
  <commentList>
    <comment ref="R5" authorId="0" shapeId="0" xr:uid="{00000000-0006-0000-1600-000001000000}">
      <text>
        <r>
          <rPr>
            <b/>
            <sz val="9"/>
            <color indexed="81"/>
            <rFont val="Tahoma"/>
            <family val="2"/>
          </rPr>
          <t>IF FINE IS NOT STANDARD (Not BASE-UP), ENSURE THE BASE FINE ENTERED IS DIVISIBLE BY 10 FOR A MORE ACCURATE IAS TOP-DOWN.</t>
        </r>
        <r>
          <rPr>
            <sz val="9"/>
            <color indexed="81"/>
            <rFont val="Tahoma"/>
            <family val="2"/>
          </rPr>
          <t xml:space="preserve">
</t>
        </r>
      </text>
    </comment>
    <comment ref="D8" authorId="0" shapeId="0" xr:uid="{00000000-0006-0000-1600-000002000000}">
      <text>
        <r>
          <rPr>
            <b/>
            <sz val="8"/>
            <color indexed="81"/>
            <rFont val="Tahoma"/>
            <family val="2"/>
          </rPr>
          <t>If CITY ARREST, Enter County % under PC 1463.002 list. Else, enter 100.</t>
        </r>
      </text>
    </comment>
    <comment ref="C31" authorId="1" shapeId="0" xr:uid="{00000000-0006-0000-1600-000003000000}">
      <text>
        <r>
          <rPr>
            <b/>
            <sz val="10"/>
            <color indexed="81"/>
            <rFont val="Tahoma"/>
            <family val="2"/>
          </rPr>
          <t>ASSESSED FOR EVERY CONVICTION OF VC VIOLATION</t>
        </r>
        <r>
          <rPr>
            <sz val="10"/>
            <color indexed="81"/>
            <rFont val="Tahoma"/>
            <family val="2"/>
          </rPr>
          <t xml:space="preserve">
</t>
        </r>
      </text>
    </comment>
    <comment ref="C36" authorId="1" shapeId="0" xr:uid="{00000000-0006-0000-1600-000004000000}">
      <text>
        <r>
          <rPr>
            <b/>
            <sz val="10"/>
            <color indexed="81"/>
            <rFont val="Tahoma"/>
            <family val="2"/>
          </rPr>
          <t>ASSESSED FOR EVERY CONVICTION</t>
        </r>
      </text>
    </comment>
    <comment ref="C37" authorId="1" shapeId="0" xr:uid="{00000000-0006-0000-1600-000005000000}">
      <text>
        <r>
          <rPr>
            <b/>
            <sz val="10"/>
            <color indexed="81"/>
            <rFont val="Tahoma"/>
            <family val="2"/>
          </rPr>
          <t>ASSESSED FOR EVERY CONVICTION</t>
        </r>
        <r>
          <rPr>
            <sz val="10"/>
            <color indexed="81"/>
            <rFont val="Tahoma"/>
            <family val="2"/>
          </rPr>
          <t xml:space="preserve">
</t>
        </r>
      </text>
    </comment>
    <comment ref="C43" authorId="2" shapeId="0" xr:uid="{00000000-0006-0000-1600-000006000000}">
      <text>
        <r>
          <rPr>
            <b/>
            <sz val="9"/>
            <color indexed="81"/>
            <rFont val="Tahoma"/>
            <family val="2"/>
          </rPr>
          <t>Court must impose UNLESS it finds "COMPELLING AND EXTRAORDINARY REASONS" for not imposing and states reasons on RECORD. Inability to pay is not considered a compelling and extraordinary reason.</t>
        </r>
      </text>
    </comment>
    <comment ref="C45" authorId="0" shapeId="0" xr:uid="{00000000-0006-0000-1600-000007000000}">
      <text>
        <r>
          <rPr>
            <b/>
            <sz val="9"/>
            <color indexed="81"/>
            <rFont val="Tahoma"/>
            <family val="2"/>
          </rPr>
          <t xml:space="preserve">PC 1205(e) administrative &amp; clerical costs determined by BOS or by Court. </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Ryan Mendoza</author>
    <author>AOC User</author>
    <author>rcabral</author>
  </authors>
  <commentList>
    <comment ref="Q5" authorId="0" shapeId="0" xr:uid="{00000000-0006-0000-1700-000001000000}">
      <text>
        <r>
          <rPr>
            <b/>
            <sz val="9"/>
            <color indexed="81"/>
            <rFont val="Tahoma"/>
            <family val="2"/>
          </rPr>
          <t>IF FINE IS NOT STANDARD (Not BASE-UP), ENSURE THE BASE FINE ENTERED IS DIVISIBLE BY 10 FOR A MORE ACCURATE IAS TOP-DOWN.</t>
        </r>
        <r>
          <rPr>
            <sz val="9"/>
            <color indexed="81"/>
            <rFont val="Tahoma"/>
            <family val="2"/>
          </rPr>
          <t xml:space="preserve">
</t>
        </r>
      </text>
    </comment>
    <comment ref="D8" authorId="0" shapeId="0" xr:uid="{00000000-0006-0000-1700-000002000000}">
      <text>
        <r>
          <rPr>
            <b/>
            <sz val="8"/>
            <color indexed="81"/>
            <rFont val="Tahoma"/>
            <family val="2"/>
          </rPr>
          <t>If CITY ARREST, Enter County % under PC 1463.002 list. Else, enter 100.</t>
        </r>
        <r>
          <rPr>
            <sz val="8"/>
            <color indexed="81"/>
            <rFont val="Tahoma"/>
            <family val="2"/>
          </rPr>
          <t xml:space="preserve">
</t>
        </r>
      </text>
    </comment>
    <comment ref="C30" authorId="1" shapeId="0" xr:uid="{00000000-0006-0000-1700-000003000000}">
      <text>
        <r>
          <rPr>
            <b/>
            <sz val="10"/>
            <color indexed="81"/>
            <rFont val="Tahoma"/>
            <family val="2"/>
          </rPr>
          <t>ASSESSED FOR EVERY CONVICTION OF VC VIOLATION</t>
        </r>
        <r>
          <rPr>
            <sz val="10"/>
            <color indexed="81"/>
            <rFont val="Tahoma"/>
            <family val="2"/>
          </rPr>
          <t xml:space="preserve">
</t>
        </r>
      </text>
    </comment>
    <comment ref="C35" authorId="1" shapeId="0" xr:uid="{00000000-0006-0000-1700-000004000000}">
      <text>
        <r>
          <rPr>
            <b/>
            <sz val="10"/>
            <color indexed="81"/>
            <rFont val="Tahoma"/>
            <family val="2"/>
          </rPr>
          <t>ASSESSED FOR EVERY CONVICTION</t>
        </r>
        <r>
          <rPr>
            <sz val="10"/>
            <color indexed="81"/>
            <rFont val="Tahoma"/>
            <family val="2"/>
          </rPr>
          <t xml:space="preserve">
</t>
        </r>
      </text>
    </comment>
    <comment ref="C36" authorId="1" shapeId="0" xr:uid="{00000000-0006-0000-1700-000005000000}">
      <text>
        <r>
          <rPr>
            <b/>
            <sz val="10"/>
            <color indexed="81"/>
            <rFont val="Tahoma"/>
            <family val="2"/>
          </rPr>
          <t>ASSESSED FOR EVERY CONVICTION</t>
        </r>
        <r>
          <rPr>
            <sz val="10"/>
            <color indexed="81"/>
            <rFont val="Tahoma"/>
            <family val="2"/>
          </rPr>
          <t xml:space="preserve">
</t>
        </r>
      </text>
    </comment>
    <comment ref="C39" authorId="2" shapeId="0" xr:uid="{00000000-0006-0000-1700-000006000000}">
      <text>
        <r>
          <rPr>
            <b/>
            <sz val="9"/>
            <color indexed="81"/>
            <rFont val="Tahoma"/>
            <family val="2"/>
          </rPr>
          <t>Court may not impose IF it finds "COMPELLING AND EXTRAORDINARY REASON/S" stated on RECORD. Inability to pay is not considered a compelling and extraordinary reason.</t>
        </r>
        <r>
          <rPr>
            <sz val="9"/>
            <color indexed="81"/>
            <rFont val="Tahoma"/>
            <family val="2"/>
          </rPr>
          <t xml:space="preserve">
</t>
        </r>
      </text>
    </comment>
    <comment ref="C41" authorId="0" shapeId="0" xr:uid="{00000000-0006-0000-1700-000007000000}">
      <text>
        <r>
          <rPr>
            <b/>
            <sz val="9"/>
            <color indexed="81"/>
            <rFont val="Tahoma"/>
            <family val="2"/>
          </rPr>
          <t xml:space="preserve">PC 1205(e) administrative &amp; clerical costs determined by BOS or by Court. </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Ryan Mendoza</author>
    <author>AOC User</author>
  </authors>
  <commentList>
    <comment ref="S5" authorId="0" shapeId="0" xr:uid="{00000000-0006-0000-1800-000001000000}">
      <text>
        <r>
          <rPr>
            <b/>
            <sz val="9"/>
            <color indexed="81"/>
            <rFont val="Tahoma"/>
            <family val="2"/>
          </rPr>
          <t>IF FINE IS NOT STANDARD (Not BASE-UP), ENSURE THE BASE FINE ENTERED IS DIVISIBLE BY 10 FOR A MORE ACCURATE IAS TOP-DOWN.</t>
        </r>
        <r>
          <rPr>
            <sz val="9"/>
            <color indexed="81"/>
            <rFont val="Tahoma"/>
            <family val="2"/>
          </rPr>
          <t xml:space="preserve">
</t>
        </r>
      </text>
    </comment>
    <comment ref="D8" authorId="0" shapeId="0" xr:uid="{00000000-0006-0000-1800-000002000000}">
      <text>
        <r>
          <rPr>
            <b/>
            <sz val="8"/>
            <color indexed="81"/>
            <rFont val="Tahoma"/>
            <family val="2"/>
          </rPr>
          <t>If CITY ARREST, Enter County % under PC 1463.002 list. Else, enter 100.</t>
        </r>
        <r>
          <rPr>
            <sz val="8"/>
            <color indexed="81"/>
            <rFont val="Tahoma"/>
            <family val="2"/>
          </rPr>
          <t xml:space="preserve">
</t>
        </r>
      </text>
    </comment>
    <comment ref="C31" authorId="1" shapeId="0" xr:uid="{00000000-0006-0000-1800-000003000000}">
      <text>
        <r>
          <rPr>
            <b/>
            <sz val="10"/>
            <color indexed="81"/>
            <rFont val="Tahoma"/>
            <family val="2"/>
          </rPr>
          <t>ASSESSED FOR EVERY CONVICTION OF VC VIOLATION</t>
        </r>
        <r>
          <rPr>
            <sz val="10"/>
            <color indexed="81"/>
            <rFont val="Tahoma"/>
            <family val="2"/>
          </rPr>
          <t xml:space="preserve">
</t>
        </r>
      </text>
    </comment>
    <comment ref="C36" authorId="1" shapeId="0" xr:uid="{00000000-0006-0000-1800-000004000000}">
      <text>
        <r>
          <rPr>
            <b/>
            <sz val="10"/>
            <color indexed="81"/>
            <rFont val="Tahoma"/>
            <family val="2"/>
          </rPr>
          <t>ASSESSED FOR EVERY CONVICTION</t>
        </r>
        <r>
          <rPr>
            <sz val="10"/>
            <color indexed="81"/>
            <rFont val="Tahoma"/>
            <family val="2"/>
          </rPr>
          <t xml:space="preserve">
</t>
        </r>
      </text>
    </comment>
    <comment ref="C37" authorId="1" shapeId="0" xr:uid="{00000000-0006-0000-1800-000005000000}">
      <text>
        <r>
          <rPr>
            <b/>
            <sz val="10"/>
            <color indexed="81"/>
            <rFont val="Tahoma"/>
            <family val="2"/>
          </rPr>
          <t>ASSESSED FOR EVERY CONVICTION</t>
        </r>
        <r>
          <rPr>
            <sz val="10"/>
            <color indexed="81"/>
            <rFont val="Tahoma"/>
            <family val="2"/>
          </rPr>
          <t xml:space="preserve">
</t>
        </r>
      </text>
    </comment>
    <comment ref="C39" authorId="0" shapeId="0" xr:uid="{00000000-0006-0000-1800-000006000000}">
      <text>
        <r>
          <rPr>
            <b/>
            <sz val="9"/>
            <color indexed="81"/>
            <rFont val="Tahoma"/>
            <family val="2"/>
          </rPr>
          <t xml:space="preserve">PC 1205(e) administrative &amp; clerical costs determined by BOS or by Court. </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Ryan Mendoza</author>
    <author>AOC User</author>
  </authors>
  <commentList>
    <comment ref="S5" authorId="0" shapeId="0" xr:uid="{00000000-0006-0000-1900-000001000000}">
      <text>
        <r>
          <rPr>
            <b/>
            <sz val="9"/>
            <color indexed="81"/>
            <rFont val="Tahoma"/>
            <family val="2"/>
          </rPr>
          <t>IF FINE IS NOT STANDARD (Not BASE-UP), ENSURE THE BASE FINE ENTERED IS DIVISIBLE BY 10 FOR A MORE ACCURATE IAS TOP-DOWN.</t>
        </r>
        <r>
          <rPr>
            <sz val="9"/>
            <color indexed="81"/>
            <rFont val="Tahoma"/>
            <family val="2"/>
          </rPr>
          <t xml:space="preserve">
</t>
        </r>
      </text>
    </comment>
    <comment ref="D8" authorId="0" shapeId="0" xr:uid="{00000000-0006-0000-1900-000002000000}">
      <text>
        <r>
          <rPr>
            <b/>
            <sz val="8"/>
            <color indexed="81"/>
            <rFont val="Tahoma"/>
            <family val="2"/>
          </rPr>
          <t>If CITY ARREST, Enter County % under PC 1463.002 list. Else, enter 100.</t>
        </r>
        <r>
          <rPr>
            <sz val="8"/>
            <color indexed="81"/>
            <rFont val="Tahoma"/>
            <family val="2"/>
          </rPr>
          <t xml:space="preserve">
</t>
        </r>
      </text>
    </comment>
    <comment ref="C32" authorId="1" shapeId="0" xr:uid="{00000000-0006-0000-1900-000003000000}">
      <text>
        <r>
          <rPr>
            <b/>
            <sz val="10"/>
            <color indexed="81"/>
            <rFont val="Tahoma"/>
            <family val="2"/>
          </rPr>
          <t>ASSESSED FOR EVERY CONVICTION OF VC VIOLATION</t>
        </r>
        <r>
          <rPr>
            <sz val="10"/>
            <color indexed="81"/>
            <rFont val="Tahoma"/>
            <family val="2"/>
          </rPr>
          <t xml:space="preserve">
</t>
        </r>
      </text>
    </comment>
    <comment ref="C37" authorId="1" shapeId="0" xr:uid="{00000000-0006-0000-1900-000004000000}">
      <text>
        <r>
          <rPr>
            <b/>
            <sz val="10"/>
            <color indexed="81"/>
            <rFont val="Tahoma"/>
            <family val="2"/>
          </rPr>
          <t>ASSESSED FOR EVERY CONVICTION</t>
        </r>
        <r>
          <rPr>
            <sz val="10"/>
            <color indexed="81"/>
            <rFont val="Tahoma"/>
            <family val="2"/>
          </rPr>
          <t xml:space="preserve">
</t>
        </r>
      </text>
    </comment>
    <comment ref="C38" authorId="1" shapeId="0" xr:uid="{00000000-0006-0000-1900-000005000000}">
      <text>
        <r>
          <rPr>
            <b/>
            <sz val="10"/>
            <color indexed="81"/>
            <rFont val="Tahoma"/>
            <family val="2"/>
          </rPr>
          <t>ASSESSED FOR EVERY CONVICTION</t>
        </r>
        <r>
          <rPr>
            <sz val="10"/>
            <color indexed="81"/>
            <rFont val="Tahoma"/>
            <family val="2"/>
          </rPr>
          <t xml:space="preserve">
</t>
        </r>
      </text>
    </comment>
    <comment ref="C44" authorId="0" shapeId="0" xr:uid="{00000000-0006-0000-1900-000006000000}">
      <text>
        <r>
          <rPr>
            <b/>
            <sz val="9"/>
            <color indexed="81"/>
            <rFont val="Tahoma"/>
            <family val="2"/>
          </rPr>
          <t>PC 1205(e) administrative and clerical costs determined by BOS or by Court</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Ryan Mendoza</author>
    <author>AOC User</author>
  </authors>
  <commentList>
    <comment ref="Q5" authorId="0" shapeId="0" xr:uid="{00000000-0006-0000-1E00-000001000000}">
      <text>
        <r>
          <rPr>
            <b/>
            <sz val="9"/>
            <color indexed="81"/>
            <rFont val="Tahoma"/>
            <family val="2"/>
          </rPr>
          <t>IF FINE IS NOT STANDARD (Not BASE-UP), ENSURE THE BASE FINE ENTERED IS DIVISIBLE BY 10 FOR A MORE ACCURATE IAS TOP-DOWN.</t>
        </r>
        <r>
          <rPr>
            <sz val="9"/>
            <color indexed="81"/>
            <rFont val="Tahoma"/>
            <family val="2"/>
          </rPr>
          <t xml:space="preserve">
</t>
        </r>
      </text>
    </comment>
    <comment ref="D8" authorId="0" shapeId="0" xr:uid="{00000000-0006-0000-1E00-000002000000}">
      <text>
        <r>
          <rPr>
            <b/>
            <sz val="8"/>
            <color indexed="81"/>
            <rFont val="Tahoma"/>
            <family val="2"/>
          </rPr>
          <t>If CITY ARREST, Enter County % under PC 1463.002 list. Else, enter 100.</t>
        </r>
        <r>
          <rPr>
            <sz val="8"/>
            <color indexed="81"/>
            <rFont val="Tahoma"/>
            <family val="2"/>
          </rPr>
          <t xml:space="preserve">
</t>
        </r>
      </text>
    </comment>
    <comment ref="C31" authorId="1" shapeId="0" xr:uid="{00000000-0006-0000-1E00-000003000000}">
      <text>
        <r>
          <rPr>
            <b/>
            <sz val="10"/>
            <color indexed="81"/>
            <rFont val="Tahoma"/>
            <family val="2"/>
          </rPr>
          <t>ASSESSED FOR EVERY CONVICTION OF VC VIOLATION</t>
        </r>
        <r>
          <rPr>
            <sz val="10"/>
            <color indexed="81"/>
            <rFont val="Tahoma"/>
            <family val="2"/>
          </rPr>
          <t xml:space="preserve">
</t>
        </r>
      </text>
    </comment>
    <comment ref="C36" authorId="1" shapeId="0" xr:uid="{00000000-0006-0000-1E00-000004000000}">
      <text>
        <r>
          <rPr>
            <b/>
            <sz val="10"/>
            <color indexed="81"/>
            <rFont val="Tahoma"/>
            <family val="2"/>
          </rPr>
          <t>ASSESSED FOR EVERY CONVICTION</t>
        </r>
        <r>
          <rPr>
            <sz val="10"/>
            <color indexed="81"/>
            <rFont val="Tahoma"/>
            <family val="2"/>
          </rPr>
          <t xml:space="preserve">
</t>
        </r>
      </text>
    </comment>
    <comment ref="C37" authorId="1" shapeId="0" xr:uid="{00000000-0006-0000-1E00-000005000000}">
      <text>
        <r>
          <rPr>
            <b/>
            <sz val="10"/>
            <color indexed="81"/>
            <rFont val="Tahoma"/>
            <family val="2"/>
          </rPr>
          <t>ASSESSED FOR EVERY CONVICTION</t>
        </r>
        <r>
          <rPr>
            <sz val="10"/>
            <color indexed="81"/>
            <rFont val="Tahoma"/>
            <family val="2"/>
          </rPr>
          <t xml:space="preserve">
</t>
        </r>
      </text>
    </comment>
    <comment ref="C43" authorId="0" shapeId="0" xr:uid="{00000000-0006-0000-1E00-000006000000}">
      <text>
        <r>
          <rPr>
            <b/>
            <sz val="9"/>
            <color indexed="81"/>
            <rFont val="Tahoma"/>
            <family val="2"/>
          </rPr>
          <t>PC 1205(e) administrative and clerical costs determined by BOS or by Court</t>
        </r>
        <r>
          <rPr>
            <sz val="9"/>
            <color indexed="81"/>
            <rFont val="Tahoma"/>
            <family val="2"/>
          </rPr>
          <t xml:space="preserve">
</t>
        </r>
      </text>
    </comment>
  </commentList>
</comments>
</file>

<file path=xl/sharedStrings.xml><?xml version="1.0" encoding="utf-8"?>
<sst xmlns="http://schemas.openxmlformats.org/spreadsheetml/2006/main" count="3588" uniqueCount="587">
  <si>
    <t>Fund</t>
  </si>
  <si>
    <t>TOTAL</t>
  </si>
  <si>
    <t>CASE ID</t>
  </si>
  <si>
    <t>Bail Forfeiture</t>
  </si>
  <si>
    <t>Violation Date</t>
  </si>
  <si>
    <t>Arresting Agency</t>
  </si>
  <si>
    <t>2% Amt</t>
  </si>
  <si>
    <t>N</t>
  </si>
  <si>
    <t>Y</t>
  </si>
  <si>
    <t>Statute</t>
  </si>
  <si>
    <t>State General Fund</t>
  </si>
  <si>
    <t>Misdemeanor</t>
  </si>
  <si>
    <t>Disposition Date</t>
  </si>
  <si>
    <t>State Restitution</t>
  </si>
  <si>
    <t>County Special Account</t>
  </si>
  <si>
    <t>County Alcohol Abuse Prevention</t>
  </si>
  <si>
    <t>TEST ID</t>
  </si>
  <si>
    <t>Base Up (BU)
Top Down (TD)</t>
  </si>
  <si>
    <t>ISSUE CODE</t>
  </si>
  <si>
    <t>Total Fine</t>
  </si>
  <si>
    <t>Violation Type</t>
  </si>
  <si>
    <t>Disposition</t>
  </si>
  <si>
    <t>Priors</t>
  </si>
  <si>
    <t>POC</t>
  </si>
  <si>
    <t>County or City General Fund</t>
  </si>
  <si>
    <t>City General Fund</t>
  </si>
  <si>
    <t>State Penalty Fund</t>
  </si>
  <si>
    <t>County General Fund</t>
  </si>
  <si>
    <t>COUNT 1</t>
  </si>
  <si>
    <t>Base Fine</t>
  </si>
  <si>
    <t>Section</t>
  </si>
  <si>
    <t>STATE</t>
  </si>
  <si>
    <t>COUNTY</t>
  </si>
  <si>
    <t>Special Distribution</t>
  </si>
  <si>
    <t>GC 76104.7</t>
  </si>
  <si>
    <t>County Criminal Justice Facilities Construction Fund</t>
  </si>
  <si>
    <t>County Maddy EMS Fund</t>
  </si>
  <si>
    <t>State Court Facilities Construction Fund</t>
  </si>
  <si>
    <t>Court Security Fee</t>
  </si>
  <si>
    <t>State Trial Court Trust Fund</t>
  </si>
  <si>
    <t>D</t>
  </si>
  <si>
    <t>State Automation Fund</t>
  </si>
  <si>
    <t>A</t>
  </si>
  <si>
    <t>B</t>
  </si>
  <si>
    <t>C</t>
  </si>
  <si>
    <t>2% State Automation - GC 68090.8</t>
  </si>
  <si>
    <t>Sp</t>
  </si>
  <si>
    <t>Fine Component</t>
  </si>
  <si>
    <t>Standard PA, Fees and Surcharge</t>
  </si>
  <si>
    <t>Additional PA, Fees and Surcharge</t>
  </si>
  <si>
    <t>2% Automation</t>
  </si>
  <si>
    <t>State Restitution Fund</t>
  </si>
  <si>
    <t>CITY</t>
  </si>
  <si>
    <t>City %</t>
  </si>
  <si>
    <t>County %</t>
  </si>
  <si>
    <t>County DNA Identification Fund</t>
  </si>
  <si>
    <t>Description and Statute</t>
  </si>
  <si>
    <t>Revenue Distribution Account Mapping</t>
  </si>
  <si>
    <t>Per 10</t>
  </si>
  <si>
    <t>VC 40611</t>
  </si>
  <si>
    <t>Local Criminal Justice Facilities - GC 76101</t>
  </si>
  <si>
    <t>FINDINGS</t>
  </si>
  <si>
    <t>Local Courthouse Construction Fund - GC 76100</t>
  </si>
  <si>
    <t>RLTS</t>
  </si>
  <si>
    <t>County Courthouse Construction Fund</t>
  </si>
  <si>
    <t>County Maddy Emergency Medical Services Fund</t>
  </si>
  <si>
    <t>Traffic School</t>
  </si>
  <si>
    <t>Traffic School Fee</t>
  </si>
  <si>
    <t>VC 42007.1</t>
  </si>
  <si>
    <t>FG</t>
  </si>
  <si>
    <t>HS</t>
  </si>
  <si>
    <t>County Drug Prog Fund</t>
  </si>
  <si>
    <t>State DNA Identification Fund3</t>
  </si>
  <si>
    <t>PC 1465.8</t>
  </si>
  <si>
    <t>#</t>
  </si>
  <si>
    <t>State Transportation Fund</t>
  </si>
  <si>
    <t>Test No.</t>
  </si>
  <si>
    <t>Case No.</t>
  </si>
  <si>
    <t>Arrtg Agy</t>
  </si>
  <si>
    <t>VC 42006</t>
  </si>
  <si>
    <t>County Night Court Session Fund</t>
  </si>
  <si>
    <t>TOTAL FINE</t>
  </si>
  <si>
    <t xml:space="preserve">Court </t>
  </si>
  <si>
    <t># OF APPLICABLE CASES</t>
  </si>
  <si>
    <t>ISSUE DESCRIPTION</t>
  </si>
  <si>
    <t>City Arrest?</t>
  </si>
  <si>
    <t>REVENUE DISTRIBUTION TEST SUMMARY</t>
  </si>
  <si>
    <t>Multiples?</t>
  </si>
  <si>
    <t>Tested?</t>
  </si>
  <si>
    <t>DUI</t>
  </si>
  <si>
    <t>RD</t>
  </si>
  <si>
    <t>RRBF</t>
  </si>
  <si>
    <t>RRTS</t>
  </si>
  <si>
    <t>RLBF</t>
  </si>
  <si>
    <t>SpBF</t>
  </si>
  <si>
    <t>SpTS</t>
  </si>
  <si>
    <t>CS</t>
  </si>
  <si>
    <t>CSTS</t>
  </si>
  <si>
    <t>UC</t>
  </si>
  <si>
    <t>POI</t>
  </si>
  <si>
    <t>DV</t>
  </si>
  <si>
    <t>TOTALS</t>
  </si>
  <si>
    <t>USE IF THE TEST CASE IS UNDER A PAYMENT PLAN</t>
  </si>
  <si>
    <t>Payment Dates</t>
  </si>
  <si>
    <t>Fund Accounts</t>
  </si>
  <si>
    <t xml:space="preserve">3 - Reckless Driving - </t>
  </si>
  <si>
    <t xml:space="preserve">13 - Unattended Child - </t>
  </si>
  <si>
    <t xml:space="preserve">14 - Proof of Correction - </t>
  </si>
  <si>
    <t xml:space="preserve">15 - Proof of Insurance - </t>
  </si>
  <si>
    <t xml:space="preserve">16 - Domestic Violence - </t>
  </si>
  <si>
    <t>Issue?</t>
  </si>
  <si>
    <t>Alameda</t>
  </si>
  <si>
    <t>Alpine</t>
  </si>
  <si>
    <t>Amador</t>
  </si>
  <si>
    <t>Butte</t>
  </si>
  <si>
    <t>Claveras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</si>
  <si>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</si>
  <si>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</si>
  <si>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</si>
  <si>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</si>
  <si>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</si>
  <si>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</si>
  <si>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</si>
  <si>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</si>
  <si>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</si>
  <si>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</si>
  <si>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</si>
  <si>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</si>
  <si>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</si>
  <si>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</si>
  <si>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</si>
  <si>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</si>
  <si>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</si>
  <si>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</si>
  <si>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</si>
  <si>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</si>
  <si>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</si>
  <si>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</si>
  <si>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</si>
  <si>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</si>
  <si>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</si>
  <si>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Plumas</t>
  </si>
  <si>
    <t>Placer</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</si>
  <si>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</si>
  <si>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</si>
  <si>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</si>
  <si>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</si>
  <si>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</si>
  <si>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</si>
  <si>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</si>
  <si>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</si>
  <si>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</si>
  <si>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</si>
  <si>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</si>
  <si>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</si>
  <si>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</si>
  <si>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</si>
  <si>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</si>
  <si>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</si>
  <si>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</si>
  <si>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</si>
  <si>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</si>
  <si>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</si>
  <si>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</si>
  <si>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</si>
  <si>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</si>
  <si>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</si>
  <si>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</si>
  <si>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</si>
  <si>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 xml:space="preserve">Superior Court of </t>
  </si>
  <si>
    <t xml:space="preserve"> County</t>
  </si>
  <si>
    <t>SELECT COURT NAME</t>
  </si>
  <si>
    <t>Criminal Conviction Assessment</t>
  </si>
  <si>
    <t>Title</t>
  </si>
  <si>
    <t>GC 70373</t>
  </si>
  <si>
    <t>per violation NOT per case</t>
  </si>
  <si>
    <t>How Assessed</t>
  </si>
  <si>
    <t>New Assessment or Fee</t>
  </si>
  <si>
    <t>Infraction - $35 fee
Misd or Fel - $30</t>
  </si>
  <si>
    <t xml:space="preserve">Distribution </t>
  </si>
  <si>
    <t>State ICNA Fund</t>
  </si>
  <si>
    <t>State Courthouse Construction</t>
  </si>
  <si>
    <t>GC 70372A</t>
  </si>
  <si>
    <t>for every 10 of the base fine</t>
  </si>
  <si>
    <t>Proof of Correction (POC)</t>
  </si>
  <si>
    <t>from $10 to $25</t>
  </si>
  <si>
    <t>First $10 - same distribution
Remaining $15 and succeeding $25 - State ICNA Fund</t>
  </si>
  <si>
    <t>per case</t>
  </si>
  <si>
    <t>from $24 to $49</t>
  </si>
  <si>
    <t>49% or ~$24  - same distribution
51% or ~$25 - State ICNA Fund</t>
  </si>
  <si>
    <t>Insert line items in the testing worksheet for each of the following new fees and PA, when applicable</t>
  </si>
  <si>
    <t>same distribution</t>
  </si>
  <si>
    <t xml:space="preserve">from $5 reduced by LCCF to flat $5 per 10 </t>
  </si>
  <si>
    <t xml:space="preserve">per violation  </t>
  </si>
  <si>
    <t>from $20 to $30</t>
  </si>
  <si>
    <t>Effective 7/28/09</t>
  </si>
  <si>
    <t>Notes</t>
  </si>
  <si>
    <t>State ICNA</t>
  </si>
  <si>
    <t>UPDATES WHEN TESTING 2009 CASES ONWARDS (effective 1/1/09) - Per SB 1407</t>
  </si>
  <si>
    <t>UPDATES WHEN TESTING 2009 CASES  ONWARDS w/ Violation Date AFTER 7/28/09 - Per SB 13</t>
  </si>
  <si>
    <t>UPDATES WHEN TESTING 2009 CASES  ONWARDS (effective 1/1/09) - Per AB 1949</t>
  </si>
  <si>
    <t>Night Court Assessment Fee</t>
  </si>
  <si>
    <t>same ($1)</t>
  </si>
  <si>
    <t>per case (if levied by the County)</t>
  </si>
  <si>
    <t>New Distribution</t>
  </si>
  <si>
    <r>
      <rPr>
        <u/>
        <sz val="10"/>
        <rFont val="Arial"/>
        <family val="2"/>
      </rPr>
      <t>Before:</t>
    </r>
    <r>
      <rPr>
        <sz val="10"/>
        <rFont val="Arial"/>
        <family val="2"/>
      </rPr>
      <t xml:space="preserve">  County Night Court Session Fund
</t>
    </r>
    <r>
      <rPr>
        <u/>
        <sz val="10"/>
        <rFont val="Arial"/>
        <family val="2"/>
      </rPr>
      <t>Now:</t>
    </r>
    <r>
      <rPr>
        <sz val="10"/>
        <rFont val="Arial"/>
        <family val="2"/>
      </rPr>
      <t xml:space="preserve">  if Court is fully transferred, distributed to the Court Facilities Trust Fund (County to remit in new TC -31 line item).  If NOT fully transferred, distribution follows "Before" distribution.</t>
    </r>
  </si>
  <si>
    <t>Distribution To</t>
  </si>
  <si>
    <t>State ICNA Fund - LCCF divided by 5 or LCCF per 10
State CFCF - 5 less LCCF</t>
  </si>
  <si>
    <t>UPDATES WHEN TESTING 2010 CASES ONWARDS (effective 6/10/10) - Per AB X8 3</t>
  </si>
  <si>
    <t>DNA Addl PA</t>
  </si>
  <si>
    <t>Distribution</t>
  </si>
  <si>
    <t>Same.  To State DNA ID Fund
If under installment, $2 increase in assmnt NOT to be disbursed until after distribution of all "priority 4" costs (e.g. court security, crim conv assmnt) until 1/1/12.  On and after 1/1/12, entire $3 treated as "priority 3"</t>
  </si>
  <si>
    <t>PC 1463.001 - Base County</t>
  </si>
  <si>
    <t>PC 1463.002 - Base City</t>
  </si>
  <si>
    <t>PC 1464 - State PA (7/10)</t>
  </si>
  <si>
    <t>PC 1464 - County PA (3/10)</t>
  </si>
  <si>
    <t>GC 76104.6 - DNA PA (1/10)</t>
  </si>
  <si>
    <t>GC 76100 - LCCF</t>
  </si>
  <si>
    <t>GC 76101 - LCJF</t>
  </si>
  <si>
    <t>GC 76104 - EMS</t>
  </si>
  <si>
    <t>PC 1465.7 - 20% Surcharge</t>
  </si>
  <si>
    <t>SUBTOTAL</t>
  </si>
  <si>
    <t>PC 1463.25 - Alcohol Edu PA (up to $50)</t>
  </si>
  <si>
    <t>PC 1202.4 - State Restitution</t>
  </si>
  <si>
    <t>GC 68090.8 - 2% Automation</t>
  </si>
  <si>
    <t>VC 42006 - Night Court Assmnt ($1)</t>
  </si>
  <si>
    <t>DISTRIBUTION</t>
  </si>
  <si>
    <t>BASE-UP</t>
  </si>
  <si>
    <t>EXPECTED DISTRIBUTION</t>
  </si>
  <si>
    <t>COURT DISTRIBUTION</t>
  </si>
  <si>
    <t>COURT</t>
  </si>
  <si>
    <t>Case Number</t>
  </si>
  <si>
    <t>VC 40508.6 - Priors Admin Fee (up to $10)</t>
  </si>
  <si>
    <t>Enhanced BASE</t>
  </si>
  <si>
    <t>CASE INFORMATION</t>
  </si>
  <si>
    <t>4. Enter standard and Court-specific fees</t>
  </si>
  <si>
    <t>1. Enter Case Information</t>
  </si>
  <si>
    <t>2. Enter the base fine per currrent UBS</t>
  </si>
  <si>
    <t>3. Enter the Court's GC 76000 PA per 10 amts</t>
  </si>
  <si>
    <t>6. Enter Court's distribution codes &amp; amts</t>
  </si>
  <si>
    <r>
      <t xml:space="preserve">EXPECTED
</t>
    </r>
    <r>
      <rPr>
        <b/>
        <sz val="10"/>
        <rFont val="Calibri"/>
        <family val="2"/>
      </rPr>
      <t>(After 2%)</t>
    </r>
  </si>
  <si>
    <t>TOTAL BASE</t>
  </si>
  <si>
    <r>
      <rPr>
        <b/>
        <sz val="11"/>
        <rFont val="Calibri"/>
        <family val="2"/>
      </rPr>
      <t>BASE REDUCTION:</t>
    </r>
    <r>
      <rPr>
        <sz val="11"/>
        <rFont val="Calibri"/>
        <family val="2"/>
      </rPr>
      <t xml:space="preserve"> PC 1463.14(a) - DUI Lab Fees ($50)</t>
    </r>
  </si>
  <si>
    <r>
      <rPr>
        <b/>
        <sz val="11"/>
        <rFont val="Calibri"/>
        <family val="2"/>
      </rPr>
      <t xml:space="preserve">BASE REDUCTION: </t>
    </r>
    <r>
      <rPr>
        <sz val="11"/>
        <rFont val="Calibri"/>
        <family val="2"/>
      </rPr>
      <t>PC 1463.18 - DUI Indemnity ($20)</t>
    </r>
  </si>
  <si>
    <t>Violation Description</t>
  </si>
  <si>
    <t>7. Mark any findings numerically then detail below</t>
  </si>
  <si>
    <t>Total</t>
  </si>
  <si>
    <r>
      <rPr>
        <b/>
        <sz val="12"/>
        <rFont val="Calibri"/>
        <family val="2"/>
      </rPr>
      <t>BASE-UP</t>
    </r>
    <r>
      <rPr>
        <b/>
        <sz val="10"/>
        <rFont val="Calibri"/>
        <family val="2"/>
      </rPr>
      <t xml:space="preserve">
(Standard-Per UBS)</t>
    </r>
  </si>
  <si>
    <t>DISTRIB AMT</t>
  </si>
  <si>
    <t>DISTRIB
ENTITY</t>
  </si>
  <si>
    <t>$ BY ENTITY</t>
  </si>
  <si>
    <t>Crt OR Cty</t>
  </si>
  <si>
    <r>
      <t xml:space="preserve">TOP-DOWN
</t>
    </r>
    <r>
      <rPr>
        <b/>
        <sz val="10"/>
        <rFont val="Calibri"/>
        <family val="2"/>
      </rPr>
      <t>(IAS-Using Sub total % of Std)</t>
    </r>
  </si>
  <si>
    <t>COUNT 2 (if any)</t>
  </si>
  <si>
    <t>GC 76102 - Auto Fingerprint</t>
  </si>
  <si>
    <t>5. If case's total fine is NOT standard, enter total fine and select TOP-DOWN from list</t>
  </si>
  <si>
    <r>
      <rPr>
        <b/>
        <sz val="12"/>
        <color indexed="10"/>
        <rFont val="Calibri"/>
        <family val="2"/>
      </rPr>
      <t>VARIANCE</t>
    </r>
    <r>
      <rPr>
        <b/>
        <sz val="10"/>
        <color indexed="10"/>
        <rFont val="Calibri"/>
        <family val="2"/>
      </rPr>
      <t xml:space="preserve">
</t>
    </r>
    <r>
      <rPr>
        <b/>
        <sz val="10"/>
        <rFont val="Calibri"/>
        <family val="2"/>
      </rPr>
      <t>Over</t>
    </r>
    <r>
      <rPr>
        <b/>
        <sz val="10"/>
        <color indexed="10"/>
        <rFont val="Calibri"/>
        <family val="2"/>
      </rPr>
      <t>/
(Under)</t>
    </r>
  </si>
  <si>
    <t>BASE FINE</t>
  </si>
  <si>
    <t xml:space="preserve">1 - Driving Under Influence - </t>
  </si>
  <si>
    <t>GC 70373 - Crim Conv Assmnt ($30 for misd/$35 for infr)</t>
  </si>
  <si>
    <t>DISTRIB CODE or DESCRIPTION</t>
  </si>
  <si>
    <r>
      <t xml:space="preserve">TEST STEPS </t>
    </r>
    <r>
      <rPr>
        <sz val="12"/>
        <rFont val="Calibri"/>
        <family val="2"/>
      </rPr>
      <t>(color codes)</t>
    </r>
    <r>
      <rPr>
        <b/>
        <sz val="14"/>
        <rFont val="Calibri"/>
        <family val="2"/>
      </rPr>
      <t>:</t>
    </r>
  </si>
  <si>
    <t>PC 1203.1(L) - Restitution Fee (up to 10% of total rest)</t>
  </si>
  <si>
    <t>VC 23152</t>
  </si>
  <si>
    <t>CHP - outside city</t>
  </si>
  <si>
    <t>DUI of Alcohol/Drugs</t>
  </si>
  <si>
    <t>misdemeanor</t>
  </si>
  <si>
    <t>PC 1463.12 - 30% Railroad Allocation</t>
  </si>
  <si>
    <t xml:space="preserve">4 - Railroad Bail Forfeiture - </t>
  </si>
  <si>
    <t>Std Distrib (UBS)</t>
  </si>
  <si>
    <t>30% Railroad
PC 1463.12</t>
  </si>
  <si>
    <t>Traffic infraction</t>
  </si>
  <si>
    <t>VC 42007.4 - 30% Railroad Allocation</t>
  </si>
  <si>
    <t>30% Railroad
VC 42007.4</t>
  </si>
  <si>
    <t>PC 1463.11 - 30% Red Light Allocation</t>
  </si>
  <si>
    <t>30% Red Light
PC 1463.11</t>
  </si>
  <si>
    <t>TOTAL Enhanced Base</t>
  </si>
  <si>
    <t xml:space="preserve">Portion of 10 </t>
  </si>
  <si>
    <t>GC 76104.7 - DNA Addl PA (3/10 eff 6-10-10; prev 1/10)</t>
  </si>
  <si>
    <t>GC 70372(a) - ICNA (equal to LCCF)</t>
  </si>
  <si>
    <t>GC 70372(a) - SCFCF (5/10 minus LCCF)</t>
  </si>
  <si>
    <t>GC 70372(a) total is $5 for every 10</t>
  </si>
  <si>
    <t>CASE NUMBER</t>
  </si>
  <si>
    <r>
      <rPr>
        <b/>
        <sz val="11"/>
        <rFont val="Calibri"/>
        <family val="2"/>
      </rPr>
      <t>BASE REDUCTION</t>
    </r>
    <r>
      <rPr>
        <sz val="11"/>
        <rFont val="Calibri"/>
        <family val="2"/>
      </rPr>
      <t>: PC 1463.16 - DUI Prog Fees (BOS: $50)</t>
    </r>
  </si>
  <si>
    <t>PC 1463.13 - Alcohol &amp; Drug Assmnt (BOS: up to $150)</t>
  </si>
  <si>
    <t>PC 1205(d) - Installment Fee (BOS: up to $30 OR up to $35)</t>
  </si>
  <si>
    <t>GC 76000.5 - EMS Addl PA (BOS: 2/10)</t>
  </si>
  <si>
    <t>PC 1465.8 - Court Sec Fee ($30 eff 7-28-09, prev $20)</t>
  </si>
  <si>
    <t xml:space="preserve">7 - Red Light Traffic School - </t>
  </si>
  <si>
    <t>VC 42007.3 - 30% Red Light Allocation</t>
  </si>
  <si>
    <t>30% Red Light
VC 42007.3</t>
  </si>
  <si>
    <t>VC 42007 - TVS Fee (rem bal: Total fine minus Pre-TVS)</t>
  </si>
  <si>
    <t>VC 42007.1 - Traffic School Fee ($49 -49% to County)</t>
  </si>
  <si>
    <t>VC 42007.1 - Traffic School Fee ($49-51% to State ICNA)</t>
  </si>
  <si>
    <t>Pre-TVS Fee Distrib</t>
  </si>
  <si>
    <t xml:space="preserve">IAS TOP-DOWN </t>
  </si>
  <si>
    <t>Using Sub total % of Base-Up</t>
  </si>
  <si>
    <t>STANDARD BASE-UP</t>
  </si>
  <si>
    <t>Standard-Per UBS</t>
  </si>
  <si>
    <r>
      <t xml:space="preserve">FINAL
</t>
    </r>
    <r>
      <rPr>
        <b/>
        <sz val="10"/>
        <rFont val="Calibri"/>
        <family val="2"/>
      </rPr>
      <t>(After 2%)</t>
    </r>
  </si>
  <si>
    <t>BASE-UP   (B-A)</t>
  </si>
  <si>
    <t>TOP-DOWN   (B-C)</t>
  </si>
  <si>
    <t>2. Enter the base fine of violation per currrent UBS</t>
  </si>
  <si>
    <t>5. If case's total fine is NOT standard, enter total fine and select TOP-DOWN from drop-down list</t>
  </si>
  <si>
    <r>
      <t xml:space="preserve">Standard
</t>
    </r>
    <r>
      <rPr>
        <b/>
        <sz val="10"/>
        <rFont val="Calibri"/>
        <family val="2"/>
      </rPr>
      <t>(based on VC 42007)</t>
    </r>
  </si>
  <si>
    <t>Per case and on violations on or after 6/10/10.</t>
  </si>
  <si>
    <t>VC 42007(c) - Base City (98% of city portion)</t>
  </si>
  <si>
    <t>VC 42007 - Base County</t>
  </si>
  <si>
    <t>Entity</t>
  </si>
  <si>
    <t>BU $</t>
  </si>
  <si>
    <t>TD $</t>
  </si>
  <si>
    <t xml:space="preserve">IAS 
TOP-DOWN </t>
  </si>
  <si>
    <t>COURT 
DISTRIBUTION</t>
  </si>
  <si>
    <t>Using Sub total % of Std incl LCCF &amp; LCJF</t>
  </si>
  <si>
    <t>STANDARD
BASE-UP</t>
  </si>
  <si>
    <t>Standard</t>
  </si>
  <si>
    <t xml:space="preserve">9 - Speeding Bail Forfeiture - </t>
  </si>
  <si>
    <t>Traffic Infraction</t>
  </si>
  <si>
    <t>General Fund</t>
  </si>
  <si>
    <t>Leaving Child &lt;6 Unattended</t>
  </si>
  <si>
    <t>VC 15630 - Base Fine (70% - Educ Prgm)</t>
  </si>
  <si>
    <t>VC 15630 - Base Fine (15% - Admin)</t>
  </si>
  <si>
    <t>VC 15630 - Base Fine (15% - Not specified)</t>
  </si>
  <si>
    <t>City or County General Fund</t>
  </si>
  <si>
    <t>City or County Admin Prog</t>
  </si>
  <si>
    <t>City or County Educ Prog</t>
  </si>
  <si>
    <t>Evidence of Financial Resp</t>
  </si>
  <si>
    <t>Court Special Account</t>
  </si>
  <si>
    <t xml:space="preserve">17 - Health &amp; Safety - </t>
  </si>
  <si>
    <t>County Crim Lab Fund or State GF</t>
  </si>
  <si>
    <t>HS 11502 - Base State (75%)</t>
  </si>
  <si>
    <t>HS 11502 - Base County or City (25%)</t>
  </si>
  <si>
    <t>4. Enter Court-specific fees incl. HS fees if assessed</t>
  </si>
  <si>
    <t xml:space="preserve">18 - Health &amp; Safety (w/ PC 1463.23) - </t>
  </si>
  <si>
    <t xml:space="preserve">19 - Fish &amp; Game - </t>
  </si>
  <si>
    <t>FG 13003 - Base (50% to State)</t>
  </si>
  <si>
    <t>FG 13003 - Base (50% to County)</t>
  </si>
  <si>
    <t>State FG Preservation Fund</t>
  </si>
  <si>
    <t>County FG Propagation Fund</t>
  </si>
  <si>
    <r>
      <t xml:space="preserve">STATUS
</t>
    </r>
    <r>
      <rPr>
        <b/>
        <sz val="10"/>
        <color indexed="9"/>
        <rFont val="Calibri"/>
        <family val="2"/>
      </rPr>
      <t>IM, Log or Verbal</t>
    </r>
  </si>
  <si>
    <t># AFFECTED CASES</t>
  </si>
  <si>
    <t>ADDITIONAL TEST CASES (Insert rows if needed)</t>
  </si>
  <si>
    <t>NA</t>
  </si>
  <si>
    <t>2. Enter the number of POC convictions within the case</t>
  </si>
  <si>
    <t>Proof of Correction</t>
  </si>
  <si>
    <t>3. Enter Court's distribution codes &amp; amts</t>
  </si>
  <si>
    <t>TOTAL POC Convictions</t>
  </si>
  <si>
    <t>STANDARD</t>
  </si>
  <si>
    <t>VC 40611 - Proof of Correction Fee (33% of first $10)</t>
  </si>
  <si>
    <t>VC 40611 - Proof of Correction Fee (34% of first $10)</t>
  </si>
  <si>
    <t>PC 273.5</t>
  </si>
  <si>
    <t>Domestic Violence</t>
  </si>
  <si>
    <t>2. Enter Court's distribution codes &amp; amts</t>
  </si>
  <si>
    <t>UPDATES WHEN TESTING 2010 CASES  ONWARDS w/ Violation Date AFTER 10/19/10 - Per SB 857 Ch. 720</t>
  </si>
  <si>
    <t>sunsets on 7/1/11 unless deleted or extended</t>
  </si>
  <si>
    <t>sunsets on 7/1/13 unless deleted or extended before 1/1/14</t>
  </si>
  <si>
    <t>Emergency Medical Air Trans Penalty</t>
  </si>
  <si>
    <t>GC 76000.10(c)</t>
  </si>
  <si>
    <t>To State Emergency Medical Air Transportation Act Fund</t>
  </si>
  <si>
    <t>Non-Urgency Bill - Chaptered on 9/29/10</t>
  </si>
  <si>
    <t>Urgency Bill - Chaptered on 10/19/10</t>
  </si>
  <si>
    <r>
      <rPr>
        <b/>
        <sz val="10"/>
        <rFont val="Arial"/>
        <family val="2"/>
      </rPr>
      <t xml:space="preserve">Auditor's Note: </t>
    </r>
    <r>
      <rPr>
        <sz val="10"/>
        <rFont val="Arial"/>
        <family val="2"/>
      </rPr>
      <t xml:space="preserve"> However, per PC 1203.1d (e), any addition or increase after 1/1/09 will be </t>
    </r>
    <r>
      <rPr>
        <u/>
        <sz val="10"/>
        <rFont val="Arial"/>
        <family val="2"/>
      </rPr>
      <t>last distrib priority</t>
    </r>
    <r>
      <rPr>
        <sz val="10"/>
        <rFont val="Arial"/>
        <family val="2"/>
      </rPr>
      <t xml:space="preserve">.  &lt;AWAITING OGC opinion by Jasmin&gt;
</t>
    </r>
  </si>
  <si>
    <t>DV Fee</t>
  </si>
  <si>
    <t>PC 1203.097</t>
  </si>
  <si>
    <t xml:space="preserve">sunset not specified. </t>
  </si>
  <si>
    <t>UPDATES WHEN TESTING 2010 CASES  ONWARDS w/ Sentence Date ON &amp; AFTER 8/13/10 - Per AB 2011</t>
  </si>
  <si>
    <t>Urgency Bill - Chaptered on 8/13/10</t>
  </si>
  <si>
    <t>From $200 to $400</t>
  </si>
  <si>
    <r>
      <t xml:space="preserve">2/3 to County Treasurer for DV Prog
1/3 to State Controller </t>
    </r>
    <r>
      <rPr>
        <i/>
        <sz val="10"/>
        <rFont val="Arial"/>
        <family val="2"/>
      </rPr>
      <t>(1/6 to DV RO Reimb Fund &amp; 1/6 to DV Training and Educ Fund)</t>
    </r>
  </si>
  <si>
    <t>per conviction NOT per case</t>
  </si>
  <si>
    <t xml:space="preserve">per convicted violation  </t>
  </si>
  <si>
    <t>assessment of penalty ends on 1/1/16.  Statute sunsets on 1/1/18 unless deleted or extended</t>
  </si>
  <si>
    <t>Priors?</t>
  </si>
  <si>
    <t>Y or BU</t>
  </si>
  <si>
    <t>N or TD</t>
  </si>
  <si>
    <t>Totals</t>
  </si>
  <si>
    <t>GC 29550.2 - Booking Fee</t>
  </si>
  <si>
    <t>Red Signal - Pedestrian Resp</t>
  </si>
  <si>
    <t>VC15620(a)</t>
  </si>
  <si>
    <t>Nolo Plea</t>
  </si>
  <si>
    <t>NonTraffic Infraction</t>
  </si>
  <si>
    <t xml:space="preserve">COUNT 2 </t>
  </si>
  <si>
    <t>COUNT 2</t>
  </si>
  <si>
    <t xml:space="preserve">8 - Red Light Bail Forfeiture (No 30%) - </t>
  </si>
  <si>
    <t>COMMENTS</t>
  </si>
  <si>
    <t>GC 76000.10(c) - EMAT Penalty ($4 eff 1-1-11)</t>
  </si>
  <si>
    <t xml:space="preserve">11 - Child Seat Bail Forfeiture  - </t>
  </si>
  <si>
    <t>VC 27360 or VC 27360.5</t>
  </si>
  <si>
    <t>Child Restraint Req'd</t>
  </si>
  <si>
    <t>Infraction</t>
  </si>
  <si>
    <t>VC 16028(a-c)</t>
  </si>
  <si>
    <t>2. Enter the base fine of violation per local schedule</t>
  </si>
  <si>
    <t>CONV DATE YEAR</t>
  </si>
  <si>
    <r>
      <rPr>
        <b/>
        <sz val="14"/>
        <color indexed="10"/>
        <rFont val="Calibri"/>
        <family val="2"/>
      </rPr>
      <t>TOTAL FINE VARIANCE</t>
    </r>
    <r>
      <rPr>
        <b/>
        <sz val="14"/>
        <rFont val="Calibri"/>
        <family val="2"/>
      </rPr>
      <t xml:space="preserve">
</t>
    </r>
    <r>
      <rPr>
        <b/>
        <sz val="10"/>
        <rFont val="Calibri"/>
        <family val="2"/>
      </rPr>
      <t xml:space="preserve">Overstated
</t>
    </r>
    <r>
      <rPr>
        <b/>
        <sz val="10"/>
        <color indexed="10"/>
        <rFont val="Calibri"/>
        <family val="2"/>
      </rPr>
      <t>(Understated)</t>
    </r>
  </si>
  <si>
    <r>
      <rPr>
        <b/>
        <u/>
        <sz val="11"/>
        <rFont val="Calibri"/>
        <family val="2"/>
      </rPr>
      <t>Mark with:</t>
    </r>
    <r>
      <rPr>
        <b/>
        <sz val="11"/>
        <rFont val="Calibri"/>
        <family val="2"/>
      </rPr>
      <t xml:space="preserve">
V - If issue causes Total Fine variance 
X - If issue causes variances on distribution components</t>
    </r>
  </si>
  <si>
    <t>CMS Account Code</t>
  </si>
  <si>
    <t>Code Description</t>
  </si>
  <si>
    <t>Chaptered on 9/30/10</t>
  </si>
  <si>
    <t>WP Ref
#</t>
  </si>
  <si>
    <t>per conviction</t>
  </si>
  <si>
    <t xml:space="preserve">2011 Criminal Justice Realignment Act transferred trial court security funding from the Judicial branch to the counties. </t>
  </si>
  <si>
    <t>GC 76104.5 - DNA ID</t>
  </si>
  <si>
    <t>FINAL</t>
  </si>
  <si>
    <t>Sunsets 1/1/2013</t>
  </si>
  <si>
    <t>VC 11208 (c)</t>
  </si>
  <si>
    <t>Established by court, not to exceed actual costs of CAP/TAP agency</t>
  </si>
  <si>
    <t>To defray costs of CAP/TAP agency TVS monitoring reports.</t>
  </si>
  <si>
    <t>To defray costs of monitoring TVS instruction.</t>
  </si>
  <si>
    <t>Sunsets 1/1/2016</t>
  </si>
  <si>
    <t>Addl Court TS Admin Fee</t>
  </si>
  <si>
    <t>Addl DMV TS Admin Fee</t>
  </si>
  <si>
    <t>Increase from $1 to $3 for every $10</t>
  </si>
  <si>
    <t>Increase from $30 to $40</t>
  </si>
  <si>
    <t>to State Trial Court Trust Fund</t>
  </si>
  <si>
    <t xml:space="preserve">per criminal conviction </t>
  </si>
  <si>
    <t>per conviction of violation of VC or BOS VC ordinance, except parking violations</t>
  </si>
  <si>
    <t>$40 (reverts to $30 on 7/1/2013 unless extended)</t>
  </si>
  <si>
    <t>New title = Court Operations Assessment
Old title = Court Security Fee</t>
  </si>
  <si>
    <t xml:space="preserve">VC 11205.2 (d)
(VC 11205.2 (c) after 1/1/2013) </t>
  </si>
  <si>
    <t>PC 1465.8 - Court Ops Assmnt ($40 eff 10-19-10)</t>
  </si>
  <si>
    <r>
      <rPr>
        <b/>
        <sz val="11"/>
        <rFont val="Calibri"/>
        <family val="2"/>
      </rPr>
      <t>BASE ENHANCE:</t>
    </r>
    <r>
      <rPr>
        <sz val="11"/>
        <rFont val="Calibri"/>
        <family val="2"/>
      </rPr>
      <t xml:space="preserve"> HS 11372.7 - Drug Prg Fee (up to $150)</t>
    </r>
  </si>
  <si>
    <t>VC 40508.6 - Priors/DMV Admin Fee (up to $10)</t>
  </si>
  <si>
    <t>County Court Construction Fund</t>
  </si>
  <si>
    <t>State Restitution Fine</t>
  </si>
  <si>
    <t>PC 1202.4</t>
  </si>
  <si>
    <t xml:space="preserve">Felony </t>
  </si>
  <si>
    <t>Chaptered on 9/29/11</t>
  </si>
  <si>
    <t>VC 11205.2(c) - Addl Court TS Admin Fee (up to act costs)</t>
  </si>
  <si>
    <t>Prorate % After Fixed Amts</t>
  </si>
  <si>
    <t xml:space="preserve">FINDINGS </t>
  </si>
  <si>
    <t>7. Tickmark any FINDINGS numerically then detail below</t>
  </si>
  <si>
    <t>4. Tickmark any FINDINGS numerically then detail below</t>
  </si>
  <si>
    <t>3. Tickmark any FINDINGS numerically then detail below</t>
  </si>
  <si>
    <t xml:space="preserve">5 - Railroad TS (Same as BF w/o 2%) - </t>
  </si>
  <si>
    <t>County in Unincorp area?</t>
  </si>
  <si>
    <t>City has health dept?</t>
  </si>
  <si>
    <t>Yes</t>
  </si>
  <si>
    <t>No</t>
  </si>
  <si>
    <t>VC 27360.6(c) - Base Fine (60% - Educ Prgm)</t>
  </si>
  <si>
    <t>VC 27360.6(c) - Base Fine (25% - Admin)</t>
  </si>
  <si>
    <t>VC 27360.6(c) - Base Fine (15% - Loaner Prgm)</t>
  </si>
  <si>
    <t xml:space="preserve">12 - Child Seat TS (Same as BF with 2%) - </t>
  </si>
  <si>
    <t>NA-County Arrest</t>
  </si>
  <si>
    <t>NA-City Arrest</t>
  </si>
  <si>
    <t>County Arrest?</t>
  </si>
  <si>
    <t>VC 23649(a) - Co Alc &amp; Drug Prob Assmnt (up to $100)</t>
  </si>
  <si>
    <t>CNTY or CTY</t>
  </si>
  <si>
    <t>VC 23649(a) - Cnty Alc &amp; Drug Prob Assmnt (up to $100)</t>
  </si>
  <si>
    <t>VC 42007.1 - Traffic School Fee ($49*49% to County)</t>
  </si>
  <si>
    <t>VC 42007.1 - Traffic School Fee ($49*51% to State ICNA)</t>
  </si>
  <si>
    <r>
      <t xml:space="preserve">UPDATES WHEN TESTING CASES WITH A RESTITUTION FINE - AB 898, </t>
    </r>
    <r>
      <rPr>
        <b/>
        <sz val="14"/>
        <color rgb="FFFF0000"/>
        <rFont val="Arial"/>
        <family val="2"/>
      </rPr>
      <t>Effective 1/1/12</t>
    </r>
  </si>
  <si>
    <r>
      <t>UPDATES WHEN TESTING CASES - SB1006,</t>
    </r>
    <r>
      <rPr>
        <b/>
        <sz val="14"/>
        <color rgb="FFFF0000"/>
        <rFont val="Arial"/>
        <family val="2"/>
      </rPr>
      <t xml:space="preserve"> Effective 6/27/12</t>
    </r>
  </si>
  <si>
    <t>Chaptered on 6/27/12</t>
  </si>
  <si>
    <t>VC 40611 - Proof of Correction Fee (remaining bal)</t>
  </si>
  <si>
    <t>PC 1202.4(l) - County Collect Fee (BOS: up to 10% of Rest Fine)</t>
  </si>
  <si>
    <t>CNTY or CRT</t>
  </si>
  <si>
    <t>ST or CNTY</t>
  </si>
  <si>
    <t>Additional State DNA Penalty</t>
  </si>
  <si>
    <t>State DNA ID Fund</t>
  </si>
  <si>
    <t>Previous</t>
  </si>
  <si>
    <t>Comments</t>
  </si>
  <si>
    <r>
      <t xml:space="preserve">FEE NAME CHANGE - Effective </t>
    </r>
    <r>
      <rPr>
        <b/>
        <sz val="14"/>
        <color rgb="FFFF0000"/>
        <rFont val="Arial"/>
        <family val="2"/>
      </rPr>
      <t>7/1/2011</t>
    </r>
  </si>
  <si>
    <r>
      <t xml:space="preserve">UPDATES WHEN TESTING 2011 CASES  w/ Violation Date ON &amp; AFTER 1/1/11 - Per AB 2173 Ch. 547, </t>
    </r>
    <r>
      <rPr>
        <b/>
        <sz val="14"/>
        <color rgb="FFFF0000"/>
        <rFont val="Arial"/>
        <family val="2"/>
      </rPr>
      <t>Effective 1/1/2011</t>
    </r>
  </si>
  <si>
    <r>
      <t xml:space="preserve">UPDATES WHEN TESTING 2011 TRAFFIC SCHOOL CASES - AB 2499, </t>
    </r>
    <r>
      <rPr>
        <b/>
        <sz val="14"/>
        <color rgb="FFFF0000"/>
        <rFont val="Arial"/>
        <family val="2"/>
      </rPr>
      <t>Effective 9/1/2011</t>
    </r>
  </si>
  <si>
    <t>per case upon conviction (minimum)</t>
  </si>
  <si>
    <r>
      <rPr>
        <b/>
        <sz val="11"/>
        <rFont val="Calibri"/>
        <family val="2"/>
      </rPr>
      <t>BASE ENHANCE:</t>
    </r>
    <r>
      <rPr>
        <sz val="11"/>
        <rFont val="Calibri"/>
        <family val="2"/>
      </rPr>
      <t xml:space="preserve"> HS 11372.5 - Crim Lab Fee ($50)</t>
    </r>
  </si>
  <si>
    <t>GC 76104.7 - DNA Addl PA (4/10 eff 6-27-12; prev 3/10)</t>
  </si>
  <si>
    <t>Domestic Violence Probation Fee</t>
  </si>
  <si>
    <t>PC 1203.097(a)(5)</t>
  </si>
  <si>
    <t>per violation with probation granted</t>
  </si>
  <si>
    <t>Chaptered on 9/24/12</t>
  </si>
  <si>
    <r>
      <t xml:space="preserve">Expected DV Fee
</t>
    </r>
    <r>
      <rPr>
        <sz val="10"/>
        <rFont val="Calibri"/>
        <family val="2"/>
      </rPr>
      <t>($500 eff 1/1/13; prev $400)</t>
    </r>
  </si>
  <si>
    <r>
      <t xml:space="preserve">PC 1203.097(a)(5) - DV Prog Special Fund </t>
    </r>
    <r>
      <rPr>
        <sz val="9"/>
        <rFont val="Calibri"/>
        <family val="2"/>
      </rPr>
      <t>(2/3 of $500 or $400)</t>
    </r>
  </si>
  <si>
    <r>
      <t xml:space="preserve">PC 1203.097(a)(5) - DV RO Reimb Fund </t>
    </r>
    <r>
      <rPr>
        <sz val="9"/>
        <rFont val="Calibri"/>
        <family val="2"/>
      </rPr>
      <t>(1/6 of $500 or $400)</t>
    </r>
  </si>
  <si>
    <r>
      <t xml:space="preserve">PC 1203.097(a)(5) - DV Train &amp; Educ Fund </t>
    </r>
    <r>
      <rPr>
        <sz val="9"/>
        <rFont val="Calibri"/>
        <family val="2"/>
      </rPr>
      <t>(1/6 of $500 or $400)</t>
    </r>
  </si>
  <si>
    <r>
      <rPr>
        <b/>
        <sz val="11"/>
        <rFont val="Calibri"/>
        <family val="2"/>
      </rPr>
      <t>REDUCE BASE:</t>
    </r>
    <r>
      <rPr>
        <sz val="11"/>
        <rFont val="Calibri"/>
        <family val="2"/>
      </rPr>
      <t xml:space="preserve"> PC 1463.22(a) - Co Special Acct ($17.50)</t>
    </r>
  </si>
  <si>
    <t>PC 1203.1(l) - Victim Rest Collect Fee (Up to 15% of vic rest)</t>
  </si>
  <si>
    <t>Assessment or Fee</t>
  </si>
  <si>
    <t>Increase from $400 to $500</t>
  </si>
  <si>
    <t xml:space="preserve">Court may waive or reduce fee if it finds defendant does not have ability to pay, and MUST state reasons on the record.   </t>
  </si>
  <si>
    <r>
      <t xml:space="preserve">UPDATES WHEN TESTING DOMESTIC VIOLENCE CASES  - AB 2094 Ch.511 , </t>
    </r>
    <r>
      <rPr>
        <b/>
        <sz val="14"/>
        <color rgb="FFFF0000"/>
        <rFont val="Arial"/>
        <family val="2"/>
      </rPr>
      <t>Effective 1/1/2013</t>
    </r>
  </si>
  <si>
    <r>
      <t xml:space="preserve">UPDATES WHEN TESTING CASES WITH A RESTITUTION FINE - AB 898, </t>
    </r>
    <r>
      <rPr>
        <b/>
        <sz val="14"/>
        <color rgb="FFFF0000"/>
        <rFont val="Arial"/>
        <family val="2"/>
      </rPr>
      <t>Effective 1/1/2012</t>
    </r>
  </si>
  <si>
    <t>Increase from $3 to $4 for each $10 of base fine.</t>
  </si>
  <si>
    <t>Per case and on violations on or after 6/27/2012.</t>
  </si>
  <si>
    <t>If under installment, disbursed as "priority 3."</t>
  </si>
  <si>
    <t xml:space="preserve">As of: </t>
  </si>
  <si>
    <t>As of:</t>
  </si>
  <si>
    <t>GC 68090.8 - 2% State Automation (for fines, penalties &amp; forfeitures)</t>
  </si>
  <si>
    <r>
      <rPr>
        <b/>
        <sz val="11"/>
        <rFont val="Calibri"/>
        <family val="2"/>
      </rPr>
      <t>BASE REDUCTION:</t>
    </r>
    <r>
      <rPr>
        <sz val="11"/>
        <rFont val="Calibri"/>
        <family val="2"/>
      </rPr>
      <t xml:space="preserve"> PC 1463.14(a) - DUI Lab Spec Acct ($50)</t>
    </r>
  </si>
  <si>
    <r>
      <rPr>
        <b/>
        <sz val="11"/>
        <rFont val="Calibri"/>
        <family val="2"/>
      </rPr>
      <t>BASE REDUCTION</t>
    </r>
    <r>
      <rPr>
        <sz val="11"/>
        <rFont val="Calibri"/>
        <family val="2"/>
      </rPr>
      <t>: PC 1463.16 - DUI Prog Spec Acct (BOS: $50)</t>
    </r>
  </si>
  <si>
    <r>
      <rPr>
        <b/>
        <sz val="11"/>
        <rFont val="Calibri"/>
        <family val="2"/>
      </rPr>
      <t>BASE REDUCTION:</t>
    </r>
    <r>
      <rPr>
        <sz val="11"/>
        <rFont val="Calibri"/>
        <family val="2"/>
      </rPr>
      <t xml:space="preserve"> PC 1463.14(a) - RD Lab Spec Acct ($50)</t>
    </r>
  </si>
  <si>
    <r>
      <rPr>
        <b/>
        <sz val="11"/>
        <rFont val="Calibri"/>
        <family val="2"/>
      </rPr>
      <t>BASE REDUCTION</t>
    </r>
    <r>
      <rPr>
        <sz val="11"/>
        <rFont val="Calibri"/>
        <family val="2"/>
      </rPr>
      <t>: PC 1463.16 - RD Prog Spec Acct (BOS: $50)</t>
    </r>
  </si>
  <si>
    <t>GC 68090.8 - 2% State Automation (for fines, penalties &amp; forfeitures</t>
  </si>
  <si>
    <r>
      <rPr>
        <b/>
        <sz val="11"/>
        <rFont val="Calibri"/>
        <family val="2"/>
      </rPr>
      <t xml:space="preserve">BASE REDUCTION: </t>
    </r>
    <r>
      <rPr>
        <sz val="11"/>
        <rFont val="Calibri"/>
        <family val="2"/>
      </rPr>
      <t>PC 1463.18 - DUI Indemnity Alloc ($20)</t>
    </r>
  </si>
  <si>
    <t>PC 1463.25 - Alcohol Edu Penalty (up to $50)</t>
  </si>
  <si>
    <t>PC 1463.14(b) - DUI Lab Test Penalty (BOS: up to $50)</t>
  </si>
  <si>
    <r>
      <rPr>
        <b/>
        <sz val="11"/>
        <rFont val="Calibri"/>
        <family val="2"/>
      </rPr>
      <t>BASE REDUCTION:</t>
    </r>
    <r>
      <rPr>
        <sz val="11"/>
        <rFont val="Calibri"/>
        <family val="2"/>
      </rPr>
      <t xml:space="preserve"> PC 1463.23 - AIDS Edu Spec Acct ($50)</t>
    </r>
  </si>
  <si>
    <t>FG 12021 - FG Secret Witness Penalty ($15)</t>
  </si>
  <si>
    <t xml:space="preserve">State Court Construction Penalty - GC 70372 </t>
  </si>
  <si>
    <t xml:space="preserve">Emergency Medical Services - GC 76104 </t>
  </si>
  <si>
    <t>Base Fine - PC 1463.001 (County Portion)</t>
  </si>
  <si>
    <t>Base Fine - PC 1463.001 (City Portion)</t>
  </si>
  <si>
    <t>State PA  - PC 1464</t>
  </si>
  <si>
    <t>County PA - PC 1464</t>
  </si>
  <si>
    <t>EMS Additional Penalty - GC 76000.5</t>
  </si>
  <si>
    <t xml:space="preserve">DNA Identification PA - GC 76104.6 </t>
  </si>
  <si>
    <t xml:space="preserve">DNA Additional PA. - GC 76104.7 </t>
  </si>
  <si>
    <t xml:space="preserve">20% Surcharge - PC 1465.7 </t>
  </si>
  <si>
    <t>Court Operations Assessment - PC 1465.8</t>
  </si>
  <si>
    <t>County DNA ID Fund/State DNA ID Fund (75%/25%)</t>
  </si>
  <si>
    <t>State Penalty Fund (70%)</t>
  </si>
  <si>
    <t>County General Fund (30%)</t>
  </si>
  <si>
    <t>State Court Facilities Construction Fund/SCFCF-ICNA</t>
  </si>
  <si>
    <t>Section operative 1/1/2013</t>
  </si>
  <si>
    <t>Approved and regulated by court, not to exceed actual costs of TAP agency</t>
  </si>
  <si>
    <t>By court per traffic school case</t>
  </si>
  <si>
    <t>To defray costs of TAP agency services.</t>
  </si>
  <si>
    <r>
      <t xml:space="preserve">PC 1205(e) - Install Fee (Actual Costs) OR AR Fee (up to $30)  </t>
    </r>
    <r>
      <rPr>
        <b/>
        <sz val="11"/>
        <rFont val="Calibri"/>
        <family val="2"/>
        <scheme val="minor"/>
      </rPr>
      <t>OR</t>
    </r>
    <r>
      <rPr>
        <sz val="11"/>
        <rFont val="Calibri"/>
        <family val="2"/>
        <scheme val="minor"/>
      </rPr>
      <t xml:space="preserve">
VC 40510.5(g) - Install Fee (up to $35) (DISCRETIONARY)</t>
    </r>
  </si>
  <si>
    <r>
      <t xml:space="preserve">PC 1205(e) - Install Fee (Actual Costs) OR AR Fee (up to $30)  
</t>
    </r>
    <r>
      <rPr>
        <b/>
        <sz val="11"/>
        <rFont val="Calibri"/>
        <family val="2"/>
        <scheme val="minor"/>
      </rPr>
      <t>OR</t>
    </r>
    <r>
      <rPr>
        <sz val="11"/>
        <rFont val="Calibri"/>
        <family val="2"/>
        <scheme val="minor"/>
      </rPr>
      <t xml:space="preserve">
VC 42007(a)(2) - Install Fee (up to $35) (DISCRETIONARY)</t>
    </r>
  </si>
  <si>
    <t xml:space="preserve">VC 11205.2 (c)
</t>
  </si>
  <si>
    <t>PC 1205(e) - Install Fee (Actual Costs) OR AR Fee (up to $30)</t>
  </si>
  <si>
    <t>Distribution Spreadsheets</t>
  </si>
  <si>
    <t>DESCRIPTION</t>
  </si>
  <si>
    <t>RAILROAD Violation disposed as Bail Forfeiture</t>
  </si>
  <si>
    <t>RAILROAD Violation disposed as Traffic School</t>
  </si>
  <si>
    <t>RED LIGHT Violation disposed as Bail Forfeiture</t>
  </si>
  <si>
    <t>RED LIGHT Violation disposed as Traffic School</t>
  </si>
  <si>
    <t>SPEEDING Violation disposed as Bail Forfeiture</t>
  </si>
  <si>
    <t>SPEEDING Violation disposed as Traffic School</t>
  </si>
  <si>
    <t>DOMESTIC VIOLENCE Violation</t>
  </si>
  <si>
    <t xml:space="preserve">FISH &amp; GAME Violation </t>
  </si>
  <si>
    <t>DRIVING UNDER THE INFLUENCE Violation (VC 23152)</t>
  </si>
  <si>
    <t>DRIVING UNDER THE INFLUENCE Violation (VC 23153 - should be same distribution as 1-DUI)</t>
  </si>
  <si>
    <t>RECKLESS DRIVING Violation (VC 23013 or VC 23104)</t>
  </si>
  <si>
    <t>PROOF OF CORRECTION (Any proof correctible violation except for )</t>
  </si>
  <si>
    <t>RED LIGHT Violation without 30% allocation (VC 21453(d) violation)</t>
  </si>
  <si>
    <t>PROOF OF INSURANCE/FINANCIAL RESPONSIBILITY Violation (VC 16028 violation)</t>
  </si>
  <si>
    <t>HEALTH &amp;  SAFETY Violation</t>
  </si>
  <si>
    <t>HEALTH &amp;  SAFETY Violation (with PC 1463.23 AIDS Education Program)</t>
  </si>
  <si>
    <t>UNATTENDED CHILD Violation (VC 15620(a) violation)</t>
  </si>
  <si>
    <t>CHILD SEAT Violation disposed as Bail Forfeiture (VC 27360 or VC 27360.5 violation)</t>
  </si>
  <si>
    <t>CHILD SEAT Violation disposed as Traffic School (VC 27360 or VC 27360.5 violation)</t>
  </si>
  <si>
    <t>VC21453(d)</t>
  </si>
  <si>
    <t>Used by Internal Audit Services of the Administrative Office of the Courts</t>
  </si>
  <si>
    <r>
      <rPr>
        <b/>
        <sz val="20"/>
        <color theme="1"/>
        <rFont val="Calibri"/>
        <family val="2"/>
        <scheme val="minor"/>
      </rPr>
      <t>CAUTION:</t>
    </r>
    <r>
      <rPr>
        <sz val="22"/>
        <color theme="1"/>
        <rFont val="Calibri"/>
        <family val="2"/>
        <scheme val="minor"/>
      </rPr>
      <t xml:space="preserve"> Any changes to the spreadsheets, including the formulas, may result in inaccurate calculations.</t>
    </r>
  </si>
  <si>
    <r>
      <rPr>
        <b/>
        <sz val="20"/>
        <rFont val="Tahoma"/>
        <family val="2"/>
      </rPr>
      <t xml:space="preserve">Disclaimer: </t>
    </r>
    <r>
      <rPr>
        <sz val="20"/>
        <rFont val="Tahoma"/>
        <family val="2"/>
      </rPr>
      <t>All spreadsheets in this workbook (19) have been updated to reflect the statutes in effect as of the date of the latest update.  These spreadsheets are subject to change based on the laws that are in effective subsequent to the latest updates.  When using these spreadsheets, be sure the fines, penalties, fees, and assessments reflect the statutes in effect for the period being reviewed.
Also, please note that the Top-Down distributions on these spreadsheets prorate only the "soft" components of the Total Bail or Fine.</t>
    </r>
  </si>
  <si>
    <t>PC 1464 - State PA - State portion (70%)</t>
  </si>
  <si>
    <t>PC 1464 - State PA - County portion (30%)</t>
  </si>
  <si>
    <t>Court Operations Assessment</t>
  </si>
  <si>
    <t>$3 as determined by DMV per CCR, Title 13, Section 345.00(g)</t>
  </si>
  <si>
    <t>The date to revert the fee back to $30 (7/1/13 per SB 78, ch 10) was repealed by Chapter 41, Statutes of 2012 (SB 1021) extending the $40 amount INDEFINITELY.</t>
  </si>
  <si>
    <t>VC 11208(c) - Addl DMV TS Admin Fee 
($3 per CCR, Title 13, Section 345.00(g))</t>
  </si>
  <si>
    <r>
      <t xml:space="preserve">UPDATE ON PC 1465.8 - COURT OPERATIONS ASSESSMENT - SB 1021 Ch. 41, </t>
    </r>
    <r>
      <rPr>
        <b/>
        <sz val="14"/>
        <color rgb="FFFF0000"/>
        <rFont val="Arial"/>
        <family val="2"/>
      </rPr>
      <t>Effective 6/27/2012</t>
    </r>
  </si>
  <si>
    <r>
      <rPr>
        <b/>
        <sz val="11"/>
        <rFont val="Calibri"/>
        <family val="2"/>
      </rPr>
      <t>REDUCE BASE</t>
    </r>
    <r>
      <rPr>
        <sz val="11"/>
        <rFont val="Calibri"/>
        <family val="2"/>
      </rPr>
      <t>: PC 1463.22(b) - State Trans Fund ($3)</t>
    </r>
  </si>
  <si>
    <r>
      <rPr>
        <b/>
        <sz val="11"/>
        <rFont val="Calibri"/>
        <family val="2"/>
      </rPr>
      <t xml:space="preserve">REDUCE BASE: </t>
    </r>
    <r>
      <rPr>
        <sz val="11"/>
        <rFont val="Calibri"/>
        <family val="2"/>
      </rPr>
      <t>PC 1463.22(c) - State Gen Fund ($10)</t>
    </r>
  </si>
  <si>
    <t>GC 70372(a): ICNA (=LCCF on 1/1/1998)</t>
  </si>
  <si>
    <t>GC 70372(a): SCFCF (=5/10 - ICNA)</t>
  </si>
  <si>
    <t>January 2014</t>
  </si>
  <si>
    <t>Calaveras</t>
  </si>
  <si>
    <t>PC 1202.4(b) - State Restitutn Fine (min: $150 misd/$300 fel)</t>
  </si>
  <si>
    <t>PC 1202.4(b) - State Restitution Fine (min: $150 misd/$300 fel)</t>
  </si>
  <si>
    <t>Superior Court of Claveras County</t>
  </si>
  <si>
    <t>County</t>
  </si>
  <si>
    <t>COUNT 1 Violation Code</t>
  </si>
  <si>
    <t>COUNT 2 Violation Code (if any)</t>
  </si>
  <si>
    <t>GC 76000  =</t>
  </si>
  <si>
    <t>Answer</t>
  </si>
  <si>
    <t>Please choose the county:</t>
  </si>
  <si>
    <t>GC 76000</t>
  </si>
  <si>
    <t>Test for Local Penalties</t>
  </si>
  <si>
    <t>Has the county transferred responsibility for court facilities to the State?</t>
  </si>
  <si>
    <t>Has county paid off all indebtedness for court facilities?</t>
  </si>
  <si>
    <t>GC 76000 (e)</t>
  </si>
  <si>
    <t>3. Enter county local penalties, add'l EMS, SCFCF ICNA</t>
  </si>
  <si>
    <t>GC 76104.6 - DNA PA (1/10) 25%</t>
  </si>
  <si>
    <t>GC 76104.6 - DNA PA (1/10) 75%</t>
  </si>
  <si>
    <t>GC 70372(a): SCFCF (5/10)</t>
  </si>
  <si>
    <t>3. Enter county local penalties, add'l EMS, SCFCF</t>
  </si>
  <si>
    <t>5. If case's total fine is NOT standard, enter total fine and select TOP-DOWN 1 or 2 from drop-down list</t>
  </si>
  <si>
    <t>TOP-DOWN METHOD 2</t>
  </si>
  <si>
    <t xml:space="preserve">Prorate All by Same % </t>
  </si>
  <si>
    <t>GC 76104.7 - DNA Addl PA (4/10)</t>
  </si>
  <si>
    <t>PC 1465.8 - Court Ops Assmnt ($40)</t>
  </si>
  <si>
    <t xml:space="preserve">TOP-DOWN </t>
  </si>
  <si>
    <t>Pre-session Case Study Scenario 2: Speeding, Traffic Violator School</t>
  </si>
  <si>
    <t>Pre-session Case Study Scenario 1: Speeding Bail Forfeiture</t>
  </si>
  <si>
    <t>VC 42007.1 - Traffic School Fee ($49-51% to SCFCF)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</si>
</sst>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7" formatCode="&quot;$&quot;#,##0.00_);\(&quot;$&quot;#,##0.00\)"/>
    <numFmt numFmtId="8" formatCode="&quot;$&quot;#,##0.00_);[Red]\(&quot;$&quot;#,##0.00\)"/>
    <numFmt numFmtId="44" formatCode="_(&quot;$&quot;* #,##0.00_);_(&quot;$&quot;* \(#,##0.00\);_(&quot;$&quot;* &quot;-&quot;??_);_(@_)"/>
    <numFmt numFmtId="164" formatCode="&quot;$&quot;#,##0.00"/>
    <numFmt numFmtId="165" formatCode="0.00_);\(0.00\)"/>
    <numFmt numFmtId="166" formatCode="0.00_);[Red]\(0.00\)"/>
    <numFmt numFmtId="167" formatCode="0_);[Red]\(0\)"/>
    <numFmt numFmtId="168" formatCode="&quot;$&quot;#,##0"/>
  </numFmts>
  <fonts count="82" x14ac:knownFonts="1">
    <font>
      <sz val="10"/>
      <name val="Arial"/>
    </font>
    <font>
      <sz val="11"/>
      <color theme="1"/>
      <name val="Calibri"/>
      <family val="2"/>
      <scheme val="minor"/>
    </font>
    <font>
      <b/>
      <sz val="10"/>
      <name val="Arial"/>
      <family val="2"/>
    </font>
    <font>
      <sz val="8"/>
      <name val="Arial"/>
      <family val="2"/>
    </font>
    <font>
      <b/>
      <sz val="14"/>
      <name val="Arial"/>
      <family val="2"/>
    </font>
    <font>
      <sz val="10"/>
      <name val="Arial"/>
      <family val="2"/>
    </font>
    <font>
      <u/>
      <sz val="10"/>
      <color indexed="12"/>
      <name val="Arial"/>
      <family val="2"/>
    </font>
    <font>
      <b/>
      <sz val="12"/>
      <name val="Arial"/>
      <family val="2"/>
    </font>
    <font>
      <b/>
      <sz val="8"/>
      <color indexed="81"/>
      <name val="Tahoma"/>
      <family val="2"/>
    </font>
    <font>
      <sz val="8"/>
      <color indexed="81"/>
      <name val="Tahoma"/>
      <family val="2"/>
    </font>
    <font>
      <sz val="10"/>
      <name val="Calibri"/>
      <family val="2"/>
    </font>
    <font>
      <sz val="11"/>
      <name val="Calibri"/>
      <family val="2"/>
    </font>
    <font>
      <b/>
      <sz val="14"/>
      <name val="Calibri"/>
      <family val="2"/>
    </font>
    <font>
      <b/>
      <sz val="11"/>
      <name val="Calibri"/>
      <family val="2"/>
    </font>
    <font>
      <b/>
      <sz val="10"/>
      <name val="Calibri"/>
      <family val="2"/>
    </font>
    <font>
      <b/>
      <sz val="10"/>
      <color indexed="9"/>
      <name val="Calibri"/>
      <family val="2"/>
    </font>
    <font>
      <b/>
      <sz val="12"/>
      <name val="Calibri"/>
      <family val="2"/>
    </font>
    <font>
      <sz val="12"/>
      <name val="Calibri"/>
      <family val="2"/>
    </font>
    <font>
      <u/>
      <sz val="10"/>
      <name val="Arial"/>
      <family val="2"/>
    </font>
    <font>
      <sz val="10"/>
      <name val="Arial"/>
      <family val="2"/>
    </font>
    <font>
      <sz val="9"/>
      <name val="Calibri"/>
      <family val="2"/>
    </font>
    <font>
      <b/>
      <sz val="10"/>
      <color indexed="10"/>
      <name val="Calibri"/>
      <family val="2"/>
    </font>
    <font>
      <b/>
      <sz val="12"/>
      <color indexed="10"/>
      <name val="Calibri"/>
      <family val="2"/>
    </font>
    <font>
      <sz val="10"/>
      <name val="Arial"/>
      <family val="2"/>
    </font>
    <font>
      <b/>
      <sz val="14"/>
      <color indexed="10"/>
      <name val="Calibri"/>
      <family val="2"/>
    </font>
    <font>
      <b/>
      <u/>
      <sz val="8"/>
      <color indexed="81"/>
      <name val="Tahoma"/>
      <family val="2"/>
    </font>
    <font>
      <i/>
      <sz val="10"/>
      <name val="Arial"/>
      <family val="2"/>
    </font>
    <font>
      <b/>
      <u/>
      <sz val="11"/>
      <name val="Calibri"/>
      <family val="2"/>
    </font>
    <font>
      <b/>
      <sz val="11"/>
      <color theme="0"/>
      <name val="Calibri"/>
      <family val="2"/>
      <scheme val="minor"/>
    </font>
    <font>
      <sz val="10"/>
      <color theme="1"/>
      <name val="Calibri"/>
      <family val="2"/>
      <scheme val="minor"/>
    </font>
    <font>
      <sz val="11"/>
      <name val="Calibri"/>
      <family val="2"/>
      <scheme val="minor"/>
    </font>
    <font>
      <sz val="10"/>
      <name val="Calibri"/>
      <family val="2"/>
      <scheme val="minor"/>
    </font>
    <font>
      <b/>
      <sz val="14"/>
      <name val="Calibri"/>
      <family val="2"/>
      <scheme val="minor"/>
    </font>
    <font>
      <sz val="12"/>
      <name val="Calibri"/>
      <family val="2"/>
      <scheme val="minor"/>
    </font>
    <font>
      <sz val="12"/>
      <color indexed="9"/>
      <name val="Calibri"/>
      <family val="2"/>
      <scheme val="minor"/>
    </font>
    <font>
      <b/>
      <sz val="10"/>
      <name val="Calibri"/>
      <family val="2"/>
      <scheme val="minor"/>
    </font>
    <font>
      <b/>
      <sz val="11"/>
      <name val="Calibri"/>
      <family val="2"/>
      <scheme val="minor"/>
    </font>
    <font>
      <sz val="10"/>
      <color indexed="9"/>
      <name val="Calibri"/>
      <family val="2"/>
      <scheme val="minor"/>
    </font>
    <font>
      <sz val="14"/>
      <name val="Calibri"/>
      <family val="2"/>
      <scheme val="minor"/>
    </font>
    <font>
      <b/>
      <sz val="12"/>
      <name val="Calibri"/>
      <family val="2"/>
      <scheme val="minor"/>
    </font>
    <font>
      <b/>
      <sz val="13"/>
      <name val="Calibri"/>
      <family val="2"/>
      <scheme val="minor"/>
    </font>
    <font>
      <sz val="9"/>
      <name val="Calibri"/>
      <family val="2"/>
      <scheme val="minor"/>
    </font>
    <font>
      <b/>
      <sz val="12"/>
      <color indexed="9"/>
      <name val="Calibri"/>
      <family val="2"/>
      <scheme val="minor"/>
    </font>
    <font>
      <sz val="8"/>
      <name val="Calibri"/>
      <family val="2"/>
      <scheme val="minor"/>
    </font>
    <font>
      <b/>
      <sz val="14"/>
      <color theme="0"/>
      <name val="Calibri"/>
      <family val="2"/>
      <scheme val="minor"/>
    </font>
    <font>
      <b/>
      <sz val="12"/>
      <color theme="0"/>
      <name val="Calibri"/>
      <family val="2"/>
      <scheme val="minor"/>
    </font>
    <font>
      <b/>
      <sz val="10"/>
      <color rgb="FFFF0000"/>
      <name val="Calibri"/>
      <family val="2"/>
      <scheme val="minor"/>
    </font>
    <font>
      <b/>
      <sz val="13"/>
      <color theme="0"/>
      <name val="Calibri"/>
      <family val="2"/>
      <scheme val="minor"/>
    </font>
    <font>
      <sz val="7"/>
      <name val="Calibri"/>
      <family val="2"/>
      <scheme val="minor"/>
    </font>
    <font>
      <u/>
      <sz val="12"/>
      <color indexed="12"/>
      <name val="Calibri"/>
      <family val="2"/>
      <scheme val="minor"/>
    </font>
    <font>
      <b/>
      <u/>
      <sz val="12"/>
      <color theme="0"/>
      <name val="Calibri"/>
      <family val="2"/>
      <scheme val="minor"/>
    </font>
    <font>
      <b/>
      <sz val="10"/>
      <color theme="0"/>
      <name val="Calibri"/>
      <family val="2"/>
      <scheme val="minor"/>
    </font>
    <font>
      <b/>
      <sz val="9"/>
      <name val="Calibri"/>
      <family val="2"/>
      <scheme val="minor"/>
    </font>
    <font>
      <sz val="9"/>
      <color rgb="FFFF0000"/>
      <name val="Calibri"/>
      <family val="2"/>
      <scheme val="minor"/>
    </font>
    <font>
      <b/>
      <sz val="11"/>
      <color rgb="FFFF0000"/>
      <name val="Calibri"/>
      <family val="2"/>
      <scheme val="minor"/>
    </font>
    <font>
      <b/>
      <sz val="16"/>
      <name val="Calibri"/>
      <family val="2"/>
      <scheme val="minor"/>
    </font>
    <font>
      <b/>
      <sz val="14"/>
      <color indexed="9"/>
      <name val="Calibri"/>
      <family val="2"/>
      <scheme val="minor"/>
    </font>
    <font>
      <b/>
      <sz val="10"/>
      <color indexed="9"/>
      <name val="Calibri"/>
      <family val="2"/>
      <scheme val="minor"/>
    </font>
    <font>
      <b/>
      <sz val="10"/>
      <color indexed="81"/>
      <name val="Tahoma"/>
      <family val="2"/>
    </font>
    <font>
      <sz val="10"/>
      <color indexed="81"/>
      <name val="Tahoma"/>
      <family val="2"/>
    </font>
    <font>
      <sz val="9"/>
      <color indexed="81"/>
      <name val="Tahoma"/>
      <family val="2"/>
    </font>
    <font>
      <b/>
      <sz val="9"/>
      <color indexed="81"/>
      <name val="Tahoma"/>
      <family val="2"/>
    </font>
    <font>
      <b/>
      <i/>
      <sz val="12"/>
      <name val="Calibri"/>
      <family val="2"/>
      <scheme val="minor"/>
    </font>
    <font>
      <b/>
      <sz val="14"/>
      <color rgb="FFFF0000"/>
      <name val="Arial"/>
      <family val="2"/>
    </font>
    <font>
      <b/>
      <sz val="60"/>
      <name val="Tahoma"/>
      <family val="2"/>
    </font>
    <font>
      <b/>
      <sz val="48"/>
      <color theme="1"/>
      <name val="Times New Roman"/>
      <family val="1"/>
    </font>
    <font>
      <sz val="20"/>
      <name val="Tahoma"/>
      <family val="2"/>
    </font>
    <font>
      <b/>
      <sz val="20"/>
      <name val="Tahoma"/>
      <family val="2"/>
    </font>
    <font>
      <sz val="22"/>
      <color theme="1"/>
      <name val="Calibri"/>
      <family val="2"/>
      <scheme val="minor"/>
    </font>
    <font>
      <b/>
      <sz val="20"/>
      <color theme="1"/>
      <name val="Calibri"/>
      <family val="2"/>
      <scheme val="minor"/>
    </font>
    <font>
      <b/>
      <sz val="36"/>
      <name val="Tahoma"/>
      <family val="2"/>
    </font>
    <font>
      <b/>
      <sz val="9"/>
      <color theme="0"/>
      <name val="Calibri"/>
      <family val="2"/>
      <scheme val="minor"/>
    </font>
    <font>
      <sz val="9"/>
      <color rgb="FF333333"/>
      <name val="Verdana"/>
      <family val="2"/>
    </font>
    <font>
      <sz val="10"/>
      <color rgb="FF333333"/>
      <name val="Verdana"/>
      <family val="2"/>
    </font>
    <font>
      <sz val="12"/>
      <name val="Arial"/>
      <family val="2"/>
    </font>
    <font>
      <sz val="14"/>
      <name val="Arial"/>
      <family val="2"/>
    </font>
    <font>
      <u/>
      <sz val="14"/>
      <name val="Arial"/>
      <family val="2"/>
    </font>
    <font>
      <sz val="10"/>
      <color theme="0"/>
      <name val="Arial"/>
      <family val="2"/>
    </font>
    <font>
      <b/>
      <sz val="10"/>
      <color rgb="FF000000"/>
      <name val="Arial"/>
      <family val="2"/>
    </font>
    <font>
      <sz val="8"/>
      <color rgb="FF000000"/>
      <name val="Arial"/>
      <family val="2"/>
    </font>
    <font>
      <u/>
      <sz val="12"/>
      <color indexed="12"/>
      <name val="Calibri Light"/>
      <family val="2"/>
    </font>
    <font>
      <sz val="24"/>
      <color rgb="FF418AB3"/>
      <name val="Wingdings 2"/>
      <family val="1"/>
      <charset val="2"/>
    </font>
  </fonts>
  <fills count="25">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indexed="13"/>
        <bgColor indexed="64"/>
      </patternFill>
    </fill>
    <fill>
      <patternFill patternType="solid">
        <fgColor indexed="23"/>
        <bgColor indexed="64"/>
      </patternFill>
    </fill>
    <fill>
      <patternFill patternType="solid">
        <fgColor indexed="65"/>
        <bgColor indexed="64"/>
      </patternFill>
    </fill>
    <fill>
      <patternFill patternType="solid">
        <fgColor theme="0" tint="-0.14999847407452621"/>
        <bgColor indexed="64"/>
      </patternFill>
    </fill>
    <fill>
      <patternFill patternType="solid">
        <fgColor theme="0"/>
        <bgColor indexed="64"/>
      </patternFill>
    </fill>
    <fill>
      <patternFill patternType="solid">
        <fgColor rgb="FF00B0F0"/>
        <bgColor indexed="64"/>
      </patternFill>
    </fill>
    <fill>
      <patternFill patternType="solid">
        <fgColor theme="6" tint="0.59999389629810485"/>
        <bgColor indexed="64"/>
      </patternFill>
    </fill>
    <fill>
      <patternFill patternType="solid">
        <fgColor rgb="FFFFC0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0000"/>
        <bgColor indexed="64"/>
      </patternFill>
    </fill>
    <fill>
      <patternFill patternType="solid">
        <fgColor theme="1"/>
        <bgColor indexed="64"/>
      </patternFill>
    </fill>
    <fill>
      <patternFill patternType="solid">
        <fgColor rgb="FFFFFFFF"/>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0" tint="-0.14996795556505021"/>
        <bgColor indexed="64"/>
      </patternFill>
    </fill>
  </fills>
  <borders count="10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thick">
        <color indexed="64"/>
      </left>
      <right style="thick">
        <color indexed="64"/>
      </right>
      <top/>
      <bottom style="thick">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ck">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ck">
        <color indexed="64"/>
      </left>
      <right style="thick">
        <color indexed="64"/>
      </right>
      <top style="thick">
        <color indexed="64"/>
      </top>
      <bottom/>
      <diagonal/>
    </border>
    <border>
      <left/>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64"/>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style="thick">
        <color indexed="64"/>
      </bottom>
      <diagonal/>
    </border>
    <border>
      <left/>
      <right style="thin">
        <color indexed="64"/>
      </right>
      <top/>
      <bottom/>
      <diagonal/>
    </border>
    <border>
      <left style="thin">
        <color indexed="64"/>
      </left>
      <right style="thin">
        <color indexed="64"/>
      </right>
      <top/>
      <bottom/>
      <diagonal/>
    </border>
    <border>
      <left style="thick">
        <color indexed="64"/>
      </left>
      <right style="thick">
        <color indexed="64"/>
      </right>
      <top style="thin">
        <color indexed="64"/>
      </top>
      <bottom/>
      <diagonal/>
    </border>
    <border>
      <left style="thin">
        <color indexed="64"/>
      </left>
      <right style="thin">
        <color indexed="64"/>
      </right>
      <top style="thin">
        <color indexed="64"/>
      </top>
      <bottom/>
      <diagonal/>
    </border>
    <border>
      <left/>
      <right style="thick">
        <color indexed="64"/>
      </right>
      <top/>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ck">
        <color indexed="64"/>
      </right>
      <top/>
      <bottom style="thin">
        <color indexed="64"/>
      </bottom>
      <diagonal/>
    </border>
    <border>
      <left style="medium">
        <color indexed="64"/>
      </left>
      <right style="thin">
        <color indexed="64"/>
      </right>
      <top style="medium">
        <color indexed="64"/>
      </top>
      <bottom style="thin">
        <color indexed="64"/>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
      <left style="medium">
        <color indexed="64"/>
      </left>
      <right style="medium">
        <color indexed="64"/>
      </right>
      <top/>
      <bottom style="thin">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medium">
        <color indexed="64"/>
      </left>
      <right style="medium">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ck">
        <color indexed="64"/>
      </left>
      <right style="medium">
        <color indexed="64"/>
      </right>
      <top/>
      <bottom/>
      <diagonal/>
    </border>
    <border>
      <left style="thick">
        <color indexed="64"/>
      </left>
      <right style="medium">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style="thick">
        <color indexed="64"/>
      </left>
      <right style="medium">
        <color indexed="64"/>
      </right>
      <top style="thin">
        <color indexed="64"/>
      </top>
      <bottom style="medium">
        <color indexed="64"/>
      </bottom>
      <diagonal/>
    </border>
    <border>
      <left/>
      <right style="thick">
        <color indexed="64"/>
      </right>
      <top style="thin">
        <color indexed="64"/>
      </top>
      <bottom style="medium">
        <color indexed="64"/>
      </bottom>
      <diagonal/>
    </border>
  </borders>
  <cellStyleXfs count="8">
    <xf numFmtId="0" fontId="0" fillId="0" borderId="0"/>
    <xf numFmtId="44" fontId="23" fillId="0" borderId="0" applyFont="0" applyFill="0" applyBorder="0" applyAlignment="0" applyProtection="0"/>
    <xf numFmtId="44" fontId="5" fillId="0" borderId="0" applyFont="0" applyFill="0" applyBorder="0" applyAlignment="0" applyProtection="0"/>
    <xf numFmtId="0" fontId="6" fillId="0" borderId="0" applyNumberFormat="0" applyFill="0" applyBorder="0" applyAlignment="0" applyProtection="0">
      <alignment vertical="top"/>
      <protection locked="0"/>
    </xf>
    <xf numFmtId="0" fontId="5" fillId="0" borderId="0"/>
    <xf numFmtId="9" fontId="19" fillId="0" borderId="0" applyFont="0" applyFill="0" applyBorder="0" applyAlignment="0" applyProtection="0"/>
    <xf numFmtId="9" fontId="5" fillId="0" borderId="0" applyFont="0" applyFill="0" applyBorder="0" applyAlignment="0" applyProtection="0"/>
    <xf numFmtId="0" fontId="1" fillId="0" borderId="0"/>
  </cellStyleXfs>
  <cellXfs count="1376">
    <xf numFmtId="0" fontId="0" fillId="0" borderId="0" xfId="0"/>
    <xf numFmtId="0" fontId="0" fillId="0" borderId="0" xfId="0" applyAlignment="1">
      <alignment vertical="top" wrapText="1"/>
    </xf>
    <xf numFmtId="0" fontId="2" fillId="0" borderId="0" xfId="0" applyFont="1" applyAlignment="1">
      <alignment horizontal="center" vertical="top" wrapText="1"/>
    </xf>
    <xf numFmtId="0" fontId="0" fillId="0" borderId="0" xfId="0" applyAlignment="1">
      <alignment vertical="top"/>
    </xf>
    <xf numFmtId="2" fontId="0" fillId="0" borderId="0" xfId="0" applyNumberFormat="1" applyAlignment="1">
      <alignment vertical="top"/>
    </xf>
    <xf numFmtId="0" fontId="2" fillId="0" borderId="0" xfId="0" applyFont="1" applyAlignment="1">
      <alignment horizontal="center"/>
    </xf>
    <xf numFmtId="0" fontId="2" fillId="0" borderId="1" xfId="0" applyFont="1" applyBorder="1" applyAlignment="1">
      <alignment horizontal="center"/>
    </xf>
    <xf numFmtId="0" fontId="7" fillId="0" borderId="0" xfId="0" applyFont="1" applyProtection="1">
      <protection locked="0"/>
    </xf>
    <xf numFmtId="0" fontId="0" fillId="0" borderId="0" xfId="0" applyProtection="1">
      <protection locked="0"/>
    </xf>
    <xf numFmtId="0" fontId="2" fillId="2" borderId="1" xfId="0" applyFont="1" applyFill="1" applyBorder="1" applyAlignment="1" applyProtection="1">
      <alignment horizontal="center"/>
      <protection locked="0"/>
    </xf>
    <xf numFmtId="0" fontId="2" fillId="0" borderId="0" xfId="0" applyFont="1" applyAlignment="1" applyProtection="1">
      <alignment horizontal="center"/>
      <protection locked="0"/>
    </xf>
    <xf numFmtId="0" fontId="0" fillId="0" borderId="1" xfId="0" applyBorder="1" applyAlignment="1" applyProtection="1">
      <alignment vertical="top"/>
      <protection locked="0"/>
    </xf>
    <xf numFmtId="0" fontId="2" fillId="0" borderId="1" xfId="0" applyFont="1" applyBorder="1" applyAlignment="1" applyProtection="1">
      <alignment vertical="top" wrapText="1"/>
      <protection locked="0"/>
    </xf>
    <xf numFmtId="0" fontId="5" fillId="0" borderId="1" xfId="0" applyFont="1" applyBorder="1" applyAlignment="1" applyProtection="1">
      <alignment vertical="top" wrapText="1"/>
      <protection locked="0"/>
    </xf>
    <xf numFmtId="0" fontId="0" fillId="0" borderId="1" xfId="0" applyBorder="1" applyAlignment="1" applyProtection="1">
      <alignment vertical="top" wrapText="1"/>
      <protection locked="0"/>
    </xf>
    <xf numFmtId="0" fontId="5" fillId="0" borderId="1" xfId="0" applyFont="1" applyBorder="1" applyAlignment="1" applyProtection="1">
      <alignment horizontal="left" vertical="top" wrapText="1"/>
      <protection locked="0"/>
    </xf>
    <xf numFmtId="0" fontId="0" fillId="0" borderId="1" xfId="0" applyBorder="1" applyProtection="1">
      <protection locked="0"/>
    </xf>
    <xf numFmtId="0" fontId="7" fillId="0" borderId="0" xfId="0" applyFont="1"/>
    <xf numFmtId="14" fontId="0" fillId="0" borderId="0" xfId="0" applyNumberFormat="1" applyAlignment="1">
      <alignment vertical="top"/>
    </xf>
    <xf numFmtId="14" fontId="2" fillId="2" borderId="1" xfId="0" applyNumberFormat="1" applyFont="1" applyFill="1" applyBorder="1" applyAlignment="1">
      <alignment horizontal="center" vertical="top"/>
    </xf>
    <xf numFmtId="14" fontId="0" fillId="2" borderId="1" xfId="0" applyNumberFormat="1" applyFill="1" applyBorder="1" applyAlignment="1">
      <alignment vertical="top"/>
    </xf>
    <xf numFmtId="14" fontId="2" fillId="0" borderId="0" xfId="0" applyNumberFormat="1" applyFont="1" applyAlignment="1">
      <alignment horizontal="center" vertical="top"/>
    </xf>
    <xf numFmtId="14" fontId="2" fillId="0" borderId="1" xfId="0" applyNumberFormat="1" applyFont="1" applyBorder="1" applyAlignment="1">
      <alignment vertical="top"/>
    </xf>
    <xf numFmtId="14" fontId="2" fillId="3" borderId="1" xfId="0" applyNumberFormat="1" applyFont="1" applyFill="1" applyBorder="1" applyAlignment="1">
      <alignment vertical="top"/>
    </xf>
    <xf numFmtId="2" fontId="0" fillId="0" borderId="1" xfId="0" applyNumberFormat="1" applyBorder="1" applyAlignment="1">
      <alignment vertical="top"/>
    </xf>
    <xf numFmtId="14" fontId="7" fillId="0" borderId="0" xfId="0" applyNumberFormat="1" applyFont="1" applyAlignment="1">
      <alignment vertical="top"/>
    </xf>
    <xf numFmtId="0" fontId="7" fillId="0" borderId="0" xfId="0" applyFont="1" applyAlignment="1">
      <alignment vertical="top"/>
    </xf>
    <xf numFmtId="14" fontId="2" fillId="0" borderId="0" xfId="0" applyNumberFormat="1" applyFont="1" applyAlignment="1">
      <alignment vertical="top"/>
    </xf>
    <xf numFmtId="2" fontId="2" fillId="0" borderId="0" xfId="0" applyNumberFormat="1" applyFont="1" applyAlignment="1">
      <alignment vertical="top"/>
    </xf>
    <xf numFmtId="14" fontId="0" fillId="4" borderId="1" xfId="0" applyNumberFormat="1" applyFill="1" applyBorder="1" applyAlignment="1">
      <alignment vertical="top"/>
    </xf>
    <xf numFmtId="0" fontId="5" fillId="4" borderId="1" xfId="0" applyFont="1" applyFill="1" applyBorder="1" applyAlignment="1">
      <alignment horizontal="left" vertical="top" wrapText="1"/>
    </xf>
    <xf numFmtId="0" fontId="0" fillId="4" borderId="1" xfId="0" applyFill="1" applyBorder="1" applyAlignment="1">
      <alignment vertical="top"/>
    </xf>
    <xf numFmtId="0" fontId="2" fillId="4" borderId="1" xfId="0" applyFont="1" applyFill="1" applyBorder="1" applyAlignment="1">
      <alignment vertical="top"/>
    </xf>
    <xf numFmtId="2" fontId="2" fillId="4" borderId="1" xfId="0" applyNumberFormat="1" applyFont="1" applyFill="1" applyBorder="1" applyAlignment="1">
      <alignment vertical="top"/>
    </xf>
    <xf numFmtId="0" fontId="29" fillId="0" borderId="2" xfId="0" applyFont="1" applyBorder="1" applyAlignment="1">
      <alignment horizontal="left" vertical="top"/>
    </xf>
    <xf numFmtId="0" fontId="29" fillId="0" borderId="1" xfId="0" applyFont="1" applyBorder="1" applyAlignment="1">
      <alignment horizontal="left" vertical="top"/>
    </xf>
    <xf numFmtId="0" fontId="5" fillId="0" borderId="0" xfId="0" applyFont="1"/>
    <xf numFmtId="0" fontId="30" fillId="0" borderId="0" xfId="0" applyFont="1"/>
    <xf numFmtId="0" fontId="5" fillId="0" borderId="0" xfId="0" applyFont="1" applyAlignment="1">
      <alignment vertical="top"/>
    </xf>
    <xf numFmtId="0" fontId="5" fillId="0" borderId="1" xfId="0" applyFont="1" applyBorder="1" applyAlignment="1">
      <alignment vertical="top" wrapText="1"/>
    </xf>
    <xf numFmtId="0" fontId="2" fillId="9" borderId="1" xfId="0" applyFont="1" applyFill="1" applyBorder="1" applyAlignment="1">
      <alignment horizontal="center" vertical="top" wrapText="1"/>
    </xf>
    <xf numFmtId="0" fontId="4" fillId="0" borderId="0" xfId="0" applyFont="1" applyAlignment="1">
      <alignment vertical="top"/>
    </xf>
    <xf numFmtId="0" fontId="5" fillId="0" borderId="3" xfId="0" applyFont="1" applyBorder="1" applyAlignment="1">
      <alignment vertical="top"/>
    </xf>
    <xf numFmtId="0" fontId="5" fillId="0" borderId="0" xfId="0" applyFont="1" applyAlignment="1">
      <alignment vertical="top" wrapText="1"/>
    </xf>
    <xf numFmtId="0" fontId="2" fillId="0" borderId="0" xfId="0" applyFont="1" applyAlignment="1">
      <alignment vertical="top" wrapText="1"/>
    </xf>
    <xf numFmtId="0" fontId="5" fillId="0" borderId="3" xfId="0" applyFont="1" applyBorder="1" applyAlignment="1">
      <alignment vertical="top" wrapText="1"/>
    </xf>
    <xf numFmtId="0" fontId="31" fillId="0" borderId="0" xfId="0" applyFont="1" applyAlignment="1" applyProtection="1">
      <alignment vertical="top"/>
      <protection locked="0"/>
    </xf>
    <xf numFmtId="0" fontId="32" fillId="10" borderId="0" xfId="0" applyFont="1" applyFill="1" applyAlignment="1" applyProtection="1">
      <alignment horizontal="right" vertical="top"/>
      <protection locked="0"/>
    </xf>
    <xf numFmtId="0" fontId="32" fillId="10" borderId="0" xfId="0" applyFont="1" applyFill="1" applyAlignment="1" applyProtection="1">
      <alignment horizontal="left" vertical="top"/>
      <protection locked="0"/>
    </xf>
    <xf numFmtId="0" fontId="32" fillId="10" borderId="4" xfId="0" applyFont="1" applyFill="1" applyBorder="1" applyAlignment="1" applyProtection="1">
      <alignment horizontal="left" vertical="top"/>
      <protection locked="0"/>
    </xf>
    <xf numFmtId="0" fontId="31" fillId="10" borderId="0" xfId="0" applyFont="1" applyFill="1" applyAlignment="1" applyProtection="1">
      <alignment vertical="top"/>
      <protection locked="0"/>
    </xf>
    <xf numFmtId="0" fontId="33" fillId="11" borderId="5" xfId="0" applyFont="1" applyFill="1" applyBorder="1" applyAlignment="1" applyProtection="1">
      <alignment horizontal="center" vertical="top"/>
      <protection locked="0"/>
    </xf>
    <xf numFmtId="0" fontId="33" fillId="10" borderId="0" xfId="0" applyFont="1" applyFill="1" applyAlignment="1" applyProtection="1">
      <alignment horizontal="center" vertical="top"/>
      <protection locked="0"/>
    </xf>
    <xf numFmtId="0" fontId="33" fillId="10" borderId="0" xfId="0" applyFont="1" applyFill="1" applyAlignment="1" applyProtection="1">
      <alignment vertical="top"/>
      <protection locked="0"/>
    </xf>
    <xf numFmtId="0" fontId="33" fillId="12" borderId="6" xfId="0" applyFont="1" applyFill="1" applyBorder="1" applyAlignment="1" applyProtection="1">
      <alignment horizontal="center" vertical="top"/>
      <protection locked="0"/>
    </xf>
    <xf numFmtId="6" fontId="33" fillId="10" borderId="0" xfId="0" applyNumberFormat="1" applyFont="1" applyFill="1" applyAlignment="1" applyProtection="1">
      <alignment horizontal="right" vertical="top" wrapText="1"/>
      <protection locked="0"/>
    </xf>
    <xf numFmtId="0" fontId="33" fillId="10" borderId="0" xfId="0" applyFont="1" applyFill="1" applyAlignment="1" applyProtection="1">
      <alignment vertical="top" wrapText="1"/>
      <protection locked="0"/>
    </xf>
    <xf numFmtId="0" fontId="33" fillId="10" borderId="0" xfId="0" applyFont="1" applyFill="1" applyAlignment="1" applyProtection="1">
      <alignment horizontal="right" vertical="top" wrapText="1"/>
      <protection locked="0"/>
    </xf>
    <xf numFmtId="165" fontId="34" fillId="10" borderId="0" xfId="0" applyNumberFormat="1" applyFont="1" applyFill="1" applyAlignment="1" applyProtection="1">
      <alignment vertical="top"/>
      <protection locked="0"/>
    </xf>
    <xf numFmtId="164" fontId="33" fillId="10" borderId="0" xfId="0" applyNumberFormat="1" applyFont="1" applyFill="1" applyAlignment="1" applyProtection="1">
      <alignment vertical="top"/>
      <protection locked="0"/>
    </xf>
    <xf numFmtId="0" fontId="33" fillId="10" borderId="0" xfId="0" applyFont="1" applyFill="1" applyAlignment="1" applyProtection="1">
      <alignment horizontal="left" vertical="top" wrapText="1"/>
      <protection locked="0"/>
    </xf>
    <xf numFmtId="9" fontId="35" fillId="10" borderId="7" xfId="0" applyNumberFormat="1" applyFont="1" applyFill="1" applyBorder="1" applyAlignment="1" applyProtection="1">
      <alignment horizontal="center" vertical="top" textRotation="90" wrapText="1"/>
      <protection locked="0"/>
    </xf>
    <xf numFmtId="9" fontId="35" fillId="5" borderId="0" xfId="0" applyNumberFormat="1" applyFont="1" applyFill="1" applyAlignment="1" applyProtection="1">
      <alignment horizontal="center" vertical="top" textRotation="90" wrapText="1"/>
      <protection locked="0"/>
    </xf>
    <xf numFmtId="0" fontId="30" fillId="0" borderId="3" xfId="0" applyFont="1" applyBorder="1" applyAlignment="1" applyProtection="1">
      <alignment horizontal="center" vertical="top" wrapText="1"/>
      <protection locked="0"/>
    </xf>
    <xf numFmtId="0" fontId="30" fillId="0" borderId="3" xfId="0" applyFont="1" applyBorder="1" applyAlignment="1" applyProtection="1">
      <alignment horizontal="right" vertical="top" wrapText="1"/>
      <protection locked="0"/>
    </xf>
    <xf numFmtId="0" fontId="30" fillId="0" borderId="3" xfId="0" applyFont="1" applyBorder="1" applyAlignment="1" applyProtection="1">
      <alignment vertical="top" wrapText="1"/>
      <protection locked="0"/>
    </xf>
    <xf numFmtId="2" fontId="30" fillId="5" borderId="0" xfId="0" applyNumberFormat="1" applyFont="1" applyFill="1" applyAlignment="1" applyProtection="1">
      <alignment vertical="top"/>
      <protection locked="0"/>
    </xf>
    <xf numFmtId="164" fontId="30" fillId="0" borderId="1" xfId="0" applyNumberFormat="1" applyFont="1" applyBorder="1" applyAlignment="1" applyProtection="1">
      <alignment vertical="top" wrapText="1"/>
      <protection locked="0"/>
    </xf>
    <xf numFmtId="0" fontId="30" fillId="0" borderId="0" xfId="0" applyFont="1" applyAlignment="1" applyProtection="1">
      <alignment vertical="top"/>
      <protection locked="0"/>
    </xf>
    <xf numFmtId="0" fontId="30" fillId="0" borderId="1" xfId="0" applyFont="1" applyBorder="1" applyAlignment="1" applyProtection="1">
      <alignment horizontal="center" vertical="top" wrapText="1"/>
      <protection locked="0"/>
    </xf>
    <xf numFmtId="0" fontId="30" fillId="0" borderId="1" xfId="0" applyFont="1" applyBorder="1" applyAlignment="1" applyProtection="1">
      <alignment horizontal="right" vertical="top" wrapText="1"/>
      <protection locked="0"/>
    </xf>
    <xf numFmtId="0" fontId="30" fillId="0" borderId="1" xfId="0" applyFont="1" applyBorder="1" applyAlignment="1" applyProtection="1">
      <alignment vertical="top" wrapText="1"/>
      <protection locked="0"/>
    </xf>
    <xf numFmtId="2" fontId="30" fillId="0" borderId="8" xfId="0" applyNumberFormat="1" applyFont="1" applyBorder="1" applyAlignment="1" applyProtection="1">
      <alignment vertical="top"/>
      <protection locked="0"/>
    </xf>
    <xf numFmtId="0" fontId="30" fillId="13" borderId="1" xfId="0" applyFont="1" applyFill="1" applyBorder="1" applyAlignment="1" applyProtection="1">
      <alignment horizontal="center" vertical="top" wrapText="1"/>
      <protection locked="0"/>
    </xf>
    <xf numFmtId="0" fontId="30" fillId="0" borderId="9" xfId="0" applyFont="1" applyBorder="1" applyAlignment="1" applyProtection="1">
      <alignment vertical="top"/>
      <protection locked="0"/>
    </xf>
    <xf numFmtId="0" fontId="30" fillId="5" borderId="0" xfId="0" applyFont="1" applyFill="1" applyAlignment="1" applyProtection="1">
      <alignment vertical="top"/>
      <protection locked="0"/>
    </xf>
    <xf numFmtId="0" fontId="36" fillId="0" borderId="1" xfId="0" applyFont="1" applyBorder="1" applyAlignment="1" applyProtection="1">
      <alignment horizontal="center" vertical="top" wrapText="1"/>
      <protection locked="0"/>
    </xf>
    <xf numFmtId="0" fontId="36" fillId="0" borderId="1" xfId="0" applyFont="1" applyBorder="1" applyAlignment="1" applyProtection="1">
      <alignment horizontal="right" vertical="top" wrapText="1"/>
      <protection locked="0"/>
    </xf>
    <xf numFmtId="0" fontId="36" fillId="0" borderId="1" xfId="0" applyFont="1" applyBorder="1" applyAlignment="1" applyProtection="1">
      <alignment vertical="top" wrapText="1"/>
      <protection locked="0"/>
    </xf>
    <xf numFmtId="164" fontId="36" fillId="0" borderId="1" xfId="0" applyNumberFormat="1" applyFont="1" applyBorder="1" applyAlignment="1" applyProtection="1">
      <alignment vertical="top" wrapText="1"/>
      <protection locked="0"/>
    </xf>
    <xf numFmtId="0" fontId="36" fillId="0" borderId="0" xfId="0" applyFont="1" applyAlignment="1" applyProtection="1">
      <alignment vertical="top"/>
      <protection locked="0"/>
    </xf>
    <xf numFmtId="0" fontId="30" fillId="14" borderId="1" xfId="0" applyFont="1" applyFill="1" applyBorder="1" applyAlignment="1" applyProtection="1">
      <alignment vertical="top" wrapText="1"/>
      <protection locked="0"/>
    </xf>
    <xf numFmtId="0" fontId="30" fillId="14" borderId="1" xfId="0" applyFont="1" applyFill="1" applyBorder="1" applyAlignment="1" applyProtection="1">
      <alignment vertical="top"/>
      <protection locked="0"/>
    </xf>
    <xf numFmtId="0" fontId="30" fillId="0" borderId="1" xfId="0" applyFont="1" applyBorder="1" applyAlignment="1" applyProtection="1">
      <alignment horizontal="center" vertical="top"/>
      <protection locked="0"/>
    </xf>
    <xf numFmtId="0" fontId="30" fillId="0" borderId="1" xfId="0" applyFont="1" applyBorder="1" applyAlignment="1" applyProtection="1">
      <alignment horizontal="right" vertical="top"/>
      <protection locked="0"/>
    </xf>
    <xf numFmtId="0" fontId="30" fillId="0" borderId="1" xfId="0" applyFont="1" applyBorder="1" applyAlignment="1" applyProtection="1">
      <alignment vertical="top"/>
      <protection locked="0"/>
    </xf>
    <xf numFmtId="2" fontId="30" fillId="0" borderId="1" xfId="0" applyNumberFormat="1" applyFont="1" applyBorder="1" applyAlignment="1" applyProtection="1">
      <alignment vertical="top"/>
      <protection locked="0"/>
    </xf>
    <xf numFmtId="0" fontId="31" fillId="0" borderId="0" xfId="0" applyFont="1" applyAlignment="1" applyProtection="1">
      <alignment horizontal="center" vertical="top"/>
      <protection locked="0"/>
    </xf>
    <xf numFmtId="0" fontId="31" fillId="0" borderId="0" xfId="0" applyFont="1" applyAlignment="1" applyProtection="1">
      <alignment horizontal="left" vertical="top"/>
      <protection locked="0"/>
    </xf>
    <xf numFmtId="0" fontId="31" fillId="5" borderId="0" xfId="0" applyFont="1" applyFill="1" applyAlignment="1" applyProtection="1">
      <alignment vertical="top"/>
      <protection locked="0"/>
    </xf>
    <xf numFmtId="165" fontId="37" fillId="0" borderId="0" xfId="0" applyNumberFormat="1" applyFont="1" applyAlignment="1" applyProtection="1">
      <alignment vertical="top"/>
      <protection locked="0"/>
    </xf>
    <xf numFmtId="0" fontId="31" fillId="0" borderId="0" xfId="0" applyFont="1" applyAlignment="1" applyProtection="1">
      <alignment vertical="top" wrapText="1"/>
      <protection locked="0"/>
    </xf>
    <xf numFmtId="0" fontId="38" fillId="0" borderId="0" xfId="0" applyFont="1" applyAlignment="1" applyProtection="1">
      <alignment vertical="top"/>
      <protection locked="0"/>
    </xf>
    <xf numFmtId="2" fontId="30" fillId="0" borderId="1" xfId="0" applyNumberFormat="1" applyFont="1" applyBorder="1" applyAlignment="1">
      <alignment vertical="top" wrapText="1"/>
    </xf>
    <xf numFmtId="164" fontId="30" fillId="0" borderId="3" xfId="0" applyNumberFormat="1" applyFont="1" applyBorder="1" applyAlignment="1" applyProtection="1">
      <alignment vertical="top" wrapText="1"/>
      <protection locked="0"/>
    </xf>
    <xf numFmtId="0" fontId="39" fillId="10" borderId="0" xfId="0" applyFont="1" applyFill="1" applyAlignment="1" applyProtection="1">
      <alignment vertical="top"/>
      <protection locked="0"/>
    </xf>
    <xf numFmtId="0" fontId="39" fillId="10" borderId="0" xfId="0" applyFont="1" applyFill="1" applyAlignment="1">
      <alignment horizontal="left" vertical="top" wrapText="1"/>
    </xf>
    <xf numFmtId="0" fontId="39" fillId="10" borderId="0" xfId="0" applyFont="1" applyFill="1" applyAlignment="1">
      <alignment vertical="top"/>
    </xf>
    <xf numFmtId="0" fontId="39" fillId="0" borderId="0" xfId="0" applyFont="1" applyAlignment="1">
      <alignment vertical="top"/>
    </xf>
    <xf numFmtId="0" fontId="39" fillId="5" borderId="0" xfId="0" applyFont="1" applyFill="1" applyAlignment="1">
      <alignment horizontal="center" vertical="top" wrapText="1"/>
    </xf>
    <xf numFmtId="0" fontId="39" fillId="5" borderId="0" xfId="0" applyFont="1" applyFill="1" applyAlignment="1">
      <alignment horizontal="center" vertical="top"/>
    </xf>
    <xf numFmtId="9" fontId="35" fillId="9" borderId="10" xfId="0" applyNumberFormat="1" applyFont="1" applyFill="1" applyBorder="1" applyAlignment="1">
      <alignment horizontal="center" vertical="top" wrapText="1"/>
    </xf>
    <xf numFmtId="0" fontId="35" fillId="9" borderId="10" xfId="0" applyFont="1" applyFill="1" applyBorder="1" applyAlignment="1">
      <alignment horizontal="center" vertical="top" wrapText="1"/>
    </xf>
    <xf numFmtId="0" fontId="35" fillId="9" borderId="11" xfId="0" applyFont="1" applyFill="1" applyBorder="1" applyAlignment="1">
      <alignment horizontal="center" vertical="top" wrapText="1"/>
    </xf>
    <xf numFmtId="9" fontId="35" fillId="9" borderId="12" xfId="0" applyNumberFormat="1" applyFont="1" applyFill="1" applyBorder="1" applyAlignment="1">
      <alignment horizontal="center" vertical="top" wrapText="1"/>
    </xf>
    <xf numFmtId="0" fontId="35" fillId="9" borderId="12" xfId="0" applyFont="1" applyFill="1" applyBorder="1" applyAlignment="1">
      <alignment horizontal="center" vertical="top" wrapText="1"/>
    </xf>
    <xf numFmtId="2" fontId="35" fillId="9" borderId="12" xfId="0" applyNumberFormat="1" applyFont="1" applyFill="1" applyBorder="1" applyAlignment="1">
      <alignment horizontal="center" vertical="top" wrapText="1"/>
    </xf>
    <xf numFmtId="9" fontId="39" fillId="9" borderId="13" xfId="0" applyNumberFormat="1" applyFont="1" applyFill="1" applyBorder="1" applyAlignment="1">
      <alignment horizontal="center" vertical="top" wrapText="1"/>
    </xf>
    <xf numFmtId="0" fontId="39" fillId="9" borderId="0" xfId="0" applyFont="1" applyFill="1" applyAlignment="1">
      <alignment horizontal="center" vertical="top" wrapText="1"/>
    </xf>
    <xf numFmtId="2" fontId="39" fillId="9" borderId="10" xfId="0" applyNumberFormat="1" applyFont="1" applyFill="1" applyBorder="1" applyAlignment="1">
      <alignment horizontal="center" vertical="top" wrapText="1"/>
    </xf>
    <xf numFmtId="2" fontId="40" fillId="5" borderId="0" xfId="0" applyNumberFormat="1" applyFont="1" applyFill="1" applyAlignment="1">
      <alignment horizontal="center" vertical="top" wrapText="1"/>
    </xf>
    <xf numFmtId="2" fontId="36" fillId="0" borderId="0" xfId="0" applyNumberFormat="1" applyFont="1" applyAlignment="1">
      <alignment vertical="top"/>
    </xf>
    <xf numFmtId="0" fontId="30" fillId="10" borderId="0" xfId="0" applyFont="1" applyFill="1" applyAlignment="1" applyProtection="1">
      <alignment horizontal="center" vertical="top"/>
      <protection locked="0"/>
    </xf>
    <xf numFmtId="0" fontId="30" fillId="10" borderId="0" xfId="0" applyFont="1" applyFill="1" applyAlignment="1" applyProtection="1">
      <alignment horizontal="left" vertical="top"/>
      <protection locked="0"/>
    </xf>
    <xf numFmtId="0" fontId="30" fillId="10" borderId="0" xfId="0" applyFont="1" applyFill="1" applyAlignment="1" applyProtection="1">
      <alignment vertical="top"/>
      <protection locked="0"/>
    </xf>
    <xf numFmtId="2" fontId="30" fillId="10" borderId="0" xfId="0" applyNumberFormat="1" applyFont="1" applyFill="1" applyAlignment="1">
      <alignment vertical="top"/>
    </xf>
    <xf numFmtId="2" fontId="30" fillId="10" borderId="9" xfId="0" applyNumberFormat="1" applyFont="1" applyFill="1" applyBorder="1" applyAlignment="1" applyProtection="1">
      <alignment vertical="top"/>
      <protection locked="0"/>
    </xf>
    <xf numFmtId="2" fontId="30" fillId="10" borderId="0" xfId="0" applyNumberFormat="1" applyFont="1" applyFill="1" applyAlignment="1" applyProtection="1">
      <alignment vertical="top"/>
      <protection locked="0"/>
    </xf>
    <xf numFmtId="0" fontId="30" fillId="10" borderId="0" xfId="0" applyFont="1" applyFill="1" applyAlignment="1" applyProtection="1">
      <alignment vertical="top" wrapText="1"/>
      <protection locked="0"/>
    </xf>
    <xf numFmtId="0" fontId="39" fillId="10" borderId="0" xfId="0" applyFont="1" applyFill="1" applyAlignment="1" applyProtection="1">
      <alignment horizontal="left" vertical="top"/>
      <protection locked="0"/>
    </xf>
    <xf numFmtId="0" fontId="31" fillId="10" borderId="0" xfId="0" applyFont="1" applyFill="1" applyAlignment="1" applyProtection="1">
      <alignment horizontal="center" vertical="top"/>
      <protection locked="0"/>
    </xf>
    <xf numFmtId="0" fontId="31" fillId="10" borderId="0" xfId="0" applyFont="1" applyFill="1" applyAlignment="1" applyProtection="1">
      <alignment horizontal="left" vertical="top"/>
      <protection locked="0"/>
    </xf>
    <xf numFmtId="2" fontId="31" fillId="10" borderId="0" xfId="0" applyNumberFormat="1" applyFont="1" applyFill="1" applyAlignment="1" applyProtection="1">
      <alignment vertical="top"/>
      <protection locked="0"/>
    </xf>
    <xf numFmtId="2" fontId="38" fillId="10" borderId="0" xfId="0" applyNumberFormat="1" applyFont="1" applyFill="1" applyAlignment="1" applyProtection="1">
      <alignment vertical="top"/>
      <protection locked="0"/>
    </xf>
    <xf numFmtId="165" fontId="37" fillId="10" borderId="0" xfId="0" applyNumberFormat="1" applyFont="1" applyFill="1" applyAlignment="1" applyProtection="1">
      <alignment vertical="top"/>
      <protection locked="0"/>
    </xf>
    <xf numFmtId="0" fontId="31" fillId="10" borderId="0" xfId="0" applyFont="1" applyFill="1" applyAlignment="1" applyProtection="1">
      <alignment vertical="top" wrapText="1"/>
      <protection locked="0"/>
    </xf>
    <xf numFmtId="0" fontId="41" fillId="10" borderId="1" xfId="0" applyFont="1" applyFill="1" applyBorder="1" applyAlignment="1" applyProtection="1">
      <alignment horizontal="center" vertical="top"/>
      <protection locked="0"/>
    </xf>
    <xf numFmtId="0" fontId="41" fillId="10" borderId="0" xfId="0" applyFont="1" applyFill="1" applyAlignment="1" applyProtection="1">
      <alignment vertical="top"/>
      <protection locked="0"/>
    </xf>
    <xf numFmtId="0" fontId="38" fillId="10" borderId="0" xfId="0" applyFont="1" applyFill="1" applyAlignment="1" applyProtection="1">
      <alignment vertical="top"/>
      <protection locked="0"/>
    </xf>
    <xf numFmtId="0" fontId="36" fillId="10" borderId="0" xfId="0" applyFont="1" applyFill="1" applyAlignment="1" applyProtection="1">
      <alignment vertical="top"/>
      <protection locked="0"/>
    </xf>
    <xf numFmtId="0" fontId="39" fillId="10" borderId="0" xfId="0" applyFont="1" applyFill="1" applyAlignment="1" applyProtection="1">
      <alignment horizontal="center" vertical="top"/>
      <protection locked="0"/>
    </xf>
    <xf numFmtId="0" fontId="39" fillId="10" borderId="0" xfId="0" applyFont="1" applyFill="1" applyAlignment="1" applyProtection="1">
      <alignment horizontal="right" vertical="top"/>
      <protection locked="0"/>
    </xf>
    <xf numFmtId="164" fontId="39" fillId="10" borderId="0" xfId="0" applyNumberFormat="1" applyFont="1" applyFill="1" applyAlignment="1" applyProtection="1">
      <alignment vertical="top"/>
      <protection locked="0"/>
    </xf>
    <xf numFmtId="164" fontId="39" fillId="10" borderId="0" xfId="0" applyNumberFormat="1" applyFont="1" applyFill="1" applyAlignment="1" applyProtection="1">
      <alignment horizontal="center" vertical="top"/>
      <protection locked="0"/>
    </xf>
    <xf numFmtId="2" fontId="39" fillId="10" borderId="1" xfId="0" applyNumberFormat="1" applyFont="1" applyFill="1" applyBorder="1" applyAlignment="1">
      <alignment vertical="top"/>
    </xf>
    <xf numFmtId="2" fontId="39" fillId="10" borderId="0" xfId="0" applyNumberFormat="1" applyFont="1" applyFill="1" applyAlignment="1">
      <alignment vertical="top"/>
    </xf>
    <xf numFmtId="2" fontId="39" fillId="10" borderId="0" xfId="0" applyNumberFormat="1" applyFont="1" applyFill="1" applyAlignment="1" applyProtection="1">
      <alignment vertical="top"/>
      <protection locked="0"/>
    </xf>
    <xf numFmtId="2" fontId="39" fillId="10" borderId="14" xfId="0" applyNumberFormat="1" applyFont="1" applyFill="1" applyBorder="1" applyAlignment="1">
      <alignment vertical="top"/>
    </xf>
    <xf numFmtId="0" fontId="39" fillId="10" borderId="0" xfId="0" applyFont="1" applyFill="1" applyAlignment="1" applyProtection="1">
      <alignment vertical="top" wrapText="1"/>
      <protection locked="0"/>
    </xf>
    <xf numFmtId="166" fontId="30" fillId="0" borderId="3" xfId="0" applyNumberFormat="1" applyFont="1" applyBorder="1" applyAlignment="1" applyProtection="1">
      <alignment vertical="top" wrapText="1"/>
      <protection locked="0"/>
    </xf>
    <xf numFmtId="166" fontId="30" fillId="0" borderId="1" xfId="0" applyNumberFormat="1" applyFont="1" applyBorder="1" applyAlignment="1">
      <alignment vertical="top" wrapText="1"/>
    </xf>
    <xf numFmtId="166" fontId="30" fillId="0" borderId="1" xfId="0" applyNumberFormat="1" applyFont="1" applyBorder="1" applyAlignment="1" applyProtection="1">
      <alignment vertical="top" wrapText="1"/>
      <protection locked="0"/>
    </xf>
    <xf numFmtId="166" fontId="36" fillId="0" borderId="1" xfId="0" applyNumberFormat="1" applyFont="1" applyBorder="1" applyAlignment="1">
      <alignment vertical="top" wrapText="1"/>
    </xf>
    <xf numFmtId="165" fontId="42" fillId="10" borderId="0" xfId="0" applyNumberFormat="1" applyFont="1" applyFill="1" applyAlignment="1">
      <alignment vertical="top"/>
    </xf>
    <xf numFmtId="0" fontId="39" fillId="10" borderId="0" xfId="0" applyFont="1" applyFill="1" applyAlignment="1">
      <alignment vertical="top" wrapText="1"/>
    </xf>
    <xf numFmtId="166" fontId="30" fillId="0" borderId="3" xfId="0" applyNumberFormat="1" applyFont="1" applyBorder="1" applyAlignment="1">
      <alignment vertical="top" wrapText="1"/>
    </xf>
    <xf numFmtId="10" fontId="43" fillId="9" borderId="12" xfId="5" applyNumberFormat="1" applyFont="1" applyFill="1" applyBorder="1" applyAlignment="1" applyProtection="1">
      <alignment horizontal="center" vertical="top" wrapText="1"/>
    </xf>
    <xf numFmtId="166" fontId="30" fillId="0" borderId="15" xfId="0" applyNumberFormat="1" applyFont="1" applyBorder="1" applyAlignment="1">
      <alignment vertical="top" wrapText="1"/>
    </xf>
    <xf numFmtId="2" fontId="30" fillId="0" borderId="16" xfId="0" applyNumberFormat="1" applyFont="1" applyBorder="1" applyAlignment="1">
      <alignment vertical="top" wrapText="1"/>
    </xf>
    <xf numFmtId="2" fontId="30" fillId="5" borderId="0" xfId="0" applyNumberFormat="1" applyFont="1" applyFill="1" applyAlignment="1" applyProtection="1">
      <alignment vertical="top" wrapText="1"/>
      <protection locked="0"/>
    </xf>
    <xf numFmtId="2" fontId="36" fillId="0" borderId="0" xfId="0" applyNumberFormat="1" applyFont="1" applyAlignment="1" applyProtection="1">
      <alignment vertical="top" wrapText="1"/>
      <protection locked="0"/>
    </xf>
    <xf numFmtId="166" fontId="30" fillId="0" borderId="17" xfId="0" applyNumberFormat="1" applyFont="1" applyBorder="1" applyAlignment="1">
      <alignment vertical="top" wrapText="1"/>
    </xf>
    <xf numFmtId="166" fontId="30" fillId="0" borderId="8" xfId="0" applyNumberFormat="1" applyFont="1" applyBorder="1" applyAlignment="1">
      <alignment vertical="top" wrapText="1"/>
    </xf>
    <xf numFmtId="166" fontId="36" fillId="0" borderId="8" xfId="0" applyNumberFormat="1" applyFont="1" applyBorder="1" applyAlignment="1">
      <alignment vertical="top" wrapText="1"/>
    </xf>
    <xf numFmtId="2" fontId="30" fillId="0" borderId="8" xfId="0" applyNumberFormat="1" applyFont="1" applyBorder="1" applyAlignment="1">
      <alignment vertical="top" wrapText="1"/>
    </xf>
    <xf numFmtId="0" fontId="30" fillId="10" borderId="9" xfId="0" applyFont="1" applyFill="1" applyBorder="1" applyAlignment="1" applyProtection="1">
      <alignment vertical="top"/>
      <protection locked="0"/>
    </xf>
    <xf numFmtId="2" fontId="39" fillId="10" borderId="18" xfId="0" applyNumberFormat="1" applyFont="1" applyFill="1" applyBorder="1" applyAlignment="1">
      <alignment vertical="top"/>
    </xf>
    <xf numFmtId="0" fontId="33" fillId="10" borderId="1" xfId="0" applyFont="1" applyFill="1" applyBorder="1" applyAlignment="1" applyProtection="1">
      <alignment vertical="top"/>
      <protection locked="0"/>
    </xf>
    <xf numFmtId="0" fontId="39" fillId="10" borderId="1" xfId="0" applyFont="1" applyFill="1" applyBorder="1" applyAlignment="1" applyProtection="1">
      <alignment horizontal="right" vertical="top"/>
      <protection locked="0"/>
    </xf>
    <xf numFmtId="0" fontId="32" fillId="10" borderId="0" xfId="0" applyFont="1" applyFill="1" applyAlignment="1" applyProtection="1">
      <alignment vertical="top"/>
      <protection locked="0"/>
    </xf>
    <xf numFmtId="0" fontId="32" fillId="10" borderId="7" xfId="0" applyFont="1" applyFill="1" applyBorder="1" applyAlignment="1" applyProtection="1">
      <alignment horizontal="center" vertical="top"/>
      <protection locked="0"/>
    </xf>
    <xf numFmtId="2" fontId="33" fillId="10" borderId="1" xfId="0" applyNumberFormat="1" applyFont="1" applyFill="1" applyBorder="1" applyAlignment="1">
      <alignment vertical="top"/>
    </xf>
    <xf numFmtId="2" fontId="43" fillId="10" borderId="0" xfId="0" applyNumberFormat="1" applyFont="1" applyFill="1" applyAlignment="1">
      <alignment vertical="top"/>
    </xf>
    <xf numFmtId="2" fontId="30" fillId="13" borderId="1" xfId="0" applyNumberFormat="1" applyFont="1" applyFill="1" applyBorder="1" applyAlignment="1" applyProtection="1">
      <alignment horizontal="center" vertical="top" wrapText="1"/>
      <protection locked="0"/>
    </xf>
    <xf numFmtId="2" fontId="30" fillId="0" borderId="1" xfId="0" applyNumberFormat="1" applyFont="1" applyBorder="1" applyAlignment="1">
      <alignment horizontal="center" vertical="top" wrapText="1"/>
    </xf>
    <xf numFmtId="165" fontId="30" fillId="10" borderId="0" xfId="0" applyNumberFormat="1" applyFont="1" applyFill="1" applyAlignment="1">
      <alignment vertical="top"/>
    </xf>
    <xf numFmtId="2" fontId="36" fillId="0" borderId="8" xfId="0" applyNumberFormat="1" applyFont="1" applyBorder="1" applyAlignment="1">
      <alignment vertical="top"/>
    </xf>
    <xf numFmtId="0" fontId="39" fillId="10" borderId="19" xfId="0" applyFont="1" applyFill="1" applyBorder="1" applyAlignment="1" applyProtection="1">
      <alignment vertical="top"/>
      <protection locked="0"/>
    </xf>
    <xf numFmtId="0" fontId="39" fillId="10" borderId="20" xfId="0" applyFont="1" applyFill="1" applyBorder="1" applyAlignment="1" applyProtection="1">
      <alignment vertical="top"/>
      <protection locked="0"/>
    </xf>
    <xf numFmtId="0" fontId="39" fillId="10" borderId="21" xfId="0" applyFont="1" applyFill="1" applyBorder="1" applyAlignment="1" applyProtection="1">
      <alignment vertical="top"/>
      <protection locked="0"/>
    </xf>
    <xf numFmtId="2" fontId="35" fillId="9" borderId="10" xfId="0" applyNumberFormat="1" applyFont="1" applyFill="1" applyBorder="1" applyAlignment="1">
      <alignment horizontal="center" vertical="top" wrapText="1"/>
    </xf>
    <xf numFmtId="2" fontId="40" fillId="9" borderId="22" xfId="0" applyNumberFormat="1" applyFont="1" applyFill="1" applyBorder="1" applyAlignment="1">
      <alignment horizontal="center" vertical="top" wrapText="1"/>
    </xf>
    <xf numFmtId="2" fontId="30" fillId="0" borderId="17" xfId="0" applyNumberFormat="1" applyFont="1" applyBorder="1" applyAlignment="1" applyProtection="1">
      <alignment vertical="top"/>
      <protection locked="0"/>
    </xf>
    <xf numFmtId="0" fontId="44" fillId="10" borderId="0" xfId="0" applyFont="1" applyFill="1" applyAlignment="1">
      <alignment vertical="center" wrapText="1"/>
    </xf>
    <xf numFmtId="0" fontId="44" fillId="10" borderId="23" xfId="0" applyFont="1" applyFill="1" applyBorder="1" applyAlignment="1">
      <alignment vertical="center" wrapText="1"/>
    </xf>
    <xf numFmtId="166" fontId="39" fillId="10" borderId="1" xfId="0" applyNumberFormat="1" applyFont="1" applyFill="1" applyBorder="1" applyAlignment="1">
      <alignment vertical="top"/>
    </xf>
    <xf numFmtId="0" fontId="33" fillId="10" borderId="1" xfId="0" applyFont="1" applyFill="1" applyBorder="1" applyAlignment="1" applyProtection="1">
      <alignment horizontal="right" vertical="top"/>
      <protection locked="0"/>
    </xf>
    <xf numFmtId="0" fontId="30" fillId="0" borderId="24" xfId="0" applyFont="1" applyBorder="1" applyAlignment="1" applyProtection="1">
      <alignment vertical="center" textRotation="90" wrapText="1"/>
      <protection locked="0"/>
    </xf>
    <xf numFmtId="166" fontId="30" fillId="0" borderId="1" xfId="0" applyNumberFormat="1" applyFont="1" applyBorder="1" applyAlignment="1">
      <alignment vertical="top"/>
    </xf>
    <xf numFmtId="2" fontId="30" fillId="0" borderId="1" xfId="0" applyNumberFormat="1" applyFont="1" applyBorder="1" applyAlignment="1">
      <alignment vertical="top"/>
    </xf>
    <xf numFmtId="166" fontId="30" fillId="0" borderId="25" xfId="0" applyNumberFormat="1" applyFont="1" applyBorder="1" applyAlignment="1">
      <alignment vertical="top" wrapText="1"/>
    </xf>
    <xf numFmtId="0" fontId="45" fillId="10" borderId="23" xfId="0" applyFont="1" applyFill="1" applyBorder="1" applyAlignment="1">
      <alignment vertical="top" wrapText="1"/>
    </xf>
    <xf numFmtId="0" fontId="30" fillId="10" borderId="26" xfId="0" applyFont="1" applyFill="1" applyBorder="1" applyAlignment="1" applyProtection="1">
      <alignment horizontal="center" vertical="top" wrapText="1"/>
      <protection locked="0"/>
    </xf>
    <xf numFmtId="0" fontId="30" fillId="10" borderId="0" xfId="0" applyFont="1" applyFill="1" applyAlignment="1" applyProtection="1">
      <alignment horizontal="center" vertical="top" wrapText="1"/>
      <protection locked="0"/>
    </xf>
    <xf numFmtId="166" fontId="30" fillId="15" borderId="1" xfId="0" applyNumberFormat="1" applyFont="1" applyFill="1" applyBorder="1" applyAlignment="1" applyProtection="1">
      <alignment horizontal="right" vertical="top" wrapText="1"/>
      <protection locked="0"/>
    </xf>
    <xf numFmtId="166" fontId="30" fillId="15" borderId="1" xfId="0" applyNumberFormat="1" applyFont="1" applyFill="1" applyBorder="1" applyAlignment="1" applyProtection="1">
      <alignment horizontal="right" vertical="top"/>
      <protection locked="0"/>
    </xf>
    <xf numFmtId="166" fontId="30" fillId="15" borderId="1" xfId="0" applyNumberFormat="1" applyFont="1" applyFill="1" applyBorder="1" applyAlignment="1" applyProtection="1">
      <alignment vertical="top" wrapText="1"/>
      <protection locked="0"/>
    </xf>
    <xf numFmtId="166" fontId="30" fillId="15" borderId="1" xfId="0" applyNumberFormat="1" applyFont="1" applyFill="1" applyBorder="1" applyAlignment="1" applyProtection="1">
      <alignment vertical="top"/>
      <protection locked="0"/>
    </xf>
    <xf numFmtId="2" fontId="39" fillId="16" borderId="1" xfId="0" applyNumberFormat="1" applyFont="1" applyFill="1" applyBorder="1" applyAlignment="1" applyProtection="1">
      <alignment vertical="top"/>
      <protection locked="0"/>
    </xf>
    <xf numFmtId="165" fontId="46" fillId="0" borderId="10" xfId="0" applyNumberFormat="1" applyFont="1" applyBorder="1" applyAlignment="1">
      <alignment horizontal="center" vertical="top" wrapText="1"/>
    </xf>
    <xf numFmtId="0" fontId="39" fillId="10" borderId="27" xfId="0" applyFont="1" applyFill="1" applyBorder="1" applyAlignment="1" applyProtection="1">
      <alignment vertical="top"/>
      <protection locked="0"/>
    </xf>
    <xf numFmtId="0" fontId="33" fillId="11" borderId="28" xfId="0" applyFont="1" applyFill="1" applyBorder="1" applyAlignment="1" applyProtection="1">
      <alignment horizontal="center" vertical="top"/>
      <protection locked="0"/>
    </xf>
    <xf numFmtId="0" fontId="44" fillId="10" borderId="0" xfId="0" applyFont="1" applyFill="1" applyAlignment="1" applyProtection="1">
      <alignment horizontal="left" vertical="top"/>
      <protection locked="0"/>
    </xf>
    <xf numFmtId="0" fontId="35" fillId="10" borderId="0" xfId="0" applyFont="1" applyFill="1" applyAlignment="1">
      <alignment vertical="center" wrapText="1"/>
    </xf>
    <xf numFmtId="0" fontId="33" fillId="10" borderId="29" xfId="0" applyFont="1" applyFill="1" applyBorder="1" applyAlignment="1">
      <alignment horizontal="center" vertical="top"/>
    </xf>
    <xf numFmtId="0" fontId="33" fillId="10" borderId="30" xfId="0" applyFont="1" applyFill="1" applyBorder="1" applyAlignment="1">
      <alignment horizontal="center" vertical="top"/>
    </xf>
    <xf numFmtId="0" fontId="33" fillId="10" borderId="4" xfId="0" applyFont="1" applyFill="1" applyBorder="1" applyAlignment="1">
      <alignment horizontal="center" vertical="top"/>
    </xf>
    <xf numFmtId="2" fontId="30" fillId="0" borderId="25" xfId="0" applyNumberFormat="1" applyFont="1" applyBorder="1" applyAlignment="1" applyProtection="1">
      <alignment vertical="top"/>
      <protection locked="0"/>
    </xf>
    <xf numFmtId="0" fontId="30" fillId="0" borderId="1" xfId="0" applyFont="1" applyBorder="1" applyAlignment="1" applyProtection="1">
      <alignment vertical="center" textRotation="90" wrapText="1"/>
      <protection locked="0"/>
    </xf>
    <xf numFmtId="9" fontId="39" fillId="9" borderId="31" xfId="0" applyNumberFormat="1" applyFont="1" applyFill="1" applyBorder="1" applyAlignment="1">
      <alignment horizontal="center" vertical="top" wrapText="1"/>
    </xf>
    <xf numFmtId="9" fontId="39" fillId="9" borderId="23" xfId="0" applyNumberFormat="1" applyFont="1" applyFill="1" applyBorder="1" applyAlignment="1">
      <alignment horizontal="center" vertical="top" wrapText="1"/>
    </xf>
    <xf numFmtId="9" fontId="39" fillId="9" borderId="32" xfId="0" applyNumberFormat="1" applyFont="1" applyFill="1" applyBorder="1" applyAlignment="1">
      <alignment horizontal="center" vertical="top" wrapText="1"/>
    </xf>
    <xf numFmtId="0" fontId="35" fillId="9" borderId="31" xfId="0" applyFont="1" applyFill="1" applyBorder="1" applyAlignment="1">
      <alignment horizontal="center" vertical="top"/>
    </xf>
    <xf numFmtId="0" fontId="35" fillId="9" borderId="32" xfId="0" applyFont="1" applyFill="1" applyBorder="1" applyAlignment="1">
      <alignment horizontal="center" vertical="top"/>
    </xf>
    <xf numFmtId="9" fontId="35" fillId="9" borderId="10" xfId="5" applyFont="1" applyFill="1" applyBorder="1" applyAlignment="1" applyProtection="1">
      <alignment horizontal="center" vertical="top" wrapText="1"/>
    </xf>
    <xf numFmtId="9" fontId="35" fillId="9" borderId="12" xfId="5" applyFont="1" applyFill="1" applyBorder="1" applyAlignment="1" applyProtection="1">
      <alignment horizontal="center" vertical="top" wrapText="1"/>
    </xf>
    <xf numFmtId="166" fontId="30" fillId="0" borderId="9" xfId="0" applyNumberFormat="1" applyFont="1" applyBorder="1" applyAlignment="1">
      <alignment vertical="top" wrapText="1"/>
    </xf>
    <xf numFmtId="0" fontId="39" fillId="10" borderId="0" xfId="0" applyFont="1" applyFill="1" applyAlignment="1">
      <alignment horizontal="center" vertical="top"/>
    </xf>
    <xf numFmtId="2" fontId="39" fillId="10" borderId="22" xfId="0" applyNumberFormat="1" applyFont="1" applyFill="1" applyBorder="1" applyAlignment="1">
      <alignment horizontal="center" vertical="top" wrapText="1"/>
    </xf>
    <xf numFmtId="2" fontId="40" fillId="10" borderId="0" xfId="0" applyNumberFormat="1" applyFont="1" applyFill="1" applyAlignment="1">
      <alignment horizontal="center" vertical="top" wrapText="1"/>
    </xf>
    <xf numFmtId="166" fontId="30" fillId="10" borderId="33" xfId="0" applyNumberFormat="1" applyFont="1" applyFill="1" applyBorder="1" applyAlignment="1">
      <alignment vertical="top" wrapText="1"/>
    </xf>
    <xf numFmtId="166" fontId="36" fillId="10" borderId="33" xfId="0" applyNumberFormat="1" applyFont="1" applyFill="1" applyBorder="1" applyAlignment="1">
      <alignment vertical="top" wrapText="1"/>
    </xf>
    <xf numFmtId="2" fontId="30" fillId="10" borderId="33" xfId="0" applyNumberFormat="1" applyFont="1" applyFill="1" applyBorder="1" applyAlignment="1">
      <alignment vertical="top" wrapText="1"/>
    </xf>
    <xf numFmtId="0" fontId="30" fillId="10" borderId="33" xfId="0" applyFont="1" applyFill="1" applyBorder="1" applyAlignment="1" applyProtection="1">
      <alignment vertical="top"/>
      <protection locked="0"/>
    </xf>
    <xf numFmtId="2" fontId="39" fillId="10" borderId="33" xfId="0" applyNumberFormat="1" applyFont="1" applyFill="1" applyBorder="1" applyAlignment="1">
      <alignment vertical="top"/>
    </xf>
    <xf numFmtId="0" fontId="39" fillId="9" borderId="10" xfId="0" applyFont="1" applyFill="1" applyBorder="1" applyAlignment="1">
      <alignment horizontal="center" vertical="top" wrapText="1"/>
    </xf>
    <xf numFmtId="0" fontId="39" fillId="10" borderId="34" xfId="0" applyFont="1" applyFill="1" applyBorder="1" applyAlignment="1" applyProtection="1">
      <alignment vertical="top"/>
      <protection locked="0"/>
    </xf>
    <xf numFmtId="0" fontId="39" fillId="10" borderId="4" xfId="0" applyFont="1" applyFill="1" applyBorder="1" applyAlignment="1" applyProtection="1">
      <alignment vertical="top"/>
      <protection locked="0"/>
    </xf>
    <xf numFmtId="0" fontId="45" fillId="10" borderId="0" xfId="0" applyFont="1" applyFill="1" applyAlignment="1" applyProtection="1">
      <alignment vertical="top"/>
      <protection locked="0"/>
    </xf>
    <xf numFmtId="0" fontId="39" fillId="10" borderId="26" xfId="0" applyFont="1" applyFill="1" applyBorder="1" applyAlignment="1" applyProtection="1">
      <alignment vertical="top"/>
      <protection locked="0"/>
    </xf>
    <xf numFmtId="0" fontId="33" fillId="10" borderId="4" xfId="0" applyFont="1" applyFill="1" applyBorder="1" applyAlignment="1" applyProtection="1">
      <alignment horizontal="center" vertical="top"/>
      <protection locked="0"/>
    </xf>
    <xf numFmtId="0" fontId="5" fillId="0" borderId="0" xfId="0" applyFont="1" applyAlignment="1">
      <alignment wrapText="1"/>
    </xf>
    <xf numFmtId="0" fontId="39" fillId="10" borderId="36" xfId="0" applyFont="1" applyFill="1" applyBorder="1" applyAlignment="1">
      <alignment horizontal="center" vertical="center" wrapText="1"/>
    </xf>
    <xf numFmtId="2" fontId="39" fillId="10" borderId="22" xfId="0" applyNumberFormat="1" applyFont="1" applyFill="1" applyBorder="1" applyAlignment="1">
      <alignment horizontal="center" vertical="center" wrapText="1"/>
    </xf>
    <xf numFmtId="10" fontId="43" fillId="9" borderId="12" xfId="5" applyNumberFormat="1" applyFont="1" applyFill="1" applyBorder="1" applyAlignment="1" applyProtection="1">
      <alignment horizontal="center" vertical="center" wrapText="1"/>
    </xf>
    <xf numFmtId="0" fontId="40" fillId="5" borderId="0" xfId="0" applyFont="1" applyFill="1" applyAlignment="1">
      <alignment horizontal="center" vertical="top" wrapText="1"/>
    </xf>
    <xf numFmtId="0" fontId="40" fillId="5" borderId="0" xfId="0" applyFont="1" applyFill="1" applyAlignment="1">
      <alignment horizontal="center" vertical="top"/>
    </xf>
    <xf numFmtId="166" fontId="30" fillId="10" borderId="37" xfId="0" applyNumberFormat="1" applyFont="1" applyFill="1" applyBorder="1" applyAlignment="1">
      <alignment vertical="top" wrapText="1"/>
    </xf>
    <xf numFmtId="166" fontId="36" fillId="10" borderId="37" xfId="0" applyNumberFormat="1" applyFont="1" applyFill="1" applyBorder="1" applyAlignment="1">
      <alignment vertical="top" wrapText="1"/>
    </xf>
    <xf numFmtId="2" fontId="30" fillId="10" borderId="37" xfId="0" applyNumberFormat="1" applyFont="1" applyFill="1" applyBorder="1" applyAlignment="1">
      <alignment vertical="top" wrapText="1"/>
    </xf>
    <xf numFmtId="2" fontId="39" fillId="10" borderId="37" xfId="0" applyNumberFormat="1" applyFont="1" applyFill="1" applyBorder="1" applyAlignment="1" applyProtection="1">
      <alignment vertical="top"/>
      <protection locked="0"/>
    </xf>
    <xf numFmtId="2" fontId="39" fillId="16" borderId="18" xfId="0" applyNumberFormat="1" applyFont="1" applyFill="1" applyBorder="1" applyAlignment="1" applyProtection="1">
      <alignment vertical="top"/>
      <protection locked="0"/>
    </xf>
    <xf numFmtId="10" fontId="43" fillId="9" borderId="22" xfId="5" applyNumberFormat="1" applyFont="1" applyFill="1" applyBorder="1" applyAlignment="1" applyProtection="1">
      <alignment horizontal="center" vertical="center" wrapText="1"/>
    </xf>
    <xf numFmtId="9" fontId="35" fillId="9" borderId="22" xfId="0" applyNumberFormat="1" applyFont="1" applyFill="1" applyBorder="1" applyAlignment="1">
      <alignment horizontal="center" vertical="top" wrapText="1"/>
    </xf>
    <xf numFmtId="0" fontId="35" fillId="9" borderId="22" xfId="0" applyFont="1" applyFill="1" applyBorder="1" applyAlignment="1">
      <alignment horizontal="center" vertical="top" wrapText="1"/>
    </xf>
    <xf numFmtId="9" fontId="35" fillId="9" borderId="22" xfId="5" applyFont="1" applyFill="1" applyBorder="1" applyAlignment="1" applyProtection="1">
      <alignment horizontal="center" vertical="top" wrapText="1"/>
    </xf>
    <xf numFmtId="9" fontId="39" fillId="9" borderId="0" xfId="0" applyNumberFormat="1" applyFont="1" applyFill="1" applyAlignment="1">
      <alignment horizontal="center" vertical="top" wrapText="1"/>
    </xf>
    <xf numFmtId="10" fontId="43" fillId="10" borderId="0" xfId="5" applyNumberFormat="1" applyFont="1" applyFill="1" applyBorder="1" applyAlignment="1" applyProtection="1">
      <alignment horizontal="center" vertical="top" wrapText="1"/>
    </xf>
    <xf numFmtId="0" fontId="30" fillId="0" borderId="38" xfId="0" applyFont="1" applyBorder="1" applyAlignment="1" applyProtection="1">
      <alignment vertical="center" textRotation="90" wrapText="1"/>
      <protection locked="0"/>
    </xf>
    <xf numFmtId="10" fontId="43" fillId="10" borderId="7" xfId="5" applyNumberFormat="1" applyFont="1" applyFill="1" applyBorder="1" applyAlignment="1" applyProtection="1">
      <alignment horizontal="center" vertical="top" wrapText="1"/>
    </xf>
    <xf numFmtId="0" fontId="39" fillId="9" borderId="1" xfId="0" applyFont="1" applyFill="1" applyBorder="1" applyAlignment="1" applyProtection="1">
      <alignment vertical="top"/>
      <protection locked="0"/>
    </xf>
    <xf numFmtId="2" fontId="39" fillId="9" borderId="1" xfId="0" applyNumberFormat="1" applyFont="1" applyFill="1" applyBorder="1" applyAlignment="1">
      <alignment horizontal="center" vertical="top"/>
    </xf>
    <xf numFmtId="2" fontId="41" fillId="10" borderId="0" xfId="0" applyNumberFormat="1" applyFont="1" applyFill="1" applyAlignment="1">
      <alignment vertical="top"/>
    </xf>
    <xf numFmtId="0" fontId="39" fillId="9" borderId="1" xfId="0" applyFont="1" applyFill="1" applyBorder="1" applyAlignment="1" applyProtection="1">
      <alignment horizontal="center" vertical="top"/>
      <protection locked="0"/>
    </xf>
    <xf numFmtId="0" fontId="47" fillId="17" borderId="11" xfId="0" applyFont="1" applyFill="1" applyBorder="1" applyAlignment="1">
      <alignment horizontal="center" vertical="top" wrapText="1"/>
    </xf>
    <xf numFmtId="9" fontId="30" fillId="9" borderId="12" xfId="0" applyNumberFormat="1" applyFont="1" applyFill="1" applyBorder="1" applyAlignment="1">
      <alignment horizontal="center" vertical="top" wrapText="1"/>
    </xf>
    <xf numFmtId="0" fontId="45" fillId="10" borderId="32" xfId="0" applyFont="1" applyFill="1" applyBorder="1" applyAlignment="1">
      <alignment vertical="top" wrapText="1"/>
    </xf>
    <xf numFmtId="166" fontId="36" fillId="0" borderId="15" xfId="0" applyNumberFormat="1" applyFont="1" applyBorder="1" applyAlignment="1">
      <alignment vertical="top" wrapText="1"/>
    </xf>
    <xf numFmtId="0" fontId="47" fillId="10" borderId="23" xfId="0" applyFont="1" applyFill="1" applyBorder="1" applyAlignment="1">
      <alignment vertical="top" wrapText="1"/>
    </xf>
    <xf numFmtId="0" fontId="47" fillId="10" borderId="32" xfId="0" applyFont="1" applyFill="1" applyBorder="1" applyAlignment="1">
      <alignment vertical="top" wrapText="1"/>
    </xf>
    <xf numFmtId="166" fontId="30" fillId="10" borderId="0" xfId="0" applyNumberFormat="1" applyFont="1" applyFill="1" applyAlignment="1">
      <alignment vertical="top"/>
    </xf>
    <xf numFmtId="0" fontId="30" fillId="0" borderId="1" xfId="0" applyFont="1" applyBorder="1" applyAlignment="1">
      <alignment horizontal="right" vertical="top" wrapText="1"/>
    </xf>
    <xf numFmtId="2" fontId="30" fillId="0" borderId="39" xfId="0" applyNumberFormat="1" applyFont="1" applyBorder="1" applyAlignment="1" applyProtection="1">
      <alignment vertical="top"/>
      <protection locked="0"/>
    </xf>
    <xf numFmtId="0" fontId="32" fillId="10" borderId="13" xfId="0" applyFont="1" applyFill="1" applyBorder="1" applyAlignment="1" applyProtection="1">
      <alignment vertical="top"/>
      <protection locked="0"/>
    </xf>
    <xf numFmtId="0" fontId="39" fillId="10" borderId="13" xfId="0" applyFont="1" applyFill="1" applyBorder="1" applyAlignment="1" applyProtection="1">
      <alignment vertical="top"/>
      <protection locked="0"/>
    </xf>
    <xf numFmtId="0" fontId="39" fillId="10" borderId="13" xfId="0" applyFont="1" applyFill="1" applyBorder="1" applyAlignment="1" applyProtection="1">
      <alignment vertical="top" wrapText="1"/>
      <protection locked="0"/>
    </xf>
    <xf numFmtId="0" fontId="45" fillId="10" borderId="13" xfId="0" applyFont="1" applyFill="1" applyBorder="1" applyAlignment="1" applyProtection="1">
      <alignment vertical="top"/>
      <protection locked="0"/>
    </xf>
    <xf numFmtId="0" fontId="39" fillId="10" borderId="0" xfId="0" applyFont="1" applyFill="1" applyAlignment="1">
      <alignment horizontal="center" vertical="center" wrapText="1"/>
    </xf>
    <xf numFmtId="0" fontId="39" fillId="10" borderId="12" xfId="0" applyFont="1" applyFill="1" applyBorder="1" applyAlignment="1">
      <alignment horizontal="center" vertical="center" wrapText="1"/>
    </xf>
    <xf numFmtId="165" fontId="46" fillId="0" borderId="35" xfId="0" applyNumberFormat="1" applyFont="1" applyBorder="1" applyAlignment="1">
      <alignment horizontal="center" vertical="top" wrapText="1"/>
    </xf>
    <xf numFmtId="2" fontId="39" fillId="10" borderId="12" xfId="0" applyNumberFormat="1" applyFont="1" applyFill="1" applyBorder="1" applyAlignment="1">
      <alignment horizontal="center" vertical="center" wrapText="1"/>
    </xf>
    <xf numFmtId="2" fontId="39" fillId="10" borderId="36" xfId="0" applyNumberFormat="1" applyFont="1" applyFill="1" applyBorder="1" applyAlignment="1">
      <alignment horizontal="center" vertical="center" wrapText="1"/>
    </xf>
    <xf numFmtId="165" fontId="39" fillId="16" borderId="11" xfId="0" applyNumberFormat="1" applyFont="1" applyFill="1" applyBorder="1" applyAlignment="1" applyProtection="1">
      <alignment horizontal="center" vertical="top" wrapText="1"/>
      <protection locked="0"/>
    </xf>
    <xf numFmtId="0" fontId="40" fillId="10" borderId="0" xfId="0" applyFont="1" applyFill="1" applyAlignment="1" applyProtection="1">
      <alignment vertical="top"/>
      <protection locked="0"/>
    </xf>
    <xf numFmtId="0" fontId="40" fillId="0" borderId="0" xfId="0" applyFont="1" applyAlignment="1" applyProtection="1">
      <alignment vertical="top"/>
      <protection locked="0"/>
    </xf>
    <xf numFmtId="0" fontId="40" fillId="10" borderId="0" xfId="0" applyFont="1" applyFill="1" applyAlignment="1" applyProtection="1">
      <alignment horizontal="center" vertical="top"/>
      <protection locked="0"/>
    </xf>
    <xf numFmtId="7" fontId="31" fillId="10" borderId="0" xfId="0" applyNumberFormat="1" applyFont="1" applyFill="1" applyAlignment="1" applyProtection="1">
      <alignment horizontal="center" vertical="top"/>
      <protection locked="0"/>
    </xf>
    <xf numFmtId="0" fontId="31" fillId="10" borderId="0" xfId="0" applyFont="1" applyFill="1" applyAlignment="1" applyProtection="1">
      <alignment horizontal="left" vertical="top" wrapText="1"/>
      <protection locked="0"/>
    </xf>
    <xf numFmtId="0" fontId="35" fillId="6" borderId="11" xfId="0" applyFont="1" applyFill="1" applyBorder="1" applyAlignment="1">
      <alignment horizontal="center" vertical="top" textRotation="90" wrapText="1"/>
    </xf>
    <xf numFmtId="0" fontId="35" fillId="10" borderId="0" xfId="0" applyFont="1" applyFill="1" applyAlignment="1" applyProtection="1">
      <alignment horizontal="center" vertical="top" wrapText="1"/>
      <protection locked="0"/>
    </xf>
    <xf numFmtId="0" fontId="35" fillId="0" borderId="0" xfId="0" applyFont="1" applyAlignment="1" applyProtection="1">
      <alignment horizontal="center" vertical="top" wrapText="1"/>
      <protection locked="0"/>
    </xf>
    <xf numFmtId="0" fontId="31" fillId="0" borderId="1" xfId="0" applyFont="1" applyBorder="1" applyAlignment="1" applyProtection="1">
      <alignment horizontal="center" vertical="top" wrapText="1"/>
      <protection locked="0"/>
    </xf>
    <xf numFmtId="0" fontId="31" fillId="0" borderId="1" xfId="0" applyFont="1" applyBorder="1" applyAlignment="1" applyProtection="1">
      <alignment horizontal="center" vertical="top"/>
      <protection locked="0"/>
    </xf>
    <xf numFmtId="8" fontId="30" fillId="0" borderId="1" xfId="0" applyNumberFormat="1" applyFont="1" applyBorder="1" applyAlignment="1">
      <alignment horizontal="center" vertical="top"/>
    </xf>
    <xf numFmtId="0" fontId="31" fillId="8" borderId="1" xfId="0" applyFont="1" applyFill="1" applyBorder="1" applyAlignment="1" applyProtection="1">
      <alignment vertical="top"/>
      <protection locked="0"/>
    </xf>
    <xf numFmtId="0" fontId="39" fillId="8" borderId="1" xfId="0" applyFont="1" applyFill="1" applyBorder="1" applyAlignment="1" applyProtection="1">
      <alignment horizontal="center" vertical="top"/>
      <protection locked="0"/>
    </xf>
    <xf numFmtId="0" fontId="31" fillId="8" borderId="3" xfId="0" applyFont="1" applyFill="1" applyBorder="1" applyAlignment="1" applyProtection="1">
      <alignment vertical="top"/>
      <protection locked="0"/>
    </xf>
    <xf numFmtId="0" fontId="39" fillId="8" borderId="3" xfId="0" applyFont="1" applyFill="1" applyBorder="1" applyAlignment="1" applyProtection="1">
      <alignment horizontal="center" vertical="top"/>
      <protection locked="0"/>
    </xf>
    <xf numFmtId="0" fontId="35" fillId="8" borderId="1" xfId="0" applyFont="1" applyFill="1" applyBorder="1" applyAlignment="1" applyProtection="1">
      <alignment horizontal="center" vertical="top" wrapText="1"/>
      <protection locked="0"/>
    </xf>
    <xf numFmtId="4" fontId="31" fillId="0" borderId="1" xfId="0" applyNumberFormat="1" applyFont="1" applyBorder="1" applyAlignment="1" applyProtection="1">
      <alignment horizontal="center" vertical="top"/>
      <protection locked="0"/>
    </xf>
    <xf numFmtId="0" fontId="31" fillId="0" borderId="40" xfId="0" applyFont="1" applyBorder="1" applyAlignment="1" applyProtection="1">
      <alignment horizontal="center" vertical="top"/>
      <protection locked="0"/>
    </xf>
    <xf numFmtId="0" fontId="31" fillId="0" borderId="40" xfId="0" applyFont="1" applyBorder="1" applyAlignment="1" applyProtection="1">
      <alignment horizontal="center" vertical="top" wrapText="1"/>
      <protection locked="0"/>
    </xf>
    <xf numFmtId="7" fontId="31" fillId="0" borderId="0" xfId="0" applyNumberFormat="1" applyFont="1" applyAlignment="1" applyProtection="1">
      <alignment horizontal="center" vertical="top"/>
      <protection locked="0"/>
    </xf>
    <xf numFmtId="0" fontId="31" fillId="0" borderId="0" xfId="0" applyFont="1" applyAlignment="1" applyProtection="1">
      <alignment horizontal="left" vertical="top" wrapText="1"/>
      <protection locked="0"/>
    </xf>
    <xf numFmtId="0" fontId="31" fillId="0" borderId="3" xfId="0" applyFont="1" applyBorder="1" applyAlignment="1" applyProtection="1">
      <alignment horizontal="center" vertical="top" wrapText="1"/>
      <protection locked="0"/>
    </xf>
    <xf numFmtId="0" fontId="31" fillId="0" borderId="3" xfId="0" applyFont="1" applyBorder="1" applyAlignment="1" applyProtection="1">
      <alignment horizontal="center" vertical="top"/>
      <protection locked="0"/>
    </xf>
    <xf numFmtId="8" fontId="30" fillId="0" borderId="3" xfId="0" applyNumberFormat="1" applyFont="1" applyBorder="1" applyAlignment="1">
      <alignment horizontal="center" vertical="top"/>
    </xf>
    <xf numFmtId="0" fontId="39" fillId="6" borderId="34" xfId="0" applyFont="1" applyFill="1" applyBorder="1" applyAlignment="1" applyProtection="1">
      <alignment horizontal="center" vertical="top"/>
      <protection locked="0"/>
    </xf>
    <xf numFmtId="0" fontId="39" fillId="6" borderId="11" xfId="0" applyFont="1" applyFill="1" applyBorder="1" applyAlignment="1" applyProtection="1">
      <alignment horizontal="center" vertical="top"/>
      <protection locked="0"/>
    </xf>
    <xf numFmtId="0" fontId="49" fillId="0" borderId="1" xfId="3" applyFont="1" applyBorder="1" applyAlignment="1" applyProtection="1">
      <alignment vertical="top"/>
      <protection locked="0"/>
    </xf>
    <xf numFmtId="0" fontId="49" fillId="0" borderId="40" xfId="3" applyFont="1" applyBorder="1" applyAlignment="1" applyProtection="1">
      <alignment vertical="top"/>
      <protection locked="0"/>
    </xf>
    <xf numFmtId="0" fontId="33" fillId="0" borderId="0" xfId="0" applyFont="1" applyAlignment="1" applyProtection="1">
      <alignment horizontal="center" vertical="top"/>
      <protection locked="0"/>
    </xf>
    <xf numFmtId="0" fontId="33" fillId="0" borderId="0" xfId="0" applyFont="1" applyAlignment="1" applyProtection="1">
      <alignment vertical="top"/>
      <protection locked="0"/>
    </xf>
    <xf numFmtId="0" fontId="31" fillId="10" borderId="0" xfId="0" applyFont="1" applyFill="1" applyAlignment="1">
      <alignment horizontal="center" vertical="top"/>
    </xf>
    <xf numFmtId="0" fontId="31" fillId="0" borderId="3" xfId="0" applyFont="1" applyBorder="1" applyAlignment="1">
      <alignment horizontal="left" vertical="top" wrapText="1"/>
    </xf>
    <xf numFmtId="0" fontId="31" fillId="0" borderId="1" xfId="0" applyFont="1" applyBorder="1" applyAlignment="1">
      <alignment horizontal="left" vertical="top" wrapText="1"/>
    </xf>
    <xf numFmtId="0" fontId="31" fillId="0" borderId="40" xfId="0" applyFont="1" applyBorder="1" applyAlignment="1">
      <alignment horizontal="left" vertical="top" wrapText="1"/>
    </xf>
    <xf numFmtId="0" fontId="31" fillId="10" borderId="19" xfId="0" applyFont="1" applyFill="1" applyBorder="1" applyAlignment="1" applyProtection="1">
      <alignment horizontal="center" vertical="center"/>
      <protection locked="0"/>
    </xf>
    <xf numFmtId="0" fontId="31" fillId="10" borderId="0" xfId="0" applyFont="1" applyFill="1" applyAlignment="1" applyProtection="1">
      <alignment horizontal="center" vertical="center"/>
      <protection locked="0"/>
    </xf>
    <xf numFmtId="0" fontId="31" fillId="10" borderId="0" xfId="0" applyFont="1" applyFill="1" applyAlignment="1" applyProtection="1">
      <alignment horizontal="center" vertical="center" wrapText="1"/>
      <protection locked="0"/>
    </xf>
    <xf numFmtId="0" fontId="39" fillId="10" borderId="19" xfId="0" applyFont="1" applyFill="1" applyBorder="1" applyAlignment="1" applyProtection="1">
      <alignment horizontal="center" vertical="center"/>
      <protection locked="0"/>
    </xf>
    <xf numFmtId="0" fontId="35" fillId="6" borderId="34" xfId="0" applyFont="1" applyFill="1" applyBorder="1" applyAlignment="1">
      <alignment horizontal="center" vertical="top" textRotation="90" wrapText="1"/>
    </xf>
    <xf numFmtId="0" fontId="39" fillId="8" borderId="16" xfId="0" applyFont="1" applyFill="1" applyBorder="1" applyAlignment="1" applyProtection="1">
      <alignment horizontal="center" vertical="top"/>
      <protection locked="0"/>
    </xf>
    <xf numFmtId="0" fontId="39" fillId="8" borderId="15" xfId="0" applyFont="1" applyFill="1" applyBorder="1" applyAlignment="1" applyProtection="1">
      <alignment horizontal="center" vertical="top"/>
      <protection locked="0"/>
    </xf>
    <xf numFmtId="0" fontId="35" fillId="8" borderId="16" xfId="0" applyFont="1" applyFill="1" applyBorder="1" applyAlignment="1" applyProtection="1">
      <alignment horizontal="center" vertical="top" wrapText="1"/>
      <protection locked="0"/>
    </xf>
    <xf numFmtId="0" fontId="50" fillId="17" borderId="19" xfId="3" applyFont="1" applyFill="1" applyBorder="1" applyAlignment="1" applyProtection="1">
      <alignment horizontal="center" vertical="center"/>
      <protection locked="0"/>
    </xf>
    <xf numFmtId="0" fontId="51" fillId="17" borderId="19" xfId="0" applyFont="1" applyFill="1" applyBorder="1" applyAlignment="1">
      <alignment horizontal="center" vertical="center" wrapText="1"/>
    </xf>
    <xf numFmtId="0" fontId="31" fillId="17" borderId="19" xfId="0" applyFont="1" applyFill="1" applyBorder="1" applyAlignment="1" applyProtection="1">
      <alignment horizontal="center" vertical="center" wrapText="1"/>
      <protection locked="0"/>
    </xf>
    <xf numFmtId="0" fontId="31" fillId="17" borderId="19" xfId="0" applyFont="1" applyFill="1" applyBorder="1" applyAlignment="1" applyProtection="1">
      <alignment horizontal="center" vertical="center"/>
      <protection locked="0"/>
    </xf>
    <xf numFmtId="8" fontId="30" fillId="17" borderId="19" xfId="0" applyNumberFormat="1" applyFont="1" applyFill="1" applyBorder="1" applyAlignment="1">
      <alignment horizontal="center" vertical="center"/>
    </xf>
    <xf numFmtId="0" fontId="31" fillId="10" borderId="0" xfId="4" applyFont="1" applyFill="1" applyAlignment="1" applyProtection="1">
      <alignment vertical="top"/>
      <protection locked="0"/>
    </xf>
    <xf numFmtId="0" fontId="32" fillId="10" borderId="0" xfId="4" applyFont="1" applyFill="1" applyAlignment="1" applyProtection="1">
      <alignment horizontal="right" vertical="top"/>
      <protection locked="0"/>
    </xf>
    <xf numFmtId="0" fontId="32" fillId="10" borderId="0" xfId="4" applyFont="1" applyFill="1" applyAlignment="1" applyProtection="1">
      <alignment horizontal="left" vertical="top"/>
      <protection locked="0"/>
    </xf>
    <xf numFmtId="0" fontId="32" fillId="10" borderId="4" xfId="4" applyFont="1" applyFill="1" applyBorder="1" applyAlignment="1" applyProtection="1">
      <alignment horizontal="left" vertical="top"/>
      <protection locked="0"/>
    </xf>
    <xf numFmtId="0" fontId="32" fillId="10" borderId="41" xfId="4" applyFont="1" applyFill="1" applyBorder="1" applyAlignment="1" applyProtection="1">
      <alignment vertical="top"/>
      <protection locked="0"/>
    </xf>
    <xf numFmtId="0" fontId="32" fillId="10" borderId="0" xfId="4" applyFont="1" applyFill="1" applyAlignment="1" applyProtection="1">
      <alignment vertical="top"/>
      <protection locked="0"/>
    </xf>
    <xf numFmtId="0" fontId="31" fillId="10" borderId="0" xfId="4" applyFont="1" applyFill="1" applyAlignment="1" applyProtection="1">
      <alignment horizontal="center" vertical="top"/>
      <protection locked="0"/>
    </xf>
    <xf numFmtId="0" fontId="39" fillId="10" borderId="21" xfId="4" applyFont="1" applyFill="1" applyBorder="1" applyAlignment="1" applyProtection="1">
      <alignment vertical="top"/>
      <protection locked="0"/>
    </xf>
    <xf numFmtId="0" fontId="33" fillId="10" borderId="28" xfId="4" applyFont="1" applyFill="1" applyBorder="1" applyAlignment="1" applyProtection="1">
      <alignment horizontal="center" vertical="top"/>
      <protection locked="0"/>
    </xf>
    <xf numFmtId="0" fontId="39" fillId="10" borderId="41" xfId="4" applyFont="1" applyFill="1" applyBorder="1" applyAlignment="1" applyProtection="1">
      <alignment vertical="top"/>
      <protection locked="0"/>
    </xf>
    <xf numFmtId="0" fontId="33" fillId="10" borderId="0" xfId="4" applyFont="1" applyFill="1" applyAlignment="1" applyProtection="1">
      <alignment vertical="top"/>
      <protection locked="0"/>
    </xf>
    <xf numFmtId="0" fontId="39" fillId="9" borderId="1" xfId="4" applyFont="1" applyFill="1" applyBorder="1" applyAlignment="1" applyProtection="1">
      <alignment horizontal="center" vertical="top"/>
      <protection locked="0"/>
    </xf>
    <xf numFmtId="2" fontId="39" fillId="9" borderId="1" xfId="4" applyNumberFormat="1" applyFont="1" applyFill="1" applyBorder="1" applyAlignment="1">
      <alignment horizontal="center" vertical="top"/>
    </xf>
    <xf numFmtId="0" fontId="39" fillId="10" borderId="19" xfId="4" applyFont="1" applyFill="1" applyBorder="1" applyAlignment="1" applyProtection="1">
      <alignment vertical="top"/>
      <protection locked="0"/>
    </xf>
    <xf numFmtId="0" fontId="33" fillId="10" borderId="6" xfId="4" applyFont="1" applyFill="1" applyBorder="1" applyAlignment="1" applyProtection="1">
      <alignment horizontal="center" vertical="top"/>
      <protection locked="0"/>
    </xf>
    <xf numFmtId="0" fontId="33" fillId="10" borderId="1" xfId="4" applyFont="1" applyFill="1" applyBorder="1" applyAlignment="1" applyProtection="1">
      <alignment vertical="top"/>
      <protection locked="0"/>
    </xf>
    <xf numFmtId="2" fontId="33" fillId="10" borderId="1" xfId="4" applyNumberFormat="1" applyFont="1" applyFill="1" applyBorder="1" applyAlignment="1">
      <alignment vertical="top"/>
    </xf>
    <xf numFmtId="0" fontId="33" fillId="10" borderId="29" xfId="4" applyFont="1" applyFill="1" applyBorder="1" applyAlignment="1">
      <alignment horizontal="center" vertical="top"/>
    </xf>
    <xf numFmtId="0" fontId="39" fillId="10" borderId="20" xfId="4" applyFont="1" applyFill="1" applyBorder="1" applyAlignment="1" applyProtection="1">
      <alignment vertical="top"/>
      <protection locked="0"/>
    </xf>
    <xf numFmtId="0" fontId="39" fillId="10" borderId="34" xfId="4" applyFont="1" applyFill="1" applyBorder="1" applyAlignment="1" applyProtection="1">
      <alignment vertical="top"/>
      <protection locked="0"/>
    </xf>
    <xf numFmtId="0" fontId="33" fillId="10" borderId="4" xfId="4" applyFont="1" applyFill="1" applyBorder="1" applyAlignment="1" applyProtection="1">
      <alignment horizontal="center" vertical="top"/>
      <protection locked="0"/>
    </xf>
    <xf numFmtId="0" fontId="39" fillId="10" borderId="4" xfId="4" applyFont="1" applyFill="1" applyBorder="1" applyAlignment="1" applyProtection="1">
      <alignment vertical="top"/>
      <protection locked="0"/>
    </xf>
    <xf numFmtId="0" fontId="33" fillId="10" borderId="5" xfId="4" applyFont="1" applyFill="1" applyBorder="1" applyAlignment="1" applyProtection="1">
      <alignment horizontal="center" vertical="top"/>
      <protection locked="0"/>
    </xf>
    <xf numFmtId="0" fontId="39" fillId="10" borderId="41" xfId="4" applyFont="1" applyFill="1" applyBorder="1" applyAlignment="1" applyProtection="1">
      <alignment vertical="top" wrapText="1"/>
      <protection locked="0"/>
    </xf>
    <xf numFmtId="0" fontId="45" fillId="10" borderId="41" xfId="4" applyFont="1" applyFill="1" applyBorder="1" applyAlignment="1" applyProtection="1">
      <alignment vertical="top"/>
      <protection locked="0"/>
    </xf>
    <xf numFmtId="0" fontId="39" fillId="10" borderId="1" xfId="4" applyFont="1" applyFill="1" applyBorder="1" applyAlignment="1" applyProtection="1">
      <alignment horizontal="right" vertical="top"/>
      <protection locked="0"/>
    </xf>
    <xf numFmtId="2" fontId="39" fillId="10" borderId="1" xfId="4" applyNumberFormat="1" applyFont="1" applyFill="1" applyBorder="1" applyAlignment="1">
      <alignment vertical="top"/>
    </xf>
    <xf numFmtId="0" fontId="33" fillId="10" borderId="35" xfId="4" applyFont="1" applyFill="1" applyBorder="1" applyAlignment="1">
      <alignment horizontal="center" vertical="top"/>
    </xf>
    <xf numFmtId="0" fontId="33" fillId="10" borderId="4" xfId="4" applyFont="1" applyFill="1" applyBorder="1" applyAlignment="1" applyProtection="1">
      <alignment vertical="top"/>
      <protection locked="0"/>
    </xf>
    <xf numFmtId="0" fontId="45" fillId="10" borderId="4" xfId="4" applyFont="1" applyFill="1" applyBorder="1" applyAlignment="1" applyProtection="1">
      <alignment vertical="top"/>
      <protection locked="0"/>
    </xf>
    <xf numFmtId="0" fontId="45" fillId="10" borderId="0" xfId="4" applyFont="1" applyFill="1" applyAlignment="1" applyProtection="1">
      <alignment vertical="top"/>
      <protection locked="0"/>
    </xf>
    <xf numFmtId="2" fontId="41" fillId="10" borderId="0" xfId="4" applyNumberFormat="1" applyFont="1" applyFill="1" applyAlignment="1">
      <alignment vertical="top"/>
    </xf>
    <xf numFmtId="0" fontId="35" fillId="10" borderId="0" xfId="4" applyFont="1" applyFill="1" applyAlignment="1">
      <alignment vertical="center" wrapText="1"/>
    </xf>
    <xf numFmtId="0" fontId="44" fillId="10" borderId="0" xfId="4" applyFont="1" applyFill="1" applyAlignment="1">
      <alignment vertical="center" wrapText="1"/>
    </xf>
    <xf numFmtId="0" fontId="33" fillId="10" borderId="0" xfId="4" applyFont="1" applyFill="1" applyAlignment="1" applyProtection="1">
      <alignment horizontal="center" vertical="top"/>
      <protection locked="0"/>
    </xf>
    <xf numFmtId="165" fontId="34" fillId="10" borderId="0" xfId="4" applyNumberFormat="1" applyFont="1" applyFill="1" applyAlignment="1" applyProtection="1">
      <alignment vertical="top"/>
      <protection locked="0"/>
    </xf>
    <xf numFmtId="0" fontId="33" fillId="10" borderId="0" xfId="4" applyFont="1" applyFill="1" applyAlignment="1" applyProtection="1">
      <alignment vertical="top" wrapText="1"/>
      <protection locked="0"/>
    </xf>
    <xf numFmtId="164" fontId="33" fillId="10" borderId="0" xfId="4" applyNumberFormat="1" applyFont="1" applyFill="1" applyAlignment="1" applyProtection="1">
      <alignment vertical="top"/>
      <protection locked="0"/>
    </xf>
    <xf numFmtId="0" fontId="33" fillId="10" borderId="0" xfId="4" applyFont="1" applyFill="1" applyAlignment="1" applyProtection="1">
      <alignment horizontal="left" vertical="top" wrapText="1"/>
      <protection locked="0"/>
    </xf>
    <xf numFmtId="6" fontId="33" fillId="10" borderId="0" xfId="4" applyNumberFormat="1" applyFont="1" applyFill="1" applyAlignment="1" applyProtection="1">
      <alignment horizontal="right" vertical="top" wrapText="1"/>
      <protection locked="0"/>
    </xf>
    <xf numFmtId="0" fontId="33" fillId="10" borderId="0" xfId="4" applyFont="1" applyFill="1" applyAlignment="1" applyProtection="1">
      <alignment horizontal="right" vertical="top" wrapText="1"/>
      <protection locked="0"/>
    </xf>
    <xf numFmtId="0" fontId="44" fillId="10" borderId="23" xfId="4" applyFont="1" applyFill="1" applyBorder="1" applyAlignment="1">
      <alignment vertical="center" wrapText="1"/>
    </xf>
    <xf numFmtId="0" fontId="39" fillId="10" borderId="0" xfId="4" applyFont="1" applyFill="1" applyAlignment="1">
      <alignment horizontal="left" vertical="top" wrapText="1"/>
    </xf>
    <xf numFmtId="0" fontId="39" fillId="10" borderId="0" xfId="4" applyFont="1" applyFill="1" applyAlignment="1">
      <alignment vertical="top"/>
    </xf>
    <xf numFmtId="0" fontId="39" fillId="0" borderId="0" xfId="4" applyFont="1" applyAlignment="1">
      <alignment vertical="top"/>
    </xf>
    <xf numFmtId="0" fontId="39" fillId="5" borderId="0" xfId="4" applyFont="1" applyFill="1" applyAlignment="1">
      <alignment horizontal="center" vertical="top" wrapText="1"/>
    </xf>
    <xf numFmtId="0" fontId="39" fillId="5" borderId="0" xfId="4" applyFont="1" applyFill="1" applyAlignment="1">
      <alignment horizontal="center" vertical="top"/>
    </xf>
    <xf numFmtId="0" fontId="39" fillId="10" borderId="0" xfId="4" applyFont="1" applyFill="1" applyAlignment="1">
      <alignment horizontal="center" vertical="top"/>
    </xf>
    <xf numFmtId="165" fontId="42" fillId="10" borderId="0" xfId="4" applyNumberFormat="1" applyFont="1" applyFill="1" applyAlignment="1">
      <alignment vertical="top"/>
    </xf>
    <xf numFmtId="0" fontId="39" fillId="10" borderId="0" xfId="4" applyFont="1" applyFill="1" applyAlignment="1">
      <alignment vertical="top" wrapText="1"/>
    </xf>
    <xf numFmtId="9" fontId="35" fillId="9" borderId="10" xfId="4" applyNumberFormat="1" applyFont="1" applyFill="1" applyBorder="1" applyAlignment="1">
      <alignment horizontal="center" vertical="top" wrapText="1"/>
    </xf>
    <xf numFmtId="0" fontId="35" fillId="9" borderId="10" xfId="4" applyFont="1" applyFill="1" applyBorder="1" applyAlignment="1">
      <alignment horizontal="center" vertical="top" wrapText="1"/>
    </xf>
    <xf numFmtId="0" fontId="35" fillId="9" borderId="11" xfId="4" applyFont="1" applyFill="1" applyBorder="1" applyAlignment="1">
      <alignment horizontal="center" vertical="top" wrapText="1"/>
    </xf>
    <xf numFmtId="0" fontId="39" fillId="9" borderId="10" xfId="4" applyFont="1" applyFill="1" applyBorder="1" applyAlignment="1">
      <alignment horizontal="center" vertical="top" wrapText="1"/>
    </xf>
    <xf numFmtId="9" fontId="35" fillId="10" borderId="7" xfId="4" applyNumberFormat="1" applyFont="1" applyFill="1" applyBorder="1" applyAlignment="1" applyProtection="1">
      <alignment horizontal="center" vertical="top" textRotation="90" wrapText="1"/>
      <protection locked="0"/>
    </xf>
    <xf numFmtId="2" fontId="39" fillId="9" borderId="10" xfId="4" applyNumberFormat="1" applyFont="1" applyFill="1" applyBorder="1" applyAlignment="1">
      <alignment horizontal="center" vertical="top" wrapText="1"/>
    </xf>
    <xf numFmtId="2" fontId="40" fillId="5" borderId="0" xfId="4" applyNumberFormat="1" applyFont="1" applyFill="1" applyAlignment="1">
      <alignment horizontal="center" vertical="top" wrapText="1"/>
    </xf>
    <xf numFmtId="2" fontId="35" fillId="9" borderId="22" xfId="4" applyNumberFormat="1" applyFont="1" applyFill="1" applyBorder="1" applyAlignment="1">
      <alignment horizontal="center" vertical="top" wrapText="1"/>
    </xf>
    <xf numFmtId="2" fontId="40" fillId="10" borderId="0" xfId="4" applyNumberFormat="1" applyFont="1" applyFill="1" applyAlignment="1">
      <alignment horizontal="center" vertical="top" wrapText="1"/>
    </xf>
    <xf numFmtId="165" fontId="46" fillId="0" borderId="10" xfId="4" applyNumberFormat="1" applyFont="1" applyBorder="1" applyAlignment="1">
      <alignment horizontal="center" vertical="top" wrapText="1"/>
    </xf>
    <xf numFmtId="0" fontId="31" fillId="0" borderId="0" xfId="4" applyFont="1" applyAlignment="1" applyProtection="1">
      <alignment vertical="top"/>
      <protection locked="0"/>
    </xf>
    <xf numFmtId="9" fontId="35" fillId="9" borderId="12" xfId="4" applyNumberFormat="1" applyFont="1" applyFill="1" applyBorder="1" applyAlignment="1">
      <alignment horizontal="center" vertical="top" wrapText="1"/>
    </xf>
    <xf numFmtId="0" fontId="35" fillId="9" borderId="12" xfId="4" applyFont="1" applyFill="1" applyBorder="1" applyAlignment="1">
      <alignment horizontal="center" vertical="top" wrapText="1"/>
    </xf>
    <xf numFmtId="0" fontId="39" fillId="10" borderId="36" xfId="4" applyFont="1" applyFill="1" applyBorder="1" applyAlignment="1">
      <alignment horizontal="center" vertical="center" wrapText="1"/>
    </xf>
    <xf numFmtId="9" fontId="35" fillId="5" borderId="0" xfId="4" applyNumberFormat="1" applyFont="1" applyFill="1" applyAlignment="1" applyProtection="1">
      <alignment horizontal="center" vertical="top" textRotation="90" wrapText="1"/>
      <protection locked="0"/>
    </xf>
    <xf numFmtId="2" fontId="39" fillId="10" borderId="36" xfId="4" applyNumberFormat="1" applyFont="1" applyFill="1" applyBorder="1" applyAlignment="1">
      <alignment horizontal="center" vertical="center" wrapText="1"/>
    </xf>
    <xf numFmtId="10" fontId="43" fillId="9" borderId="12" xfId="6" applyNumberFormat="1" applyFont="1" applyFill="1" applyBorder="1" applyAlignment="1" applyProtection="1">
      <alignment horizontal="center" vertical="center" wrapText="1"/>
    </xf>
    <xf numFmtId="165" fontId="39" fillId="16" borderId="11" xfId="4" applyNumberFormat="1" applyFont="1" applyFill="1" applyBorder="1" applyAlignment="1" applyProtection="1">
      <alignment horizontal="center" vertical="top" wrapText="1"/>
      <protection locked="0"/>
    </xf>
    <xf numFmtId="0" fontId="30" fillId="0" borderId="3" xfId="4" applyFont="1" applyBorder="1" applyAlignment="1" applyProtection="1">
      <alignment horizontal="center" vertical="top" wrapText="1"/>
      <protection locked="0"/>
    </xf>
    <xf numFmtId="0" fontId="30" fillId="0" borderId="24" xfId="4" applyFont="1" applyBorder="1" applyAlignment="1" applyProtection="1">
      <alignment vertical="center" textRotation="90" wrapText="1"/>
      <protection locked="0"/>
    </xf>
    <xf numFmtId="0" fontId="30" fillId="0" borderId="3" xfId="4" applyFont="1" applyBorder="1" applyAlignment="1" applyProtection="1">
      <alignment horizontal="right" vertical="top" wrapText="1"/>
      <protection locked="0"/>
    </xf>
    <xf numFmtId="0" fontId="30" fillId="0" borderId="3" xfId="4" applyFont="1" applyBorder="1" applyAlignment="1" applyProtection="1">
      <alignment vertical="top" wrapText="1"/>
      <protection locked="0"/>
    </xf>
    <xf numFmtId="166" fontId="30" fillId="0" borderId="3" xfId="4" applyNumberFormat="1" applyFont="1" applyBorder="1" applyAlignment="1" applyProtection="1">
      <alignment vertical="top" wrapText="1"/>
      <protection locked="0"/>
    </xf>
    <xf numFmtId="166" fontId="30" fillId="0" borderId="15" xfId="4" applyNumberFormat="1" applyFont="1" applyBorder="1" applyAlignment="1">
      <alignment vertical="top" wrapText="1"/>
    </xf>
    <xf numFmtId="166" fontId="30" fillId="0" borderId="25" xfId="4" applyNumberFormat="1" applyFont="1" applyBorder="1" applyAlignment="1">
      <alignment vertical="top" wrapText="1"/>
    </xf>
    <xf numFmtId="2" fontId="30" fillId="5" borderId="0" xfId="4" applyNumberFormat="1" applyFont="1" applyFill="1" applyAlignment="1" applyProtection="1">
      <alignment vertical="top" wrapText="1"/>
      <protection locked="0"/>
    </xf>
    <xf numFmtId="2" fontId="30" fillId="0" borderId="17" xfId="4" applyNumberFormat="1" applyFont="1" applyBorder="1" applyAlignment="1" applyProtection="1">
      <alignment vertical="top"/>
      <protection locked="0"/>
    </xf>
    <xf numFmtId="2" fontId="30" fillId="5" borderId="0" xfId="4" applyNumberFormat="1" applyFont="1" applyFill="1" applyAlignment="1" applyProtection="1">
      <alignment vertical="top"/>
      <protection locked="0"/>
    </xf>
    <xf numFmtId="166" fontId="30" fillId="0" borderId="3" xfId="4" applyNumberFormat="1" applyFont="1" applyBorder="1" applyAlignment="1">
      <alignment vertical="top" wrapText="1"/>
    </xf>
    <xf numFmtId="166" fontId="30" fillId="0" borderId="17" xfId="4" applyNumberFormat="1" applyFont="1" applyBorder="1" applyAlignment="1">
      <alignment vertical="top" wrapText="1"/>
    </xf>
    <xf numFmtId="166" fontId="30" fillId="10" borderId="33" xfId="4" applyNumberFormat="1" applyFont="1" applyFill="1" applyBorder="1" applyAlignment="1">
      <alignment vertical="top" wrapText="1"/>
    </xf>
    <xf numFmtId="164" fontId="30" fillId="0" borderId="3" xfId="4" applyNumberFormat="1" applyFont="1" applyBorder="1" applyAlignment="1" applyProtection="1">
      <alignment vertical="top" wrapText="1"/>
      <protection locked="0"/>
    </xf>
    <xf numFmtId="0" fontId="30" fillId="10" borderId="0" xfId="4" applyFont="1" applyFill="1" applyAlignment="1" applyProtection="1">
      <alignment vertical="top"/>
      <protection locked="0"/>
    </xf>
    <xf numFmtId="0" fontId="30" fillId="0" borderId="0" xfId="4" applyFont="1" applyAlignment="1" applyProtection="1">
      <alignment vertical="top"/>
      <protection locked="0"/>
    </xf>
    <xf numFmtId="0" fontId="30" fillId="0" borderId="38" xfId="4" applyFont="1" applyBorder="1" applyAlignment="1" applyProtection="1">
      <alignment vertical="center" textRotation="90" wrapText="1"/>
      <protection locked="0"/>
    </xf>
    <xf numFmtId="0" fontId="30" fillId="0" borderId="1" xfId="4" applyFont="1" applyBorder="1" applyAlignment="1" applyProtection="1">
      <alignment horizontal="right" vertical="top" wrapText="1"/>
      <protection locked="0"/>
    </xf>
    <xf numFmtId="0" fontId="30" fillId="0" borderId="1" xfId="4" applyFont="1" applyBorder="1" applyAlignment="1" applyProtection="1">
      <alignment vertical="top" wrapText="1"/>
      <protection locked="0"/>
    </xf>
    <xf numFmtId="166" fontId="30" fillId="0" borderId="1" xfId="4" applyNumberFormat="1" applyFont="1" applyBorder="1" applyAlignment="1" applyProtection="1">
      <alignment vertical="top" wrapText="1"/>
      <protection locked="0"/>
    </xf>
    <xf numFmtId="166" fontId="30" fillId="0" borderId="8" xfId="4" applyNumberFormat="1" applyFont="1" applyBorder="1" applyAlignment="1">
      <alignment vertical="top" wrapText="1"/>
    </xf>
    <xf numFmtId="2" fontId="30" fillId="0" borderId="39" xfId="4" applyNumberFormat="1" applyFont="1" applyBorder="1" applyAlignment="1" applyProtection="1">
      <alignment vertical="top"/>
      <protection locked="0"/>
    </xf>
    <xf numFmtId="164" fontId="30" fillId="0" borderId="1" xfId="4" applyNumberFormat="1" applyFont="1" applyBorder="1" applyAlignment="1" applyProtection="1">
      <alignment vertical="top" wrapText="1"/>
      <protection locked="0"/>
    </xf>
    <xf numFmtId="166" fontId="30" fillId="0" borderId="42" xfId="4" applyNumberFormat="1" applyFont="1" applyBorder="1" applyAlignment="1">
      <alignment vertical="top" wrapText="1"/>
    </xf>
    <xf numFmtId="166" fontId="30" fillId="10" borderId="0" xfId="4" applyNumberFormat="1" applyFont="1" applyFill="1" applyAlignment="1">
      <alignment vertical="top" wrapText="1"/>
    </xf>
    <xf numFmtId="3" fontId="30" fillId="0" borderId="1" xfId="4" applyNumberFormat="1" applyFont="1" applyBorder="1" applyAlignment="1" applyProtection="1">
      <alignment horizontal="center" vertical="top" wrapText="1"/>
      <protection locked="0"/>
    </xf>
    <xf numFmtId="2" fontId="30" fillId="0" borderId="8" xfId="4" applyNumberFormat="1" applyFont="1" applyBorder="1" applyAlignment="1" applyProtection="1">
      <alignment vertical="top"/>
      <protection locked="0"/>
    </xf>
    <xf numFmtId="166" fontId="30" fillId="0" borderId="1" xfId="4" applyNumberFormat="1" applyFont="1" applyBorder="1" applyAlignment="1">
      <alignment vertical="top" wrapText="1"/>
    </xf>
    <xf numFmtId="0" fontId="30" fillId="0" borderId="8" xfId="4" applyFont="1" applyBorder="1" applyAlignment="1" applyProtection="1">
      <alignment vertical="top"/>
      <protection locked="0"/>
    </xf>
    <xf numFmtId="0" fontId="30" fillId="5" borderId="0" xfId="4" applyFont="1" applyFill="1" applyAlignment="1" applyProtection="1">
      <alignment vertical="top"/>
      <protection locked="0"/>
    </xf>
    <xf numFmtId="0" fontId="30" fillId="10" borderId="0" xfId="4" applyFont="1" applyFill="1" applyAlignment="1" applyProtection="1">
      <alignment horizontal="center" vertical="top"/>
      <protection locked="0"/>
    </xf>
    <xf numFmtId="0" fontId="30" fillId="10" borderId="0" xfId="4" applyFont="1" applyFill="1" applyAlignment="1" applyProtection="1">
      <alignment horizontal="left" vertical="top"/>
      <protection locked="0"/>
    </xf>
    <xf numFmtId="2" fontId="30" fillId="10" borderId="0" xfId="4" applyNumberFormat="1" applyFont="1" applyFill="1" applyAlignment="1">
      <alignment vertical="top"/>
    </xf>
    <xf numFmtId="0" fontId="30" fillId="10" borderId="9" xfId="4" applyFont="1" applyFill="1" applyBorder="1" applyAlignment="1" applyProtection="1">
      <alignment vertical="top"/>
      <protection locked="0"/>
    </xf>
    <xf numFmtId="2" fontId="30" fillId="10" borderId="9" xfId="4" applyNumberFormat="1" applyFont="1" applyFill="1" applyBorder="1" applyAlignment="1" applyProtection="1">
      <alignment vertical="top"/>
      <protection locked="0"/>
    </xf>
    <xf numFmtId="2" fontId="30" fillId="10" borderId="0" xfId="4" applyNumberFormat="1" applyFont="1" applyFill="1" applyAlignment="1" applyProtection="1">
      <alignment vertical="top"/>
      <protection locked="0"/>
    </xf>
    <xf numFmtId="0" fontId="30" fillId="10" borderId="33" xfId="4" applyFont="1" applyFill="1" applyBorder="1" applyAlignment="1" applyProtection="1">
      <alignment vertical="top"/>
      <protection locked="0"/>
    </xf>
    <xf numFmtId="165" fontId="30" fillId="10" borderId="0" xfId="4" applyNumberFormat="1" applyFont="1" applyFill="1" applyAlignment="1">
      <alignment vertical="top"/>
    </xf>
    <xf numFmtId="0" fontId="30" fillId="10" borderId="0" xfId="4" applyFont="1" applyFill="1" applyAlignment="1" applyProtection="1">
      <alignment vertical="top" wrapText="1"/>
      <protection locked="0"/>
    </xf>
    <xf numFmtId="0" fontId="39" fillId="10" borderId="0" xfId="4" applyFont="1" applyFill="1" applyAlignment="1" applyProtection="1">
      <alignment horizontal="center" vertical="top"/>
      <protection locked="0"/>
    </xf>
    <xf numFmtId="0" fontId="39" fillId="10" borderId="0" xfId="4" applyFont="1" applyFill="1" applyAlignment="1" applyProtection="1">
      <alignment horizontal="left" vertical="top"/>
      <protection locked="0"/>
    </xf>
    <xf numFmtId="0" fontId="39" fillId="10" borderId="0" xfId="4" applyFont="1" applyFill="1" applyAlignment="1" applyProtection="1">
      <alignment horizontal="right" vertical="top"/>
      <protection locked="0"/>
    </xf>
    <xf numFmtId="164" fontId="39" fillId="10" borderId="0" xfId="4" applyNumberFormat="1" applyFont="1" applyFill="1" applyAlignment="1" applyProtection="1">
      <alignment vertical="top"/>
      <protection locked="0"/>
    </xf>
    <xf numFmtId="164" fontId="39" fillId="10" borderId="0" xfId="4" applyNumberFormat="1" applyFont="1" applyFill="1" applyAlignment="1" applyProtection="1">
      <alignment horizontal="center" vertical="top"/>
      <protection locked="0"/>
    </xf>
    <xf numFmtId="2" fontId="39" fillId="10" borderId="0" xfId="4" applyNumberFormat="1" applyFont="1" applyFill="1" applyAlignment="1">
      <alignment vertical="top"/>
    </xf>
    <xf numFmtId="2" fontId="39" fillId="10" borderId="18" xfId="4" applyNumberFormat="1" applyFont="1" applyFill="1" applyBorder="1" applyAlignment="1">
      <alignment vertical="top"/>
    </xf>
    <xf numFmtId="2" fontId="39" fillId="10" borderId="0" xfId="4" applyNumberFormat="1" applyFont="1" applyFill="1" applyAlignment="1" applyProtection="1">
      <alignment vertical="top"/>
      <protection locked="0"/>
    </xf>
    <xf numFmtId="2" fontId="39" fillId="10" borderId="14" xfId="4" applyNumberFormat="1" applyFont="1" applyFill="1" applyBorder="1" applyAlignment="1">
      <alignment vertical="top"/>
    </xf>
    <xf numFmtId="2" fontId="39" fillId="16" borderId="1" xfId="4" applyNumberFormat="1" applyFont="1" applyFill="1" applyBorder="1" applyAlignment="1" applyProtection="1">
      <alignment vertical="top"/>
      <protection locked="0"/>
    </xf>
    <xf numFmtId="2" fontId="39" fillId="10" borderId="43" xfId="4" applyNumberFormat="1" applyFont="1" applyFill="1" applyBorder="1" applyAlignment="1">
      <alignment vertical="top"/>
    </xf>
    <xf numFmtId="166" fontId="39" fillId="10" borderId="1" xfId="4" applyNumberFormat="1" applyFont="1" applyFill="1" applyBorder="1" applyAlignment="1">
      <alignment vertical="top"/>
    </xf>
    <xf numFmtId="0" fontId="39" fillId="10" borderId="0" xfId="4" applyFont="1" applyFill="1" applyAlignment="1" applyProtection="1">
      <alignment vertical="top" wrapText="1"/>
      <protection locked="0"/>
    </xf>
    <xf numFmtId="0" fontId="39" fillId="10" borderId="0" xfId="4" applyFont="1" applyFill="1" applyAlignment="1" applyProtection="1">
      <alignment vertical="top"/>
      <protection locked="0"/>
    </xf>
    <xf numFmtId="0" fontId="44" fillId="10" borderId="0" xfId="4" applyFont="1" applyFill="1" applyAlignment="1" applyProtection="1">
      <alignment horizontal="left" vertical="top"/>
      <protection locked="0"/>
    </xf>
    <xf numFmtId="0" fontId="31" fillId="10" borderId="0" xfId="4" applyFont="1" applyFill="1" applyAlignment="1" applyProtection="1">
      <alignment horizontal="left" vertical="top"/>
      <protection locked="0"/>
    </xf>
    <xf numFmtId="2" fontId="38" fillId="10" borderId="0" xfId="4" applyNumberFormat="1" applyFont="1" applyFill="1" applyAlignment="1" applyProtection="1">
      <alignment vertical="top"/>
      <protection locked="0"/>
    </xf>
    <xf numFmtId="2" fontId="31" fillId="10" borderId="0" xfId="4" applyNumberFormat="1" applyFont="1" applyFill="1" applyAlignment="1" applyProtection="1">
      <alignment vertical="top"/>
      <protection locked="0"/>
    </xf>
    <xf numFmtId="165" fontId="37" fillId="10" borderId="0" xfId="4" applyNumberFormat="1" applyFont="1" applyFill="1" applyAlignment="1" applyProtection="1">
      <alignment vertical="top"/>
      <protection locked="0"/>
    </xf>
    <xf numFmtId="0" fontId="31" fillId="10" borderId="0" xfId="4" applyFont="1" applyFill="1" applyAlignment="1" applyProtection="1">
      <alignment vertical="top" wrapText="1"/>
      <protection locked="0"/>
    </xf>
    <xf numFmtId="0" fontId="41" fillId="10" borderId="0" xfId="4" applyFont="1" applyFill="1" applyAlignment="1" applyProtection="1">
      <alignment vertical="top"/>
      <protection locked="0"/>
    </xf>
    <xf numFmtId="0" fontId="38" fillId="10" borderId="0" xfId="4" applyFont="1" applyFill="1" applyAlignment="1" applyProtection="1">
      <alignment vertical="top"/>
      <protection locked="0"/>
    </xf>
    <xf numFmtId="0" fontId="31" fillId="0" borderId="0" xfId="4" applyFont="1" applyAlignment="1" applyProtection="1">
      <alignment horizontal="center" vertical="top"/>
      <protection locked="0"/>
    </xf>
    <xf numFmtId="0" fontId="31" fillId="0" borderId="0" xfId="4" applyFont="1" applyAlignment="1" applyProtection="1">
      <alignment horizontal="left" vertical="top"/>
      <protection locked="0"/>
    </xf>
    <xf numFmtId="0" fontId="38" fillId="0" borderId="0" xfId="4" applyFont="1" applyAlignment="1" applyProtection="1">
      <alignment vertical="top"/>
      <protection locked="0"/>
    </xf>
    <xf numFmtId="0" fontId="31" fillId="5" borderId="0" xfId="4" applyFont="1" applyFill="1" applyAlignment="1" applyProtection="1">
      <alignment vertical="top"/>
      <protection locked="0"/>
    </xf>
    <xf numFmtId="165" fontId="37" fillId="0" borderId="0" xfId="4" applyNumberFormat="1" applyFont="1" applyAlignment="1" applyProtection="1">
      <alignment vertical="top"/>
      <protection locked="0"/>
    </xf>
    <xf numFmtId="0" fontId="31" fillId="0" borderId="0" xfId="4" applyFont="1" applyAlignment="1" applyProtection="1">
      <alignment vertical="top" wrapText="1"/>
      <protection locked="0"/>
    </xf>
    <xf numFmtId="6" fontId="5" fillId="0" borderId="3" xfId="0" applyNumberFormat="1" applyFont="1" applyBorder="1" applyAlignment="1">
      <alignment vertical="top" wrapText="1"/>
    </xf>
    <xf numFmtId="0" fontId="2" fillId="9" borderId="16" xfId="0" applyFont="1" applyFill="1" applyBorder="1" applyAlignment="1">
      <alignment horizontal="center" vertical="top" wrapText="1"/>
    </xf>
    <xf numFmtId="0" fontId="5" fillId="0" borderId="16" xfId="0" applyFont="1" applyBorder="1" applyAlignment="1">
      <alignment vertical="top" wrapText="1"/>
    </xf>
    <xf numFmtId="6" fontId="5" fillId="0" borderId="3" xfId="0" applyNumberFormat="1" applyFont="1" applyBorder="1" applyAlignment="1">
      <alignment vertical="top"/>
    </xf>
    <xf numFmtId="0" fontId="30" fillId="0" borderId="16" xfId="0" applyFont="1" applyBorder="1" applyAlignment="1" applyProtection="1">
      <alignment horizontal="left" vertical="top" wrapText="1"/>
      <protection locked="0"/>
    </xf>
    <xf numFmtId="0" fontId="30" fillId="0" borderId="44" xfId="0" applyFont="1" applyBorder="1" applyAlignment="1" applyProtection="1">
      <alignment horizontal="left" vertical="top" wrapText="1"/>
      <protection locked="0"/>
    </xf>
    <xf numFmtId="9" fontId="39" fillId="9" borderId="12" xfId="0" applyNumberFormat="1" applyFont="1" applyFill="1" applyBorder="1" applyAlignment="1">
      <alignment horizontal="center" vertical="top" wrapText="1"/>
    </xf>
    <xf numFmtId="0" fontId="31" fillId="10" borderId="0" xfId="0" applyFont="1" applyFill="1" applyAlignment="1" applyProtection="1">
      <alignment horizontal="right" vertical="top"/>
      <protection locked="0"/>
    </xf>
    <xf numFmtId="0" fontId="31" fillId="10" borderId="27" xfId="0" applyFont="1" applyFill="1" applyBorder="1" applyAlignment="1" applyProtection="1">
      <alignment horizontal="right" vertical="top"/>
      <protection locked="0"/>
    </xf>
    <xf numFmtId="2" fontId="30" fillId="0" borderId="9" xfId="0" applyNumberFormat="1" applyFont="1" applyBorder="1" applyAlignment="1" applyProtection="1">
      <alignment vertical="top"/>
      <protection locked="0"/>
    </xf>
    <xf numFmtId="1" fontId="30" fillId="0" borderId="1" xfId="0" applyNumberFormat="1" applyFont="1" applyBorder="1" applyAlignment="1" applyProtection="1">
      <alignment vertical="top" wrapText="1"/>
      <protection locked="0"/>
    </xf>
    <xf numFmtId="1" fontId="36" fillId="0" borderId="1" xfId="0" applyNumberFormat="1" applyFont="1" applyBorder="1" applyAlignment="1" applyProtection="1">
      <alignment vertical="top" wrapText="1"/>
      <protection locked="0"/>
    </xf>
    <xf numFmtId="1" fontId="30" fillId="0" borderId="1" xfId="0" applyNumberFormat="1" applyFont="1" applyBorder="1" applyAlignment="1" applyProtection="1">
      <alignment horizontal="center" vertical="top" wrapText="1"/>
      <protection locked="0"/>
    </xf>
    <xf numFmtId="1" fontId="36" fillId="0" borderId="1" xfId="0" applyNumberFormat="1" applyFont="1" applyBorder="1" applyAlignment="1" applyProtection="1">
      <alignment horizontal="center" vertical="top" wrapText="1"/>
      <protection locked="0"/>
    </xf>
    <xf numFmtId="1" fontId="52" fillId="0" borderId="3" xfId="0" applyNumberFormat="1" applyFont="1" applyBorder="1" applyAlignment="1" applyProtection="1">
      <alignment horizontal="center" vertical="top" wrapText="1"/>
      <protection locked="0"/>
    </xf>
    <xf numFmtId="0" fontId="6" fillId="0" borderId="1" xfId="3" applyBorder="1" applyAlignment="1" applyProtection="1">
      <alignment vertical="top"/>
      <protection locked="0"/>
    </xf>
    <xf numFmtId="0" fontId="6" fillId="0" borderId="40" xfId="3" applyBorder="1" applyAlignment="1" applyProtection="1">
      <alignment vertical="top"/>
      <protection locked="0"/>
    </xf>
    <xf numFmtId="0" fontId="41" fillId="10" borderId="1" xfId="0" applyFont="1" applyFill="1" applyBorder="1" applyAlignment="1" applyProtection="1">
      <alignment horizontal="left" vertical="top" wrapText="1"/>
      <protection locked="0"/>
    </xf>
    <xf numFmtId="1" fontId="41" fillId="0" borderId="1" xfId="0" applyNumberFormat="1" applyFont="1" applyBorder="1" applyAlignment="1" applyProtection="1">
      <alignment horizontal="left" vertical="top" wrapText="1"/>
      <protection locked="0"/>
    </xf>
    <xf numFmtId="164" fontId="41" fillId="0" borderId="1" xfId="0" applyNumberFormat="1" applyFont="1" applyBorder="1" applyAlignment="1" applyProtection="1">
      <alignment vertical="top" wrapText="1"/>
      <protection locked="0"/>
    </xf>
    <xf numFmtId="0" fontId="41" fillId="10" borderId="0" xfId="0" applyFont="1" applyFill="1" applyAlignment="1" applyProtection="1">
      <alignment vertical="top" wrapText="1"/>
      <protection locked="0"/>
    </xf>
    <xf numFmtId="0" fontId="30" fillId="0" borderId="45" xfId="0" applyFont="1" applyBorder="1" applyAlignment="1" applyProtection="1">
      <alignment vertical="top" wrapText="1"/>
      <protection locked="0"/>
    </xf>
    <xf numFmtId="0" fontId="30" fillId="0" borderId="46" xfId="0" applyFont="1" applyBorder="1" applyAlignment="1" applyProtection="1">
      <alignment vertical="top" wrapText="1"/>
      <protection locked="0"/>
    </xf>
    <xf numFmtId="1" fontId="54" fillId="0" borderId="1" xfId="0" applyNumberFormat="1" applyFont="1" applyBorder="1" applyAlignment="1" applyProtection="1">
      <alignment horizontal="center" vertical="top" wrapText="1"/>
      <protection locked="0"/>
    </xf>
    <xf numFmtId="0" fontId="41" fillId="0" borderId="1" xfId="0" applyFont="1" applyBorder="1" applyAlignment="1" applyProtection="1">
      <alignment vertical="top" wrapText="1"/>
      <protection locked="0"/>
    </xf>
    <xf numFmtId="0" fontId="30" fillId="0" borderId="0" xfId="4" applyFont="1" applyAlignment="1" applyProtection="1">
      <alignment horizontal="center" vertical="top"/>
      <protection locked="0"/>
    </xf>
    <xf numFmtId="0" fontId="39" fillId="8" borderId="47" xfId="0" applyFont="1" applyFill="1" applyBorder="1" applyAlignment="1" applyProtection="1">
      <alignment horizontal="center" vertical="top"/>
      <protection locked="0"/>
    </xf>
    <xf numFmtId="0" fontId="39" fillId="8" borderId="6" xfId="0" applyFont="1" applyFill="1" applyBorder="1" applyAlignment="1" applyProtection="1">
      <alignment horizontal="center" vertical="top"/>
      <protection locked="0"/>
    </xf>
    <xf numFmtId="0" fontId="39" fillId="8" borderId="48" xfId="0" applyFont="1" applyFill="1" applyBorder="1" applyAlignment="1" applyProtection="1">
      <alignment horizontal="center" vertical="top"/>
      <protection locked="0"/>
    </xf>
    <xf numFmtId="0" fontId="39" fillId="8" borderId="28" xfId="0" applyFont="1" applyFill="1" applyBorder="1" applyAlignment="1" applyProtection="1">
      <alignment horizontal="center" vertical="top"/>
      <protection locked="0"/>
    </xf>
    <xf numFmtId="0" fontId="35" fillId="8" borderId="47" xfId="0" applyFont="1" applyFill="1" applyBorder="1" applyAlignment="1" applyProtection="1">
      <alignment horizontal="center" vertical="top" wrapText="1"/>
      <protection locked="0"/>
    </xf>
    <xf numFmtId="0" fontId="35" fillId="8" borderId="6" xfId="0" applyFont="1" applyFill="1" applyBorder="1" applyAlignment="1" applyProtection="1">
      <alignment horizontal="center" vertical="top" wrapText="1"/>
      <protection locked="0"/>
    </xf>
    <xf numFmtId="0" fontId="31" fillId="8" borderId="47" xfId="0" applyFont="1" applyFill="1" applyBorder="1" applyAlignment="1" applyProtection="1">
      <alignment vertical="top"/>
      <protection locked="0"/>
    </xf>
    <xf numFmtId="0" fontId="31" fillId="10" borderId="49" xfId="0" applyFont="1" applyFill="1" applyBorder="1" applyAlignment="1" applyProtection="1">
      <alignment horizontal="center" vertical="center"/>
      <protection locked="0"/>
    </xf>
    <xf numFmtId="0" fontId="39" fillId="10" borderId="50" xfId="0" applyFont="1" applyFill="1" applyBorder="1" applyAlignment="1" applyProtection="1">
      <alignment horizontal="center" vertical="center"/>
      <protection locked="0"/>
    </xf>
    <xf numFmtId="0" fontId="31" fillId="8" borderId="51" xfId="0" applyFont="1" applyFill="1" applyBorder="1" applyAlignment="1" applyProtection="1">
      <alignment vertical="top"/>
      <protection locked="0"/>
    </xf>
    <xf numFmtId="0" fontId="31" fillId="8" borderId="52" xfId="0" applyFont="1" applyFill="1" applyBorder="1" applyAlignment="1" applyProtection="1">
      <alignment vertical="top"/>
      <protection locked="0"/>
    </xf>
    <xf numFmtId="0" fontId="31" fillId="8" borderId="53" xfId="0" applyFont="1" applyFill="1" applyBorder="1" applyAlignment="1" applyProtection="1">
      <alignment vertical="top"/>
      <protection locked="0"/>
    </xf>
    <xf numFmtId="0" fontId="31" fillId="8" borderId="54" xfId="0" applyFont="1" applyFill="1" applyBorder="1" applyAlignment="1" applyProtection="1">
      <alignment vertical="top"/>
      <protection locked="0"/>
    </xf>
    <xf numFmtId="0" fontId="31" fillId="10" borderId="7" xfId="0" applyFont="1" applyFill="1" applyBorder="1" applyAlignment="1" applyProtection="1">
      <alignment vertical="top"/>
      <protection locked="0"/>
    </xf>
    <xf numFmtId="0" fontId="35" fillId="10" borderId="7" xfId="0" applyFont="1" applyFill="1" applyBorder="1" applyAlignment="1" applyProtection="1">
      <alignment horizontal="center" vertical="top" wrapText="1"/>
      <protection locked="0"/>
    </xf>
    <xf numFmtId="0" fontId="31" fillId="10" borderId="7" xfId="0" applyFont="1" applyFill="1" applyBorder="1" applyAlignment="1" applyProtection="1">
      <alignment horizontal="center" vertical="center"/>
      <protection locked="0"/>
    </xf>
    <xf numFmtId="0" fontId="40" fillId="10" borderId="0" xfId="0" applyFont="1" applyFill="1" applyAlignment="1" applyProtection="1">
      <alignment vertical="top" wrapText="1"/>
      <protection locked="0"/>
    </xf>
    <xf numFmtId="0" fontId="36" fillId="10" borderId="0" xfId="0" applyFont="1" applyFill="1" applyAlignment="1" applyProtection="1">
      <alignment vertical="top" wrapText="1"/>
      <protection locked="0"/>
    </xf>
    <xf numFmtId="0" fontId="32" fillId="6" borderId="0" xfId="0" applyFont="1" applyFill="1" applyAlignment="1" applyProtection="1">
      <alignment horizontal="center" vertical="top"/>
      <protection locked="0"/>
    </xf>
    <xf numFmtId="0" fontId="39" fillId="6" borderId="7" xfId="0" applyFont="1" applyFill="1" applyBorder="1" applyAlignment="1" applyProtection="1">
      <alignment horizontal="center" vertical="top"/>
      <protection locked="0"/>
    </xf>
    <xf numFmtId="0" fontId="35" fillId="6" borderId="7" xfId="0" applyFont="1" applyFill="1" applyBorder="1" applyAlignment="1">
      <alignment horizontal="center" vertical="top" textRotation="90" wrapText="1"/>
    </xf>
    <xf numFmtId="0" fontId="39" fillId="8" borderId="0" xfId="0" applyFont="1" applyFill="1" applyAlignment="1" applyProtection="1">
      <alignment horizontal="center" vertical="top"/>
      <protection locked="0"/>
    </xf>
    <xf numFmtId="0" fontId="35" fillId="8" borderId="0" xfId="0" applyFont="1" applyFill="1" applyAlignment="1" applyProtection="1">
      <alignment horizontal="center" vertical="top" wrapText="1"/>
      <protection locked="0"/>
    </xf>
    <xf numFmtId="0" fontId="39" fillId="10" borderId="0" xfId="0" applyFont="1" applyFill="1" applyAlignment="1" applyProtection="1">
      <alignment horizontal="center" vertical="center"/>
      <protection locked="0"/>
    </xf>
    <xf numFmtId="0" fontId="31" fillId="8" borderId="0" xfId="0" applyFont="1" applyFill="1" applyAlignment="1" applyProtection="1">
      <alignment vertical="top"/>
      <protection locked="0"/>
    </xf>
    <xf numFmtId="0" fontId="36" fillId="10" borderId="0" xfId="0" applyFont="1" applyFill="1" applyAlignment="1" applyProtection="1">
      <alignment horizontal="center" vertical="center" wrapText="1"/>
      <protection locked="0"/>
    </xf>
    <xf numFmtId="0" fontId="39" fillId="0" borderId="1" xfId="0" applyFont="1" applyBorder="1" applyAlignment="1" applyProtection="1">
      <alignment horizontal="center" vertical="top"/>
      <protection locked="0"/>
    </xf>
    <xf numFmtId="0" fontId="31" fillId="0" borderId="1" xfId="0" applyFont="1" applyBorder="1" applyAlignment="1" applyProtection="1">
      <alignment horizontal="left" vertical="top" wrapText="1"/>
      <protection locked="0"/>
    </xf>
    <xf numFmtId="0" fontId="31" fillId="0" borderId="1" xfId="0" applyFont="1" applyBorder="1" applyAlignment="1">
      <alignment horizontal="center" vertical="top" wrapText="1"/>
    </xf>
    <xf numFmtId="1" fontId="41" fillId="0" borderId="40" xfId="0" applyNumberFormat="1" applyFont="1" applyBorder="1" applyAlignment="1" applyProtection="1">
      <alignment horizontal="left" vertical="top" wrapText="1"/>
      <protection locked="0"/>
    </xf>
    <xf numFmtId="1" fontId="41" fillId="0" borderId="40" xfId="0" applyNumberFormat="1" applyFont="1" applyBorder="1" applyAlignment="1" applyProtection="1">
      <alignment horizontal="center" vertical="top" wrapText="1"/>
      <protection locked="0"/>
    </xf>
    <xf numFmtId="1" fontId="30" fillId="0" borderId="3" xfId="0" applyNumberFormat="1" applyFont="1" applyBorder="1" applyAlignment="1" applyProtection="1">
      <alignment horizontal="center" vertical="top" wrapText="1"/>
      <protection locked="0"/>
    </xf>
    <xf numFmtId="1" fontId="36" fillId="0" borderId="40" xfId="0" applyNumberFormat="1" applyFont="1" applyBorder="1" applyAlignment="1" applyProtection="1">
      <alignment horizontal="center" vertical="top" wrapText="1"/>
      <protection locked="0"/>
    </xf>
    <xf numFmtId="1" fontId="54" fillId="0" borderId="1" xfId="0" applyNumberFormat="1" applyFont="1" applyBorder="1" applyAlignment="1" applyProtection="1">
      <alignment vertical="top" wrapText="1"/>
      <protection locked="0"/>
    </xf>
    <xf numFmtId="0" fontId="39" fillId="10" borderId="26" xfId="0" applyFont="1" applyFill="1" applyBorder="1" applyAlignment="1" applyProtection="1">
      <alignment horizontal="center" vertical="center"/>
      <protection locked="0"/>
    </xf>
    <xf numFmtId="0" fontId="39" fillId="10" borderId="55" xfId="0" applyFont="1" applyFill="1" applyBorder="1" applyAlignment="1" applyProtection="1">
      <alignment horizontal="center" vertical="center"/>
      <protection locked="0"/>
    </xf>
    <xf numFmtId="0" fontId="31" fillId="10" borderId="0" xfId="0" applyFont="1" applyFill="1" applyAlignment="1" applyProtection="1">
      <alignment horizontal="center" vertical="top" wrapText="1"/>
      <protection locked="0"/>
    </xf>
    <xf numFmtId="0" fontId="33" fillId="0" borderId="38" xfId="0" applyFont="1" applyBorder="1" applyAlignment="1" applyProtection="1">
      <alignment vertical="top"/>
      <protection locked="0"/>
    </xf>
    <xf numFmtId="0" fontId="31" fillId="0" borderId="38" xfId="0" applyFont="1" applyBorder="1" applyAlignment="1">
      <alignment vertical="top" wrapText="1"/>
    </xf>
    <xf numFmtId="0" fontId="31" fillId="0" borderId="38" xfId="0" applyFont="1" applyBorder="1" applyAlignment="1" applyProtection="1">
      <alignment vertical="top" wrapText="1"/>
      <protection locked="0"/>
    </xf>
    <xf numFmtId="0" fontId="31" fillId="0" borderId="38" xfId="0" applyFont="1" applyBorder="1" applyAlignment="1" applyProtection="1">
      <alignment horizontal="center" vertical="top" wrapText="1"/>
      <protection locked="0"/>
    </xf>
    <xf numFmtId="0" fontId="31" fillId="0" borderId="38" xfId="0" applyFont="1" applyBorder="1" applyAlignment="1" applyProtection="1">
      <alignment vertical="top"/>
      <protection locked="0"/>
    </xf>
    <xf numFmtId="0" fontId="31" fillId="0" borderId="38" xfId="0" applyFont="1" applyBorder="1" applyAlignment="1" applyProtection="1">
      <alignment horizontal="center" vertical="top"/>
      <protection locked="0"/>
    </xf>
    <xf numFmtId="0" fontId="31" fillId="0" borderId="38" xfId="0" applyFont="1" applyBorder="1" applyAlignment="1">
      <alignment vertical="top"/>
    </xf>
    <xf numFmtId="0" fontId="31" fillId="8" borderId="56" xfId="0" applyFont="1" applyFill="1" applyBorder="1" applyAlignment="1" applyProtection="1">
      <alignment vertical="top"/>
      <protection locked="0"/>
    </xf>
    <xf numFmtId="0" fontId="31" fillId="8" borderId="57" xfId="0" applyFont="1" applyFill="1" applyBorder="1" applyAlignment="1" applyProtection="1">
      <alignment vertical="top"/>
      <protection locked="0"/>
    </xf>
    <xf numFmtId="0" fontId="31" fillId="8" borderId="40" xfId="0" applyFont="1" applyFill="1" applyBorder="1" applyAlignment="1" applyProtection="1">
      <alignment vertical="top"/>
      <protection locked="0"/>
    </xf>
    <xf numFmtId="0" fontId="33" fillId="0" borderId="53" xfId="0" applyFont="1" applyBorder="1" applyAlignment="1" applyProtection="1">
      <alignment vertical="top"/>
      <protection locked="0"/>
    </xf>
    <xf numFmtId="0" fontId="31" fillId="0" borderId="53" xfId="0" applyFont="1" applyBorder="1" applyAlignment="1">
      <alignment vertical="top" wrapText="1"/>
    </xf>
    <xf numFmtId="0" fontId="31" fillId="0" borderId="53" xfId="0" applyFont="1" applyBorder="1" applyAlignment="1" applyProtection="1">
      <alignment vertical="top" wrapText="1"/>
      <protection locked="0"/>
    </xf>
    <xf numFmtId="0" fontId="31" fillId="0" borderId="53" xfId="0" applyFont="1" applyBorder="1" applyAlignment="1" applyProtection="1">
      <alignment horizontal="center" vertical="top" wrapText="1"/>
      <protection locked="0"/>
    </xf>
    <xf numFmtId="0" fontId="31" fillId="0" borderId="53" xfId="0" applyFont="1" applyBorder="1" applyAlignment="1" applyProtection="1">
      <alignment vertical="top"/>
      <protection locked="0"/>
    </xf>
    <xf numFmtId="0" fontId="31" fillId="0" borderId="53" xfId="0" applyFont="1" applyBorder="1" applyAlignment="1" applyProtection="1">
      <alignment horizontal="center" vertical="top"/>
      <protection locked="0"/>
    </xf>
    <xf numFmtId="0" fontId="31" fillId="0" borderId="53" xfId="0" applyFont="1" applyBorder="1" applyAlignment="1">
      <alignment vertical="top"/>
    </xf>
    <xf numFmtId="1" fontId="31" fillId="0" borderId="1" xfId="0" applyNumberFormat="1" applyFont="1" applyBorder="1" applyAlignment="1">
      <alignment horizontal="left" vertical="top" wrapText="1"/>
    </xf>
    <xf numFmtId="14" fontId="5" fillId="0" borderId="1" xfId="0" applyNumberFormat="1" applyFont="1" applyBorder="1" applyAlignment="1">
      <alignment vertical="top" wrapText="1"/>
    </xf>
    <xf numFmtId="0" fontId="41" fillId="0" borderId="3" xfId="0" applyFont="1" applyBorder="1" applyAlignment="1" applyProtection="1">
      <alignment horizontal="left" vertical="top" wrapText="1"/>
      <protection locked="0"/>
    </xf>
    <xf numFmtId="1" fontId="30" fillId="0" borderId="40" xfId="0" applyNumberFormat="1" applyFont="1" applyBorder="1" applyAlignment="1" applyProtection="1">
      <alignment horizontal="center" vertical="top" wrapText="1"/>
      <protection locked="0"/>
    </xf>
    <xf numFmtId="0" fontId="30" fillId="0" borderId="40" xfId="0" applyFont="1" applyBorder="1" applyAlignment="1" applyProtection="1">
      <alignment vertical="top" wrapText="1"/>
      <protection locked="0"/>
    </xf>
    <xf numFmtId="166" fontId="39" fillId="10" borderId="0" xfId="0" applyNumberFormat="1" applyFont="1" applyFill="1" applyAlignment="1">
      <alignment vertical="top"/>
    </xf>
    <xf numFmtId="0" fontId="6" fillId="0" borderId="58" xfId="3" applyBorder="1" applyAlignment="1" applyProtection="1">
      <alignment horizontal="center" vertical="top"/>
      <protection locked="0"/>
    </xf>
    <xf numFmtId="0" fontId="49" fillId="0" borderId="58" xfId="3" applyFont="1" applyBorder="1" applyAlignment="1" applyProtection="1">
      <alignment horizontal="center" vertical="top"/>
      <protection locked="0"/>
    </xf>
    <xf numFmtId="0" fontId="28" fillId="17" borderId="19" xfId="3" applyFont="1" applyFill="1" applyBorder="1" applyAlignment="1" applyProtection="1">
      <alignment horizontal="left" vertical="center"/>
      <protection locked="0"/>
    </xf>
    <xf numFmtId="0" fontId="33" fillId="0" borderId="59" xfId="0" applyFont="1" applyBorder="1" applyAlignment="1" applyProtection="1">
      <alignment horizontal="center" vertical="top"/>
      <protection locked="0"/>
    </xf>
    <xf numFmtId="0" fontId="31" fillId="0" borderId="47" xfId="0" applyFont="1" applyBorder="1" applyAlignment="1" applyProtection="1">
      <alignment vertical="top"/>
      <protection locked="0"/>
    </xf>
    <xf numFmtId="8" fontId="30" fillId="0" borderId="28" xfId="0" applyNumberFormat="1" applyFont="1" applyBorder="1" applyAlignment="1">
      <alignment horizontal="center" vertical="top"/>
    </xf>
    <xf numFmtId="8" fontId="30" fillId="0" borderId="6" xfId="0" applyNumberFormat="1" applyFont="1" applyBorder="1" applyAlignment="1">
      <alignment horizontal="center" vertical="top"/>
    </xf>
    <xf numFmtId="0" fontId="31" fillId="10" borderId="47" xfId="0" applyFont="1" applyFill="1" applyBorder="1" applyAlignment="1" applyProtection="1">
      <alignment horizontal="center" vertical="center"/>
      <protection locked="0"/>
    </xf>
    <xf numFmtId="8" fontId="30" fillId="10" borderId="50" xfId="0" applyNumberFormat="1" applyFont="1" applyFill="1" applyBorder="1" applyAlignment="1">
      <alignment horizontal="center" vertical="center"/>
    </xf>
    <xf numFmtId="0" fontId="31" fillId="0" borderId="60" xfId="0" applyFont="1" applyBorder="1" applyAlignment="1">
      <alignment vertical="top"/>
    </xf>
    <xf numFmtId="0" fontId="31" fillId="0" borderId="51" xfId="0" applyFont="1" applyBorder="1" applyAlignment="1" applyProtection="1">
      <alignment vertical="top"/>
      <protection locked="0"/>
    </xf>
    <xf numFmtId="0" fontId="33" fillId="0" borderId="61" xfId="0" applyFont="1" applyBorder="1" applyAlignment="1" applyProtection="1">
      <alignment horizontal="center" vertical="top"/>
      <protection locked="0"/>
    </xf>
    <xf numFmtId="0" fontId="31" fillId="0" borderId="54" xfId="0" applyFont="1" applyBorder="1" applyAlignment="1">
      <alignment vertical="top"/>
    </xf>
    <xf numFmtId="166" fontId="39" fillId="10" borderId="0" xfId="4" applyNumberFormat="1" applyFont="1" applyFill="1" applyAlignment="1">
      <alignment vertical="top"/>
    </xf>
    <xf numFmtId="0" fontId="41" fillId="0" borderId="40" xfId="0" applyFont="1" applyBorder="1" applyAlignment="1" applyProtection="1">
      <alignment vertical="top" wrapText="1"/>
      <protection locked="0"/>
    </xf>
    <xf numFmtId="0" fontId="41" fillId="0" borderId="3" xfId="0" applyFont="1" applyBorder="1" applyAlignment="1" applyProtection="1">
      <alignment vertical="top" wrapText="1"/>
      <protection locked="0"/>
    </xf>
    <xf numFmtId="0" fontId="5" fillId="0" borderId="1" xfId="0" applyFont="1" applyBorder="1" applyAlignment="1">
      <alignment vertical="top"/>
    </xf>
    <xf numFmtId="167" fontId="30" fillId="0" borderId="3" xfId="0" applyNumberFormat="1" applyFont="1" applyBorder="1" applyAlignment="1">
      <alignment horizontal="center" vertical="top" wrapText="1"/>
    </xf>
    <xf numFmtId="167" fontId="30" fillId="0" borderId="38" xfId="0" applyNumberFormat="1" applyFont="1" applyBorder="1" applyAlignment="1">
      <alignment horizontal="center" vertical="top" wrapText="1"/>
    </xf>
    <xf numFmtId="167" fontId="33" fillId="0" borderId="3" xfId="0" applyNumberFormat="1" applyFont="1" applyBorder="1" applyAlignment="1">
      <alignment horizontal="center" vertical="top" wrapText="1"/>
    </xf>
    <xf numFmtId="167" fontId="33" fillId="0" borderId="38" xfId="0" applyNumberFormat="1" applyFont="1" applyBorder="1" applyAlignment="1">
      <alignment horizontal="center" vertical="top" wrapText="1"/>
    </xf>
    <xf numFmtId="167" fontId="30" fillId="0" borderId="3" xfId="4" applyNumberFormat="1" applyFont="1" applyBorder="1" applyAlignment="1">
      <alignment horizontal="center" vertical="top" wrapText="1"/>
    </xf>
    <xf numFmtId="167" fontId="30" fillId="0" borderId="38" xfId="4" applyNumberFormat="1" applyFont="1" applyBorder="1" applyAlignment="1">
      <alignment horizontal="center" vertical="top" wrapText="1"/>
    </xf>
    <xf numFmtId="167" fontId="30" fillId="0" borderId="1" xfId="4" applyNumberFormat="1" applyFont="1" applyBorder="1" applyAlignment="1">
      <alignment horizontal="center" vertical="top" wrapText="1"/>
    </xf>
    <xf numFmtId="166" fontId="30" fillId="18" borderId="1" xfId="0" applyNumberFormat="1" applyFont="1" applyFill="1" applyBorder="1" applyAlignment="1">
      <alignment vertical="top" wrapText="1"/>
    </xf>
    <xf numFmtId="166" fontId="30" fillId="17" borderId="1" xfId="0" applyNumberFormat="1" applyFont="1" applyFill="1" applyBorder="1" applyAlignment="1">
      <alignment vertical="top" wrapText="1"/>
    </xf>
    <xf numFmtId="0" fontId="5" fillId="0" borderId="3" xfId="0" quotePrefix="1" applyFont="1" applyBorder="1" applyAlignment="1">
      <alignment vertical="top"/>
    </xf>
    <xf numFmtId="6" fontId="5" fillId="0" borderId="3" xfId="0" applyNumberFormat="1" applyFont="1" applyBorder="1" applyAlignment="1">
      <alignment horizontal="left" vertical="top" wrapText="1"/>
    </xf>
    <xf numFmtId="0" fontId="5" fillId="0" borderId="3" xfId="0" quotePrefix="1" applyFont="1" applyBorder="1" applyAlignment="1">
      <alignment vertical="top" wrapText="1"/>
    </xf>
    <xf numFmtId="6" fontId="5" fillId="0" borderId="1" xfId="0" applyNumberFormat="1" applyFont="1" applyBorder="1" applyAlignment="1">
      <alignment horizontal="left" vertical="top" wrapText="1"/>
    </xf>
    <xf numFmtId="14" fontId="0" fillId="0" borderId="1" xfId="0" applyNumberFormat="1" applyBorder="1" applyAlignment="1">
      <alignment horizontal="left" vertical="top"/>
    </xf>
    <xf numFmtId="6" fontId="2" fillId="0" borderId="1" xfId="0" applyNumberFormat="1" applyFont="1" applyBorder="1" applyAlignment="1">
      <alignment horizontal="center" vertical="top" wrapText="1"/>
    </xf>
    <xf numFmtId="168" fontId="0" fillId="0" borderId="1" xfId="0" applyNumberFormat="1" applyBorder="1" applyAlignment="1">
      <alignment vertical="top"/>
    </xf>
    <xf numFmtId="2" fontId="35" fillId="9" borderId="22" xfId="0" applyNumberFormat="1" applyFont="1" applyFill="1" applyBorder="1" applyAlignment="1">
      <alignment horizontal="center" vertical="top" wrapText="1"/>
    </xf>
    <xf numFmtId="0" fontId="5" fillId="0" borderId="1" xfId="0" applyFont="1" applyBorder="1" applyAlignment="1">
      <alignment horizontal="center" vertical="top" wrapText="1"/>
    </xf>
    <xf numFmtId="0" fontId="30" fillId="0" borderId="1" xfId="0" applyFont="1" applyBorder="1" applyAlignment="1" applyProtection="1">
      <alignment horizontal="left" vertical="top" wrapText="1"/>
      <protection locked="0"/>
    </xf>
    <xf numFmtId="0" fontId="30" fillId="0" borderId="3" xfId="0" applyFont="1" applyBorder="1" applyAlignment="1" applyProtection="1">
      <alignment horizontal="left" vertical="top" wrapText="1"/>
      <protection locked="0"/>
    </xf>
    <xf numFmtId="0" fontId="30" fillId="0" borderId="16" xfId="4" applyFont="1" applyBorder="1" applyAlignment="1" applyProtection="1">
      <alignment horizontal="left" vertical="top" wrapText="1"/>
      <protection locked="0"/>
    </xf>
    <xf numFmtId="0" fontId="30" fillId="0" borderId="44" xfId="4" applyFont="1" applyBorder="1" applyAlignment="1" applyProtection="1">
      <alignment horizontal="left" vertical="top" wrapText="1"/>
      <protection locked="0"/>
    </xf>
    <xf numFmtId="0" fontId="30" fillId="0" borderId="1" xfId="4" applyFont="1" applyBorder="1" applyAlignment="1" applyProtection="1">
      <alignment horizontal="left" vertical="top" wrapText="1"/>
      <protection locked="0"/>
    </xf>
    <xf numFmtId="0" fontId="30" fillId="0" borderId="1" xfId="4" applyFont="1" applyBorder="1" applyAlignment="1">
      <alignment horizontal="left" vertical="top" wrapText="1"/>
    </xf>
    <xf numFmtId="0" fontId="30" fillId="0" borderId="1" xfId="0" applyFont="1" applyBorder="1" applyAlignment="1">
      <alignment horizontal="left" vertical="top" wrapText="1"/>
    </xf>
    <xf numFmtId="0" fontId="36" fillId="0" borderId="1" xfId="0" applyFont="1" applyBorder="1" applyAlignment="1" applyProtection="1">
      <alignment horizontal="left" vertical="top" wrapText="1"/>
      <protection locked="0"/>
    </xf>
    <xf numFmtId="0" fontId="30" fillId="0" borderId="1" xfId="0" applyFont="1" applyBorder="1" applyAlignment="1" applyProtection="1">
      <alignment horizontal="left" vertical="top"/>
      <protection locked="0"/>
    </xf>
    <xf numFmtId="0" fontId="30" fillId="0" borderId="3" xfId="0" applyFont="1" applyBorder="1" applyAlignment="1">
      <alignment horizontal="left" vertical="top" wrapText="1"/>
    </xf>
    <xf numFmtId="0" fontId="30" fillId="0" borderId="0" xfId="0" applyFont="1" applyAlignment="1" applyProtection="1">
      <alignment horizontal="left" vertical="top"/>
      <protection locked="0"/>
    </xf>
    <xf numFmtId="0" fontId="5" fillId="0" borderId="1" xfId="0" applyFont="1" applyBorder="1" applyAlignment="1" applyProtection="1">
      <alignment vertical="top"/>
      <protection locked="0"/>
    </xf>
    <xf numFmtId="6" fontId="2" fillId="0" borderId="0" xfId="0" applyNumberFormat="1" applyFont="1" applyAlignment="1">
      <alignment horizontal="center" vertical="top" wrapText="1"/>
    </xf>
    <xf numFmtId="168" fontId="0" fillId="0" borderId="0" xfId="0" applyNumberFormat="1" applyAlignment="1">
      <alignment vertical="top"/>
    </xf>
    <xf numFmtId="0" fontId="30" fillId="0" borderId="45" xfId="4" applyFont="1" applyBorder="1" applyAlignment="1" applyProtection="1">
      <alignment vertical="top" wrapText="1"/>
      <protection locked="0"/>
    </xf>
    <xf numFmtId="0" fontId="30" fillId="0" borderId="21" xfId="4" applyFont="1" applyBorder="1" applyAlignment="1" applyProtection="1">
      <alignment vertical="top" wrapText="1"/>
      <protection locked="0"/>
    </xf>
    <xf numFmtId="0" fontId="30" fillId="0" borderId="69" xfId="4" applyFont="1" applyBorder="1" applyAlignment="1" applyProtection="1">
      <alignment vertical="top" wrapText="1"/>
      <protection locked="0"/>
    </xf>
    <xf numFmtId="0" fontId="30" fillId="0" borderId="38" xfId="4" applyFont="1" applyBorder="1" applyAlignment="1" applyProtection="1">
      <alignment horizontal="center" vertical="top" wrapText="1"/>
      <protection locked="0"/>
    </xf>
    <xf numFmtId="0" fontId="30" fillId="0" borderId="57" xfId="4" applyFont="1" applyBorder="1" applyAlignment="1" applyProtection="1">
      <alignment vertical="top" wrapText="1"/>
      <protection locked="0"/>
    </xf>
    <xf numFmtId="0" fontId="30" fillId="0" borderId="26" xfId="4" applyFont="1" applyBorder="1" applyAlignment="1" applyProtection="1">
      <alignment vertical="top" wrapText="1"/>
      <protection locked="0"/>
    </xf>
    <xf numFmtId="0" fontId="30" fillId="0" borderId="59" xfId="4" applyFont="1" applyBorder="1" applyAlignment="1" applyProtection="1">
      <alignment vertical="top" wrapText="1"/>
      <protection locked="0"/>
    </xf>
    <xf numFmtId="0" fontId="30" fillId="0" borderId="1" xfId="4" applyFont="1" applyBorder="1" applyAlignment="1" applyProtection="1">
      <alignment horizontal="center" vertical="top" wrapText="1"/>
      <protection locked="0"/>
    </xf>
    <xf numFmtId="0" fontId="5" fillId="0" borderId="1" xfId="0" applyFont="1" applyBorder="1" applyAlignment="1">
      <alignment horizontal="left" vertical="top" wrapText="1"/>
    </xf>
    <xf numFmtId="14" fontId="0" fillId="16" borderId="1" xfId="0" applyNumberFormat="1" applyFill="1" applyBorder="1" applyAlignment="1">
      <alignment horizontal="left" vertical="top"/>
    </xf>
    <xf numFmtId="168" fontId="0" fillId="16" borderId="1" xfId="0" applyNumberFormat="1" applyFill="1" applyBorder="1" applyAlignment="1">
      <alignment vertical="top"/>
    </xf>
    <xf numFmtId="0" fontId="55" fillId="4" borderId="30" xfId="0" applyFont="1" applyFill="1" applyBorder="1" applyAlignment="1" applyProtection="1">
      <alignment vertical="top"/>
      <protection locked="0"/>
    </xf>
    <xf numFmtId="0" fontId="36" fillId="10" borderId="30" xfId="0" applyFont="1" applyFill="1" applyBorder="1" applyAlignment="1" applyProtection="1">
      <alignment vertical="top" wrapText="1"/>
      <protection locked="0"/>
    </xf>
    <xf numFmtId="0" fontId="35" fillId="4" borderId="30" xfId="0" applyFont="1" applyFill="1" applyBorder="1" applyAlignment="1" applyProtection="1">
      <alignment vertical="top"/>
      <protection locked="0"/>
    </xf>
    <xf numFmtId="0" fontId="35" fillId="10" borderId="30" xfId="0" applyFont="1" applyFill="1" applyBorder="1" applyAlignment="1" applyProtection="1">
      <alignment vertical="top"/>
      <protection locked="0"/>
    </xf>
    <xf numFmtId="0" fontId="35" fillId="10" borderId="30" xfId="4" applyFont="1" applyFill="1" applyBorder="1" applyAlignment="1" applyProtection="1">
      <alignment vertical="top"/>
      <protection locked="0"/>
    </xf>
    <xf numFmtId="6" fontId="5" fillId="16" borderId="16" xfId="0" applyNumberFormat="1" applyFont="1" applyFill="1" applyBorder="1" applyAlignment="1">
      <alignment horizontal="center" vertical="top" wrapText="1"/>
    </xf>
    <xf numFmtId="0" fontId="5" fillId="16" borderId="3" xfId="0" quotePrefix="1" applyFont="1" applyFill="1" applyBorder="1" applyAlignment="1">
      <alignment vertical="top" wrapText="1"/>
    </xf>
    <xf numFmtId="14" fontId="5" fillId="16" borderId="1" xfId="0" applyNumberFormat="1" applyFont="1" applyFill="1" applyBorder="1" applyAlignment="1">
      <alignment vertical="top" wrapText="1"/>
    </xf>
    <xf numFmtId="0" fontId="30" fillId="0" borderId="0" xfId="7" applyFont="1" applyAlignment="1">
      <alignment vertical="top"/>
    </xf>
    <xf numFmtId="0" fontId="1" fillId="0" borderId="0" xfId="7" applyAlignment="1">
      <alignment vertical="top"/>
    </xf>
    <xf numFmtId="0" fontId="1" fillId="10" borderId="0" xfId="7" applyFill="1" applyAlignment="1">
      <alignment vertical="top"/>
    </xf>
    <xf numFmtId="0" fontId="31" fillId="10" borderId="0" xfId="0" applyFont="1" applyFill="1" applyAlignment="1" applyProtection="1">
      <alignment vertical="center" wrapText="1"/>
      <protection locked="0"/>
    </xf>
    <xf numFmtId="0" fontId="31" fillId="10" borderId="0" xfId="0" applyFont="1" applyFill="1" applyAlignment="1" applyProtection="1">
      <alignment vertical="center"/>
      <protection locked="0"/>
    </xf>
    <xf numFmtId="0" fontId="31" fillId="0" borderId="0" xfId="0" applyFont="1" applyAlignment="1" applyProtection="1">
      <alignment vertical="center"/>
      <protection locked="0"/>
    </xf>
    <xf numFmtId="0" fontId="6" fillId="0" borderId="1" xfId="3" applyBorder="1" applyAlignment="1" applyProtection="1">
      <alignment vertical="center"/>
      <protection locked="0"/>
    </xf>
    <xf numFmtId="0" fontId="33" fillId="0" borderId="1" xfId="0" applyFont="1" applyBorder="1" applyAlignment="1">
      <alignment horizontal="left" vertical="center" wrapText="1"/>
    </xf>
    <xf numFmtId="0" fontId="49" fillId="0" borderId="1" xfId="3" applyFont="1" applyBorder="1" applyAlignment="1" applyProtection="1">
      <alignment vertical="center"/>
      <protection locked="0"/>
    </xf>
    <xf numFmtId="1" fontId="33" fillId="0" borderId="1" xfId="0" applyNumberFormat="1" applyFont="1" applyBorder="1" applyAlignment="1">
      <alignment horizontal="left" vertical="center" wrapText="1"/>
    </xf>
    <xf numFmtId="0" fontId="31" fillId="0" borderId="0" xfId="0" applyFont="1" applyAlignment="1" applyProtection="1">
      <alignment vertical="center" wrapText="1"/>
      <protection locked="0"/>
    </xf>
    <xf numFmtId="0" fontId="33" fillId="0" borderId="0" xfId="0" applyFont="1" applyAlignment="1" applyProtection="1">
      <alignment horizontal="center" vertical="center"/>
      <protection locked="0"/>
    </xf>
    <xf numFmtId="0" fontId="33" fillId="0" borderId="0" xfId="0" applyFont="1" applyAlignment="1" applyProtection="1">
      <alignment vertical="center"/>
      <protection locked="0"/>
    </xf>
    <xf numFmtId="17" fontId="55" fillId="10" borderId="64" xfId="0" applyNumberFormat="1" applyFont="1" applyFill="1" applyBorder="1" applyAlignment="1" applyProtection="1">
      <alignment horizontal="left" vertical="top" wrapText="1"/>
      <protection locked="0"/>
    </xf>
    <xf numFmtId="0" fontId="56" fillId="7" borderId="1" xfId="0" applyFont="1" applyFill="1" applyBorder="1" applyAlignment="1" applyProtection="1">
      <alignment horizontal="center" vertical="center" wrapText="1"/>
      <protection locked="0"/>
    </xf>
    <xf numFmtId="0" fontId="6" fillId="0" borderId="1" xfId="3" applyBorder="1" applyAlignment="1" applyProtection="1">
      <alignment horizontal="center" vertical="center"/>
      <protection locked="0"/>
    </xf>
    <xf numFmtId="0" fontId="49" fillId="0" borderId="1" xfId="3" applyFont="1" applyBorder="1" applyAlignment="1" applyProtection="1">
      <alignment horizontal="center" vertical="center"/>
      <protection locked="0"/>
    </xf>
    <xf numFmtId="0" fontId="1" fillId="0" borderId="0" xfId="7" applyAlignment="1">
      <alignment vertical="center"/>
    </xf>
    <xf numFmtId="0" fontId="1" fillId="10" borderId="0" xfId="7" applyFill="1" applyAlignment="1">
      <alignment vertical="top" wrapText="1"/>
    </xf>
    <xf numFmtId="0" fontId="0" fillId="0" borderId="1" xfId="0" applyBorder="1" applyAlignment="1">
      <alignment vertical="top" wrapText="1"/>
    </xf>
    <xf numFmtId="6" fontId="5" fillId="16" borderId="3" xfId="0" applyNumberFormat="1" applyFont="1" applyFill="1" applyBorder="1" applyAlignment="1">
      <alignment vertical="top" wrapText="1"/>
    </xf>
    <xf numFmtId="167" fontId="33" fillId="0" borderId="1" xfId="0" applyNumberFormat="1" applyFont="1" applyBorder="1" applyAlignment="1">
      <alignment horizontal="center" vertical="top" wrapText="1"/>
    </xf>
    <xf numFmtId="1" fontId="41" fillId="0" borderId="1" xfId="0" applyNumberFormat="1" applyFont="1" applyBorder="1" applyAlignment="1" applyProtection="1">
      <alignment vertical="top" wrapText="1"/>
      <protection locked="0"/>
    </xf>
    <xf numFmtId="167" fontId="30" fillId="0" borderId="1" xfId="0" applyNumberFormat="1" applyFont="1" applyBorder="1" applyAlignment="1">
      <alignment horizontal="center" vertical="top" wrapText="1"/>
    </xf>
    <xf numFmtId="1" fontId="30" fillId="0" borderId="0" xfId="0" applyNumberFormat="1" applyFont="1" applyAlignment="1" applyProtection="1">
      <alignment horizontal="center" vertical="top" wrapText="1"/>
      <protection locked="0"/>
    </xf>
    <xf numFmtId="0" fontId="71" fillId="19" borderId="1" xfId="0" applyFont="1" applyFill="1" applyBorder="1" applyAlignment="1" applyProtection="1">
      <alignment horizontal="center" vertical="top"/>
      <protection locked="0"/>
    </xf>
    <xf numFmtId="0" fontId="41" fillId="0" borderId="24" xfId="0" applyFont="1" applyBorder="1" applyAlignment="1" applyProtection="1">
      <alignment vertical="top" wrapText="1"/>
      <protection locked="0"/>
    </xf>
    <xf numFmtId="0" fontId="2" fillId="0" borderId="27" xfId="0" applyFont="1" applyBorder="1" applyAlignment="1">
      <alignment vertical="top" wrapText="1"/>
    </xf>
    <xf numFmtId="0" fontId="5" fillId="0" borderId="27" xfId="0" applyFont="1" applyBorder="1" applyAlignment="1">
      <alignment vertical="top" wrapText="1"/>
    </xf>
    <xf numFmtId="0" fontId="0" fillId="0" borderId="27" xfId="0" applyBorder="1" applyAlignment="1">
      <alignment vertical="top" wrapText="1"/>
    </xf>
    <xf numFmtId="166" fontId="30" fillId="0" borderId="39" xfId="0" applyNumberFormat="1" applyFont="1" applyBorder="1" applyAlignment="1">
      <alignment vertical="top" wrapText="1"/>
    </xf>
    <xf numFmtId="0" fontId="32" fillId="9" borderId="34" xfId="0" applyFont="1" applyFill="1" applyBorder="1" applyAlignment="1" applyProtection="1">
      <alignment vertical="top"/>
      <protection locked="0"/>
    </xf>
    <xf numFmtId="0" fontId="32" fillId="9" borderId="30" xfId="0" applyFont="1" applyFill="1" applyBorder="1" applyAlignment="1" applyProtection="1">
      <alignment vertical="top"/>
      <protection locked="0"/>
    </xf>
    <xf numFmtId="0" fontId="30" fillId="13" borderId="64" xfId="0" applyFont="1" applyFill="1" applyBorder="1" applyAlignment="1">
      <alignment vertical="top"/>
    </xf>
    <xf numFmtId="0" fontId="30" fillId="0" borderId="0" xfId="0" applyFont="1" applyAlignment="1">
      <alignment vertical="top"/>
    </xf>
    <xf numFmtId="2" fontId="30" fillId="13" borderId="1" xfId="0" applyNumberFormat="1" applyFont="1" applyFill="1" applyBorder="1" applyAlignment="1">
      <alignment horizontal="center" vertical="top" wrapText="1"/>
    </xf>
    <xf numFmtId="0" fontId="74" fillId="0" borderId="0" xfId="0" applyFont="1"/>
    <xf numFmtId="0" fontId="75" fillId="0" borderId="0" xfId="0" applyFont="1"/>
    <xf numFmtId="0" fontId="39" fillId="0" borderId="64" xfId="0" applyFont="1" applyBorder="1" applyAlignment="1" applyProtection="1">
      <alignment vertical="top"/>
      <protection locked="0"/>
    </xf>
    <xf numFmtId="0" fontId="39" fillId="0" borderId="64" xfId="0" applyFont="1" applyBorder="1" applyAlignment="1">
      <alignment vertical="top"/>
    </xf>
    <xf numFmtId="0" fontId="30" fillId="13" borderId="32" xfId="0" applyFont="1" applyFill="1" applyBorder="1" applyAlignment="1">
      <alignment vertical="top"/>
    </xf>
    <xf numFmtId="0" fontId="33" fillId="10" borderId="6" xfId="0" applyFont="1" applyFill="1" applyBorder="1" applyAlignment="1">
      <alignment horizontal="center" vertical="top"/>
    </xf>
    <xf numFmtId="0" fontId="39" fillId="10" borderId="35" xfId="0" applyFont="1" applyFill="1" applyBorder="1" applyAlignment="1" applyProtection="1">
      <alignment vertical="top"/>
      <protection locked="0"/>
    </xf>
    <xf numFmtId="0" fontId="39" fillId="10" borderId="1" xfId="0" applyFont="1" applyFill="1" applyBorder="1" applyAlignment="1" applyProtection="1">
      <alignment vertical="top"/>
      <protection locked="0"/>
    </xf>
    <xf numFmtId="0" fontId="39" fillId="10" borderId="2" xfId="0" applyFont="1" applyFill="1" applyBorder="1" applyAlignment="1" applyProtection="1">
      <alignment vertical="top"/>
      <protection locked="0"/>
    </xf>
    <xf numFmtId="0" fontId="39" fillId="10" borderId="53" xfId="0" applyFont="1" applyFill="1" applyBorder="1" applyAlignment="1" applyProtection="1">
      <alignment vertical="top"/>
      <protection locked="0"/>
    </xf>
    <xf numFmtId="0" fontId="30" fillId="13" borderId="54" xfId="0" applyFont="1" applyFill="1" applyBorder="1" applyAlignment="1">
      <alignment vertical="top"/>
    </xf>
    <xf numFmtId="0" fontId="75" fillId="0" borderId="97" xfId="0" applyFont="1" applyBorder="1"/>
    <xf numFmtId="0" fontId="74" fillId="0" borderId="71" xfId="0" applyFont="1" applyBorder="1" applyAlignment="1">
      <alignment wrapText="1"/>
    </xf>
    <xf numFmtId="0" fontId="74" fillId="0" borderId="51" xfId="0" applyFont="1" applyBorder="1" applyAlignment="1">
      <alignment wrapText="1"/>
    </xf>
    <xf numFmtId="0" fontId="7" fillId="0" borderId="97" xfId="0" applyFont="1" applyBorder="1" applyAlignment="1">
      <alignment wrapText="1"/>
    </xf>
    <xf numFmtId="0" fontId="75" fillId="13" borderId="64" xfId="0" applyFont="1" applyFill="1" applyBorder="1"/>
    <xf numFmtId="0" fontId="74" fillId="13" borderId="5" xfId="0" applyFont="1" applyFill="1" applyBorder="1"/>
    <xf numFmtId="0" fontId="74" fillId="13" borderId="54" xfId="0" applyFont="1" applyFill="1" applyBorder="1"/>
    <xf numFmtId="44" fontId="7" fillId="22" borderId="64" xfId="1" applyFont="1" applyFill="1" applyBorder="1"/>
    <xf numFmtId="0" fontId="77" fillId="0" borderId="0" xfId="0" applyFont="1"/>
    <xf numFmtId="0" fontId="5" fillId="0" borderId="62" xfId="0" applyFont="1" applyBorder="1"/>
    <xf numFmtId="0" fontId="72" fillId="21" borderId="47" xfId="0" applyFont="1" applyFill="1" applyBorder="1" applyAlignment="1">
      <alignment horizontal="left" wrapText="1"/>
    </xf>
    <xf numFmtId="0" fontId="72" fillId="21" borderId="51" xfId="0" applyFont="1" applyFill="1" applyBorder="1" applyAlignment="1">
      <alignment horizontal="left" wrapText="1"/>
    </xf>
    <xf numFmtId="0" fontId="5" fillId="0" borderId="71" xfId="0" applyFont="1" applyBorder="1"/>
    <xf numFmtId="8" fontId="72" fillId="0" borderId="6" xfId="0" applyNumberFormat="1" applyFont="1" applyBorder="1" applyAlignment="1">
      <alignment horizontal="left" wrapText="1"/>
    </xf>
    <xf numFmtId="8" fontId="73" fillId="0" borderId="6" xfId="0" applyNumberFormat="1" applyFont="1" applyBorder="1" applyAlignment="1">
      <alignment horizontal="left" wrapText="1"/>
    </xf>
    <xf numFmtId="8" fontId="72" fillId="0" borderId="54" xfId="0" applyNumberFormat="1" applyFont="1" applyBorder="1" applyAlignment="1">
      <alignment horizontal="left" wrapText="1"/>
    </xf>
    <xf numFmtId="0" fontId="7" fillId="0" borderId="0" xfId="0" applyFont="1" applyAlignment="1">
      <alignment wrapText="1"/>
    </xf>
    <xf numFmtId="44" fontId="7" fillId="0" borderId="0" xfId="1" applyFont="1" applyFill="1" applyBorder="1"/>
    <xf numFmtId="0" fontId="32" fillId="10" borderId="7" xfId="0" applyFont="1" applyFill="1" applyBorder="1" applyAlignment="1" applyProtection="1">
      <alignment horizontal="right" vertical="top"/>
      <protection locked="0"/>
    </xf>
    <xf numFmtId="0" fontId="32" fillId="10" borderId="13" xfId="0" applyFont="1" applyFill="1" applyBorder="1" applyAlignment="1" applyProtection="1">
      <alignment horizontal="left" vertical="top"/>
      <protection locked="0"/>
    </xf>
    <xf numFmtId="0" fontId="44" fillId="10" borderId="31" xfId="0" applyFont="1" applyFill="1" applyBorder="1" applyAlignment="1">
      <alignment vertical="center" wrapText="1"/>
    </xf>
    <xf numFmtId="0" fontId="30" fillId="0" borderId="48" xfId="0" applyFont="1" applyBorder="1" applyAlignment="1" applyProtection="1">
      <alignment horizontal="center" vertical="top" wrapText="1"/>
      <protection locked="0"/>
    </xf>
    <xf numFmtId="0" fontId="30" fillId="10" borderId="49" xfId="0" applyFont="1" applyFill="1" applyBorder="1" applyAlignment="1" applyProtection="1">
      <alignment horizontal="center" vertical="top" wrapText="1"/>
      <protection locked="0"/>
    </xf>
    <xf numFmtId="0" fontId="39" fillId="10" borderId="23" xfId="0" applyFont="1" applyFill="1" applyBorder="1" applyAlignment="1" applyProtection="1">
      <alignment horizontal="center" vertical="top"/>
      <protection locked="0"/>
    </xf>
    <xf numFmtId="0" fontId="39" fillId="10" borderId="23" xfId="0" applyFont="1" applyFill="1" applyBorder="1" applyAlignment="1" applyProtection="1">
      <alignment horizontal="left" vertical="top"/>
      <protection locked="0"/>
    </xf>
    <xf numFmtId="0" fontId="33" fillId="10" borderId="13" xfId="0" applyFont="1" applyFill="1" applyBorder="1" applyAlignment="1" applyProtection="1">
      <alignment vertical="top"/>
      <protection locked="0"/>
    </xf>
    <xf numFmtId="0" fontId="35" fillId="10" borderId="7" xfId="0" applyFont="1" applyFill="1" applyBorder="1" applyAlignment="1">
      <alignment vertical="center" wrapText="1"/>
    </xf>
    <xf numFmtId="0" fontId="30" fillId="0" borderId="47" xfId="0" applyFont="1" applyBorder="1" applyAlignment="1" applyProtection="1">
      <alignment horizontal="center" vertical="top"/>
      <protection locked="0"/>
    </xf>
    <xf numFmtId="0" fontId="30" fillId="10" borderId="7" xfId="0" applyFont="1" applyFill="1" applyBorder="1" applyAlignment="1" applyProtection="1">
      <alignment horizontal="center" vertical="top"/>
      <protection locked="0"/>
    </xf>
    <xf numFmtId="0" fontId="39" fillId="10" borderId="31" xfId="0" applyFont="1" applyFill="1" applyBorder="1" applyAlignment="1" applyProtection="1">
      <alignment horizontal="center" vertical="top"/>
      <protection locked="0"/>
    </xf>
    <xf numFmtId="2" fontId="39" fillId="16" borderId="53" xfId="0" applyNumberFormat="1" applyFont="1" applyFill="1" applyBorder="1" applyAlignment="1" applyProtection="1">
      <alignment vertical="top"/>
      <protection locked="0"/>
    </xf>
    <xf numFmtId="166" fontId="30" fillId="0" borderId="6" xfId="0" applyNumberFormat="1" applyFont="1" applyBorder="1" applyAlignment="1">
      <alignment vertical="top" wrapText="1"/>
    </xf>
    <xf numFmtId="166" fontId="36" fillId="0" borderId="6" xfId="0" applyNumberFormat="1" applyFont="1" applyBorder="1" applyAlignment="1">
      <alignment vertical="top" wrapText="1"/>
    </xf>
    <xf numFmtId="0" fontId="30" fillId="0" borderId="0" xfId="0" applyFont="1" applyAlignment="1" applyProtection="1">
      <alignment horizontal="center" vertical="top"/>
      <protection locked="0"/>
    </xf>
    <xf numFmtId="9" fontId="35" fillId="9" borderId="10" xfId="0" applyNumberFormat="1" applyFont="1" applyFill="1" applyBorder="1" applyAlignment="1">
      <alignment horizontal="center" vertical="center" wrapText="1"/>
    </xf>
    <xf numFmtId="166" fontId="30" fillId="0" borderId="16" xfId="0" applyNumberFormat="1" applyFont="1" applyBorder="1" applyAlignment="1">
      <alignment vertical="top" wrapText="1"/>
    </xf>
    <xf numFmtId="0" fontId="30" fillId="0" borderId="98" xfId="0" applyFont="1" applyBorder="1" applyAlignment="1" applyProtection="1">
      <alignment horizontal="center" vertical="top" wrapText="1"/>
      <protection locked="0"/>
    </xf>
    <xf numFmtId="0" fontId="30" fillId="0" borderId="47" xfId="0" applyFont="1" applyBorder="1" applyAlignment="1" applyProtection="1">
      <alignment horizontal="center" vertical="top" wrapText="1"/>
      <protection locked="0"/>
    </xf>
    <xf numFmtId="0" fontId="39" fillId="10" borderId="23" xfId="0" applyFont="1" applyFill="1" applyBorder="1" applyAlignment="1" applyProtection="1">
      <alignment horizontal="right" vertical="top"/>
      <protection locked="0"/>
    </xf>
    <xf numFmtId="166" fontId="30" fillId="0" borderId="58" xfId="0" applyNumberFormat="1" applyFont="1" applyBorder="1" applyAlignment="1">
      <alignment vertical="top" wrapText="1"/>
    </xf>
    <xf numFmtId="166" fontId="36" fillId="0" borderId="58" xfId="0" applyNumberFormat="1" applyFont="1" applyBorder="1" applyAlignment="1">
      <alignment vertical="top" wrapText="1"/>
    </xf>
    <xf numFmtId="2" fontId="30" fillId="0" borderId="58" xfId="0" applyNumberFormat="1" applyFont="1" applyBorder="1" applyAlignment="1">
      <alignment vertical="top" wrapText="1"/>
    </xf>
    <xf numFmtId="9" fontId="35" fillId="9" borderId="22" xfId="0" applyNumberFormat="1" applyFont="1" applyFill="1" applyBorder="1" applyAlignment="1">
      <alignment horizontal="center" vertical="center" wrapText="1"/>
    </xf>
    <xf numFmtId="0" fontId="39" fillId="0" borderId="27" xfId="0" applyFont="1" applyBorder="1" applyAlignment="1" applyProtection="1">
      <alignment vertical="top"/>
      <protection locked="0"/>
    </xf>
    <xf numFmtId="0" fontId="33" fillId="0" borderId="28" xfId="0" applyFont="1" applyBorder="1" applyAlignment="1" applyProtection="1">
      <alignment horizontal="center" vertical="top"/>
      <protection locked="0"/>
    </xf>
    <xf numFmtId="0" fontId="39" fillId="0" borderId="19" xfId="0" applyFont="1" applyBorder="1" applyAlignment="1" applyProtection="1">
      <alignment vertical="top"/>
      <protection locked="0"/>
    </xf>
    <xf numFmtId="0" fontId="33" fillId="0" borderId="6" xfId="0" applyFont="1" applyBorder="1" applyAlignment="1" applyProtection="1">
      <alignment horizontal="center" vertical="top"/>
      <protection locked="0"/>
    </xf>
    <xf numFmtId="0" fontId="33" fillId="0" borderId="29" xfId="0" applyFont="1" applyBorder="1" applyAlignment="1">
      <alignment horizontal="center" vertical="top"/>
    </xf>
    <xf numFmtId="0" fontId="44" fillId="10" borderId="7" xfId="0" applyFont="1" applyFill="1" applyBorder="1" applyAlignment="1">
      <alignment vertical="center" wrapText="1"/>
    </xf>
    <xf numFmtId="0" fontId="35" fillId="9" borderId="10" xfId="0" applyFont="1" applyFill="1" applyBorder="1" applyAlignment="1">
      <alignment horizontal="center" wrapText="1"/>
    </xf>
    <xf numFmtId="0" fontId="35" fillId="9" borderId="22" xfId="0" applyFont="1" applyFill="1" applyBorder="1" applyAlignment="1">
      <alignment horizontal="center" wrapText="1"/>
    </xf>
    <xf numFmtId="166" fontId="36" fillId="0" borderId="16" xfId="0" applyNumberFormat="1" applyFont="1" applyBorder="1" applyAlignment="1">
      <alignment vertical="top" wrapText="1"/>
    </xf>
    <xf numFmtId="0" fontId="30" fillId="0" borderId="40" xfId="0" applyFont="1" applyBorder="1" applyAlignment="1" applyProtection="1">
      <alignment horizontal="left" vertical="top"/>
      <protection locked="0"/>
    </xf>
    <xf numFmtId="0" fontId="30" fillId="0" borderId="40" xfId="0" applyFont="1" applyBorder="1" applyAlignment="1" applyProtection="1">
      <alignment vertical="top"/>
      <protection locked="0"/>
    </xf>
    <xf numFmtId="0" fontId="30" fillId="0" borderId="3" xfId="0" applyFont="1" applyBorder="1" applyAlignment="1" applyProtection="1">
      <alignment horizontal="left" vertical="top"/>
      <protection locked="0"/>
    </xf>
    <xf numFmtId="0" fontId="30" fillId="0" borderId="3" xfId="0" applyFont="1" applyBorder="1" applyAlignment="1" applyProtection="1">
      <alignment vertical="top"/>
      <protection locked="0"/>
    </xf>
    <xf numFmtId="0" fontId="30" fillId="10" borderId="31" xfId="0" applyFont="1" applyFill="1" applyBorder="1" applyAlignment="1" applyProtection="1">
      <alignment horizontal="center" vertical="top" wrapText="1"/>
      <protection locked="0"/>
    </xf>
    <xf numFmtId="0" fontId="39" fillId="0" borderId="23" xfId="0" applyFont="1" applyBorder="1" applyAlignment="1" applyProtection="1">
      <alignment horizontal="center" vertical="top"/>
      <protection locked="0"/>
    </xf>
    <xf numFmtId="0" fontId="39" fillId="0" borderId="23" xfId="0" applyFont="1" applyBorder="1" applyAlignment="1" applyProtection="1">
      <alignment horizontal="left" vertical="top"/>
      <protection locked="0"/>
    </xf>
    <xf numFmtId="0" fontId="39" fillId="0" borderId="23" xfId="0" applyFont="1" applyBorder="1" applyAlignment="1" applyProtection="1">
      <alignment horizontal="right" vertical="top"/>
      <protection locked="0"/>
    </xf>
    <xf numFmtId="164" fontId="39" fillId="0" borderId="23" xfId="0" applyNumberFormat="1" applyFont="1" applyBorder="1" applyAlignment="1" applyProtection="1">
      <alignment vertical="top"/>
      <protection locked="0"/>
    </xf>
    <xf numFmtId="164" fontId="39" fillId="0" borderId="23" xfId="0" applyNumberFormat="1" applyFont="1" applyBorder="1" applyAlignment="1" applyProtection="1">
      <alignment horizontal="center" vertical="top"/>
      <protection locked="0"/>
    </xf>
    <xf numFmtId="2" fontId="39" fillId="0" borderId="53" xfId="0" applyNumberFormat="1" applyFont="1" applyBorder="1" applyAlignment="1">
      <alignment vertical="top"/>
    </xf>
    <xf numFmtId="2" fontId="39" fillId="0" borderId="52" xfId="0" applyNumberFormat="1" applyFont="1" applyBorder="1" applyAlignment="1">
      <alignment vertical="top"/>
    </xf>
    <xf numFmtId="2" fontId="31" fillId="0" borderId="0" xfId="0" applyNumberFormat="1" applyFont="1" applyAlignment="1" applyProtection="1">
      <alignment vertical="top"/>
      <protection locked="0"/>
    </xf>
    <xf numFmtId="166" fontId="30" fillId="23" borderId="16" xfId="0" applyNumberFormat="1" applyFont="1" applyFill="1" applyBorder="1" applyAlignment="1" applyProtection="1">
      <alignment horizontal="right" vertical="top" wrapText="1"/>
      <protection locked="0"/>
    </xf>
    <xf numFmtId="166" fontId="30" fillId="23" borderId="57" xfId="0" applyNumberFormat="1" applyFont="1" applyFill="1" applyBorder="1" applyAlignment="1" applyProtection="1">
      <alignment horizontal="right" vertical="top" wrapText="1"/>
      <protection locked="0"/>
    </xf>
    <xf numFmtId="166" fontId="30" fillId="23" borderId="15" xfId="0" applyNumberFormat="1" applyFont="1" applyFill="1" applyBorder="1" applyAlignment="1" applyProtection="1">
      <alignment horizontal="right" vertical="top" wrapText="1"/>
      <protection locked="0"/>
    </xf>
    <xf numFmtId="2" fontId="30" fillId="0" borderId="16" xfId="0" applyNumberFormat="1" applyFont="1" applyBorder="1" applyAlignment="1" applyProtection="1">
      <alignment vertical="top"/>
      <protection locked="0"/>
    </xf>
    <xf numFmtId="166" fontId="30" fillId="0" borderId="40" xfId="0" applyNumberFormat="1" applyFont="1" applyBorder="1" applyAlignment="1">
      <alignment vertical="top" wrapText="1"/>
    </xf>
    <xf numFmtId="2" fontId="30" fillId="0" borderId="38" xfId="0" applyNumberFormat="1" applyFont="1" applyBorder="1" applyAlignment="1">
      <alignment vertical="top"/>
    </xf>
    <xf numFmtId="0" fontId="39" fillId="0" borderId="23" xfId="0" applyFont="1" applyBorder="1" applyAlignment="1" applyProtection="1">
      <alignment vertical="top"/>
      <protection locked="0"/>
    </xf>
    <xf numFmtId="0" fontId="33" fillId="0" borderId="6" xfId="0" applyFont="1" applyBorder="1" applyAlignment="1">
      <alignment horizontal="center" vertical="top"/>
    </xf>
    <xf numFmtId="0" fontId="39" fillId="0" borderId="26" xfId="0" applyFont="1" applyBorder="1" applyAlignment="1" applyProtection="1">
      <alignment vertical="top"/>
      <protection locked="0"/>
    </xf>
    <xf numFmtId="0" fontId="33" fillId="0" borderId="50" xfId="0" applyFont="1" applyBorder="1" applyAlignment="1">
      <alignment horizontal="center" vertical="top"/>
    </xf>
    <xf numFmtId="0" fontId="30" fillId="0" borderId="40" xfId="0" applyFont="1" applyBorder="1" applyAlignment="1" applyProtection="1">
      <alignment horizontal="center" vertical="top" wrapText="1"/>
      <protection locked="0"/>
    </xf>
    <xf numFmtId="2" fontId="30" fillId="0" borderId="1" xfId="0" applyNumberFormat="1" applyFont="1" applyBorder="1" applyAlignment="1" applyProtection="1">
      <alignment horizontal="center" vertical="top" wrapText="1"/>
      <protection locked="0"/>
    </xf>
    <xf numFmtId="166" fontId="30" fillId="10" borderId="0" xfId="0" applyNumberFormat="1" applyFont="1" applyFill="1" applyAlignment="1">
      <alignment vertical="top" wrapText="1"/>
    </xf>
    <xf numFmtId="166" fontId="36" fillId="10" borderId="0" xfId="0" applyNumberFormat="1" applyFont="1" applyFill="1" applyAlignment="1">
      <alignment vertical="top" wrapText="1"/>
    </xf>
    <xf numFmtId="2" fontId="30" fillId="10" borderId="0" xfId="0" applyNumberFormat="1" applyFont="1" applyFill="1" applyAlignment="1">
      <alignment vertical="top" wrapText="1"/>
    </xf>
    <xf numFmtId="2" fontId="39" fillId="10" borderId="53" xfId="0" applyNumberFormat="1" applyFont="1" applyFill="1" applyBorder="1" applyAlignment="1">
      <alignment vertical="top"/>
    </xf>
    <xf numFmtId="2" fontId="39" fillId="10" borderId="23" xfId="0" applyNumberFormat="1" applyFont="1" applyFill="1" applyBorder="1" applyAlignment="1">
      <alignment vertical="top"/>
    </xf>
    <xf numFmtId="44" fontId="30" fillId="13" borderId="103" xfId="0" applyNumberFormat="1" applyFont="1" applyFill="1" applyBorder="1" applyAlignment="1">
      <alignment vertical="top"/>
    </xf>
    <xf numFmtId="9" fontId="30" fillId="9" borderId="12" xfId="0" applyNumberFormat="1" applyFont="1" applyFill="1" applyBorder="1" applyAlignment="1">
      <alignment horizontal="center" vertical="center" wrapText="1"/>
    </xf>
    <xf numFmtId="166" fontId="30" fillId="23" borderId="16" xfId="0" applyNumberFormat="1" applyFont="1" applyFill="1" applyBorder="1" applyAlignment="1">
      <alignment vertical="top" wrapText="1"/>
    </xf>
    <xf numFmtId="0" fontId="30" fillId="0" borderId="6" xfId="0" applyFont="1" applyBorder="1" applyAlignment="1" applyProtection="1">
      <alignment vertical="top"/>
      <protection locked="0"/>
    </xf>
    <xf numFmtId="2" fontId="39" fillId="0" borderId="54" xfId="0" applyNumberFormat="1" applyFont="1" applyBorder="1" applyAlignment="1">
      <alignment vertical="top"/>
    </xf>
    <xf numFmtId="0" fontId="33" fillId="10" borderId="4" xfId="0" applyFont="1" applyFill="1" applyBorder="1" applyAlignment="1" applyProtection="1">
      <alignment horizontal="right" vertical="top" wrapText="1"/>
      <protection locked="0"/>
    </xf>
    <xf numFmtId="9" fontId="39" fillId="9" borderId="87" xfId="0" applyNumberFormat="1" applyFont="1" applyFill="1" applyBorder="1" applyAlignment="1">
      <alignment horizontal="center" vertical="top" wrapText="1"/>
    </xf>
    <xf numFmtId="2" fontId="30" fillId="0" borderId="58" xfId="0" applyNumberFormat="1" applyFont="1" applyBorder="1" applyAlignment="1">
      <alignment vertical="top"/>
    </xf>
    <xf numFmtId="2" fontId="39" fillId="0" borderId="20" xfId="0" applyNumberFormat="1" applyFont="1" applyBorder="1" applyAlignment="1">
      <alignment vertical="top"/>
    </xf>
    <xf numFmtId="0" fontId="0" fillId="0" borderId="13" xfId="0" applyBorder="1"/>
    <xf numFmtId="0" fontId="0" fillId="0" borderId="32" xfId="0" applyBorder="1"/>
    <xf numFmtId="0" fontId="31" fillId="0" borderId="58" xfId="0" applyFont="1" applyBorder="1" applyAlignment="1" applyProtection="1">
      <alignment horizontal="center" vertical="top" wrapText="1"/>
      <protection locked="0"/>
    </xf>
    <xf numFmtId="0" fontId="81" fillId="0" borderId="0" xfId="0" applyFont="1" applyAlignment="1">
      <alignment horizontal="left" vertical="center" indent="3" readingOrder="1"/>
    </xf>
    <xf numFmtId="0" fontId="32" fillId="10" borderId="62" xfId="0" applyFont="1" applyFill="1" applyBorder="1" applyAlignment="1" applyProtection="1">
      <alignment horizontal="left" vertical="top"/>
      <protection locked="0"/>
    </xf>
    <xf numFmtId="166" fontId="30" fillId="0" borderId="105" xfId="0" applyNumberFormat="1" applyFont="1" applyBorder="1" applyAlignment="1">
      <alignment vertical="top" wrapText="1"/>
    </xf>
    <xf numFmtId="166" fontId="36" fillId="0" borderId="105" xfId="0" applyNumberFormat="1" applyFont="1" applyBorder="1" applyAlignment="1">
      <alignment vertical="top" wrapText="1"/>
    </xf>
    <xf numFmtId="2" fontId="30" fillId="0" borderId="105" xfId="0" applyNumberFormat="1" applyFont="1" applyBorder="1" applyAlignment="1">
      <alignment vertical="top" wrapText="1"/>
    </xf>
    <xf numFmtId="0" fontId="30" fillId="10" borderId="104" xfId="0" applyFont="1" applyFill="1" applyBorder="1" applyAlignment="1" applyProtection="1">
      <alignment vertical="top"/>
      <protection locked="0"/>
    </xf>
    <xf numFmtId="2" fontId="39" fillId="10" borderId="106" xfId="0" applyNumberFormat="1" applyFont="1" applyFill="1" applyBorder="1" applyAlignment="1">
      <alignment vertical="top"/>
    </xf>
    <xf numFmtId="2" fontId="39" fillId="10" borderId="23" xfId="0" applyNumberFormat="1" applyFont="1" applyFill="1" applyBorder="1" applyAlignment="1" applyProtection="1">
      <alignment vertical="top"/>
      <protection locked="0"/>
    </xf>
    <xf numFmtId="2" fontId="39" fillId="10" borderId="107" xfId="0" applyNumberFormat="1" applyFont="1" applyFill="1" applyBorder="1" applyAlignment="1">
      <alignment vertical="top"/>
    </xf>
    <xf numFmtId="0" fontId="39" fillId="24" borderId="10" xfId="0" applyFont="1" applyFill="1" applyBorder="1" applyAlignment="1">
      <alignment horizontal="center" vertical="top" wrapText="1"/>
    </xf>
    <xf numFmtId="0" fontId="39" fillId="24" borderId="36" xfId="0" applyFont="1" applyFill="1" applyBorder="1" applyAlignment="1">
      <alignment horizontal="center" vertical="center" wrapText="1"/>
    </xf>
    <xf numFmtId="165" fontId="34" fillId="10" borderId="13" xfId="0" applyNumberFormat="1" applyFont="1" applyFill="1" applyBorder="1" applyAlignment="1" applyProtection="1">
      <alignment vertical="top"/>
      <protection locked="0"/>
    </xf>
    <xf numFmtId="0" fontId="39" fillId="10" borderId="13" xfId="0" applyFont="1" applyFill="1" applyBorder="1" applyAlignment="1">
      <alignment horizontal="center" vertical="top"/>
    </xf>
    <xf numFmtId="2" fontId="40" fillId="10" borderId="13" xfId="0" applyNumberFormat="1" applyFont="1" applyFill="1" applyBorder="1" applyAlignment="1">
      <alignment horizontal="center" vertical="top" wrapText="1"/>
    </xf>
    <xf numFmtId="44" fontId="30" fillId="13" borderId="64" xfId="0" applyNumberFormat="1" applyFont="1" applyFill="1" applyBorder="1" applyAlignment="1">
      <alignment vertical="top"/>
    </xf>
    <xf numFmtId="166" fontId="30" fillId="0" borderId="15" xfId="0" applyNumberFormat="1" applyFont="1" applyBorder="1" applyAlignment="1" applyProtection="1">
      <alignment vertical="top" wrapText="1"/>
      <protection locked="0"/>
    </xf>
    <xf numFmtId="166" fontId="30" fillId="0" borderId="67" xfId="0" applyNumberFormat="1" applyFont="1" applyBorder="1" applyAlignment="1">
      <alignment vertical="top" wrapText="1"/>
    </xf>
    <xf numFmtId="166" fontId="30" fillId="0" borderId="28" xfId="0" applyNumberFormat="1" applyFont="1" applyBorder="1" applyAlignment="1">
      <alignment vertical="top" wrapText="1"/>
    </xf>
    <xf numFmtId="166" fontId="30" fillId="0" borderId="44" xfId="0" applyNumberFormat="1" applyFont="1" applyBorder="1" applyAlignment="1">
      <alignment vertical="top" wrapText="1"/>
    </xf>
    <xf numFmtId="166" fontId="36" fillId="0" borderId="44" xfId="0" applyNumberFormat="1" applyFont="1" applyBorder="1" applyAlignment="1">
      <alignment vertical="top" wrapText="1"/>
    </xf>
    <xf numFmtId="2" fontId="30" fillId="0" borderId="44" xfId="0" applyNumberFormat="1" applyFont="1" applyBorder="1" applyAlignment="1">
      <alignment vertical="top" wrapText="1"/>
    </xf>
    <xf numFmtId="0" fontId="30" fillId="10" borderId="41" xfId="0" applyFont="1" applyFill="1" applyBorder="1" applyAlignment="1" applyProtection="1">
      <alignment vertical="top"/>
      <protection locked="0"/>
    </xf>
    <xf numFmtId="2" fontId="39" fillId="10" borderId="108" xfId="0" applyNumberFormat="1" applyFont="1" applyFill="1" applyBorder="1" applyAlignment="1">
      <alignment vertical="top"/>
    </xf>
    <xf numFmtId="0" fontId="30" fillId="0" borderId="2" xfId="0" applyFont="1" applyBorder="1" applyAlignment="1" applyProtection="1">
      <alignment horizontal="left" vertical="top" wrapText="1"/>
      <protection locked="0"/>
    </xf>
    <xf numFmtId="0" fontId="30" fillId="0" borderId="2" xfId="0" applyFont="1" applyBorder="1" applyAlignment="1" applyProtection="1">
      <alignment vertical="top" wrapText="1"/>
      <protection locked="0"/>
    </xf>
    <xf numFmtId="166" fontId="30" fillId="0" borderId="2" xfId="0" applyNumberFormat="1" applyFont="1" applyBorder="1" applyAlignment="1">
      <alignment vertical="top" wrapText="1"/>
    </xf>
    <xf numFmtId="0" fontId="30" fillId="10" borderId="38" xfId="0" applyFont="1" applyFill="1" applyBorder="1" applyAlignment="1" applyProtection="1">
      <alignment vertical="top"/>
      <protection locked="0"/>
    </xf>
    <xf numFmtId="2" fontId="30" fillId="10" borderId="38" xfId="0" applyNumberFormat="1" applyFont="1" applyFill="1" applyBorder="1" applyAlignment="1">
      <alignment vertical="top"/>
    </xf>
    <xf numFmtId="164" fontId="39" fillId="10" borderId="102" xfId="0" applyNumberFormat="1" applyFont="1" applyFill="1" applyBorder="1" applyAlignment="1" applyProtection="1">
      <alignment vertical="top"/>
      <protection locked="0"/>
    </xf>
    <xf numFmtId="164" fontId="39" fillId="10" borderId="102" xfId="0" applyNumberFormat="1" applyFont="1" applyFill="1" applyBorder="1" applyAlignment="1" applyProtection="1">
      <alignment horizontal="center" vertical="top"/>
      <protection locked="0"/>
    </xf>
    <xf numFmtId="2" fontId="39" fillId="10" borderId="102" xfId="0" applyNumberFormat="1" applyFont="1" applyFill="1" applyBorder="1" applyAlignment="1">
      <alignment vertical="top"/>
    </xf>
    <xf numFmtId="0" fontId="5" fillId="16" borderId="35" xfId="0" applyFont="1" applyFill="1" applyBorder="1" applyAlignment="1">
      <alignment horizontal="left" vertical="top" wrapText="1"/>
    </xf>
    <xf numFmtId="0" fontId="5" fillId="16" borderId="4" xfId="0" applyFont="1" applyFill="1" applyBorder="1" applyAlignment="1">
      <alignment horizontal="left" vertical="top" wrapText="1"/>
    </xf>
    <xf numFmtId="0" fontId="5" fillId="16" borderId="62" xfId="0" applyFont="1" applyFill="1" applyBorder="1" applyAlignment="1">
      <alignment horizontal="left" vertical="top" wrapText="1"/>
    </xf>
    <xf numFmtId="0" fontId="5" fillId="16" borderId="7" xfId="0" applyFont="1" applyFill="1" applyBorder="1" applyAlignment="1">
      <alignment horizontal="left" vertical="top" wrapText="1"/>
    </xf>
    <xf numFmtId="0" fontId="5" fillId="16" borderId="0" xfId="0" applyFont="1" applyFill="1" applyAlignment="1">
      <alignment horizontal="left" vertical="top" wrapText="1"/>
    </xf>
    <xf numFmtId="0" fontId="5" fillId="16" borderId="13" xfId="0" applyFont="1" applyFill="1" applyBorder="1" applyAlignment="1">
      <alignment horizontal="left" vertical="top" wrapText="1"/>
    </xf>
    <xf numFmtId="0" fontId="5" fillId="16" borderId="31" xfId="0" applyFont="1" applyFill="1" applyBorder="1" applyAlignment="1">
      <alignment horizontal="left" vertical="top" wrapText="1"/>
    </xf>
    <xf numFmtId="0" fontId="5" fillId="16" borderId="23" xfId="0" applyFont="1" applyFill="1" applyBorder="1" applyAlignment="1">
      <alignment horizontal="left" vertical="top" wrapText="1"/>
    </xf>
    <xf numFmtId="0" fontId="5" fillId="16" borderId="32" xfId="0" applyFont="1" applyFill="1" applyBorder="1" applyAlignment="1">
      <alignment horizontal="left" vertical="top" wrapText="1"/>
    </xf>
    <xf numFmtId="0" fontId="64" fillId="10" borderId="0" xfId="7" applyFont="1" applyFill="1" applyAlignment="1">
      <alignment horizontal="center" vertical="top"/>
    </xf>
    <xf numFmtId="0" fontId="70" fillId="10" borderId="0" xfId="7" applyFont="1" applyFill="1" applyAlignment="1">
      <alignment horizontal="center" vertical="top" wrapText="1"/>
    </xf>
    <xf numFmtId="17" fontId="65" fillId="10" borderId="0" xfId="7" quotePrefix="1" applyNumberFormat="1" applyFont="1" applyFill="1" applyAlignment="1">
      <alignment horizontal="center" vertical="center" wrapText="1"/>
    </xf>
    <xf numFmtId="0" fontId="65" fillId="10" borderId="0" xfId="7" applyFont="1" applyFill="1" applyAlignment="1">
      <alignment horizontal="center" vertical="center" wrapText="1"/>
    </xf>
    <xf numFmtId="0" fontId="66" fillId="10" borderId="0" xfId="7" applyFont="1" applyFill="1" applyAlignment="1">
      <alignment horizontal="center" vertical="top" wrapText="1" readingOrder="1"/>
    </xf>
    <xf numFmtId="0" fontId="66" fillId="9" borderId="0" xfId="7" applyFont="1" applyFill="1" applyAlignment="1">
      <alignment horizontal="center" vertical="top" wrapText="1" readingOrder="1"/>
    </xf>
    <xf numFmtId="0" fontId="31" fillId="10" borderId="0" xfId="0" applyFont="1" applyFill="1" applyAlignment="1" applyProtection="1">
      <alignment horizontal="center" vertical="center" wrapText="1"/>
      <protection locked="0"/>
    </xf>
    <xf numFmtId="0" fontId="56" fillId="7" borderId="1" xfId="0" applyFont="1" applyFill="1" applyBorder="1" applyAlignment="1" applyProtection="1">
      <alignment horizontal="center" vertical="center" wrapText="1"/>
      <protection locked="0"/>
    </xf>
    <xf numFmtId="0" fontId="4" fillId="0" borderId="0" xfId="0" applyFont="1" applyAlignment="1">
      <alignment horizontal="left" vertical="top"/>
    </xf>
    <xf numFmtId="0" fontId="2" fillId="9" borderId="1" xfId="0" applyFont="1" applyFill="1" applyBorder="1" applyAlignment="1">
      <alignment horizontal="center" vertical="top" wrapText="1"/>
    </xf>
    <xf numFmtId="0" fontId="5" fillId="0" borderId="1" xfId="0" applyFont="1" applyBorder="1" applyAlignment="1">
      <alignment vertical="top" wrapText="1"/>
    </xf>
    <xf numFmtId="0" fontId="5" fillId="0" borderId="40" xfId="0" applyFont="1" applyBorder="1" applyAlignment="1">
      <alignment vertical="top" wrapText="1"/>
    </xf>
    <xf numFmtId="0" fontId="5" fillId="0" borderId="38" xfId="0" applyFont="1" applyBorder="1" applyAlignment="1">
      <alignment vertical="top" wrapText="1"/>
    </xf>
    <xf numFmtId="0" fontId="5" fillId="0" borderId="3" xfId="0" applyFont="1" applyBorder="1" applyAlignment="1">
      <alignment vertical="top" wrapText="1"/>
    </xf>
    <xf numFmtId="0" fontId="5" fillId="0" borderId="1" xfId="0" applyFont="1" applyBorder="1" applyAlignment="1">
      <alignment horizontal="center" vertical="top" wrapText="1"/>
    </xf>
    <xf numFmtId="6" fontId="5" fillId="0" borderId="16" xfId="0" applyNumberFormat="1" applyFont="1" applyBorder="1" applyAlignment="1">
      <alignment horizontal="left" vertical="top" wrapText="1"/>
    </xf>
    <xf numFmtId="6" fontId="5" fillId="0" borderId="19" xfId="0" applyNumberFormat="1" applyFont="1" applyBorder="1" applyAlignment="1">
      <alignment horizontal="left" vertical="top" wrapText="1"/>
    </xf>
    <xf numFmtId="6" fontId="5" fillId="0" borderId="58" xfId="0" applyNumberFormat="1" applyFont="1" applyBorder="1" applyAlignment="1">
      <alignment horizontal="left" vertical="top" wrapText="1"/>
    </xf>
    <xf numFmtId="0" fontId="4" fillId="0" borderId="27" xfId="0" applyFont="1" applyBorder="1" applyAlignment="1">
      <alignment horizontal="left" vertical="top"/>
    </xf>
    <xf numFmtId="0" fontId="76" fillId="0" borderId="0" xfId="0" applyFont="1" applyAlignment="1">
      <alignment horizontal="center"/>
    </xf>
    <xf numFmtId="0" fontId="55" fillId="0" borderId="34" xfId="0" applyFont="1" applyBorder="1" applyAlignment="1" applyProtection="1">
      <alignment horizontal="center" vertical="top" wrapText="1"/>
      <protection locked="0"/>
    </xf>
    <xf numFmtId="0" fontId="55" fillId="0" borderId="30" xfId="0" applyFont="1" applyBorder="1" applyAlignment="1" applyProtection="1">
      <alignment horizontal="center" vertical="top" wrapText="1"/>
      <protection locked="0"/>
    </xf>
    <xf numFmtId="0" fontId="0" fillId="0" borderId="30" xfId="0" applyBorder="1" applyAlignment="1">
      <alignment horizontal="center" vertical="top" wrapText="1"/>
    </xf>
    <xf numFmtId="0" fontId="0" fillId="0" borderId="64" xfId="0" applyBorder="1" applyAlignment="1">
      <alignment horizontal="center" vertical="top" wrapText="1"/>
    </xf>
    <xf numFmtId="0" fontId="30" fillId="0" borderId="16" xfId="0" applyFont="1" applyBorder="1" applyAlignment="1" applyProtection="1">
      <alignment horizontal="left" vertical="top" wrapText="1"/>
      <protection locked="0"/>
    </xf>
    <xf numFmtId="0" fontId="30" fillId="0" borderId="19" xfId="0" applyFont="1" applyBorder="1" applyAlignment="1" applyProtection="1">
      <alignment horizontal="left" vertical="top" wrapText="1"/>
      <protection locked="0"/>
    </xf>
    <xf numFmtId="0" fontId="30" fillId="0" borderId="16" xfId="0" applyFont="1" applyBorder="1" applyAlignment="1" applyProtection="1">
      <alignment horizontal="left" vertical="top"/>
      <protection locked="0"/>
    </xf>
    <xf numFmtId="0" fontId="30" fillId="0" borderId="19" xfId="0" applyFont="1" applyBorder="1" applyAlignment="1" applyProtection="1">
      <alignment horizontal="left" vertical="top"/>
      <protection locked="0"/>
    </xf>
    <xf numFmtId="0" fontId="30" fillId="0" borderId="57" xfId="0" applyFont="1" applyBorder="1" applyAlignment="1" applyProtection="1">
      <alignment horizontal="left" vertical="top" wrapText="1"/>
      <protection locked="0"/>
    </xf>
    <xf numFmtId="0" fontId="30" fillId="0" borderId="26" xfId="0" applyFont="1" applyBorder="1" applyAlignment="1" applyProtection="1">
      <alignment horizontal="left" vertical="top" wrapText="1"/>
      <protection locked="0"/>
    </xf>
    <xf numFmtId="0" fontId="36" fillId="0" borderId="16" xfId="0" applyFont="1" applyBorder="1" applyAlignment="1" applyProtection="1">
      <alignment horizontal="right" vertical="top" wrapText="1"/>
      <protection locked="0"/>
    </xf>
    <xf numFmtId="0" fontId="0" fillId="0" borderId="19" xfId="0" applyBorder="1"/>
    <xf numFmtId="0" fontId="30" fillId="0" borderId="1" xfId="0" applyFont="1" applyBorder="1" applyAlignment="1" applyProtection="1">
      <alignment horizontal="left" vertical="top" wrapText="1"/>
      <protection locked="0"/>
    </xf>
    <xf numFmtId="0" fontId="31" fillId="22" borderId="57" xfId="0" applyFont="1" applyFill="1" applyBorder="1" applyAlignment="1">
      <alignment horizontal="center" vertical="center" wrapText="1"/>
    </xf>
    <xf numFmtId="0" fontId="31" fillId="22" borderId="26" xfId="0" applyFont="1" applyFill="1" applyBorder="1" applyAlignment="1">
      <alignment horizontal="center" vertical="center" wrapText="1"/>
    </xf>
    <xf numFmtId="0" fontId="31" fillId="22" borderId="63" xfId="0" applyFont="1" applyFill="1" applyBorder="1" applyAlignment="1">
      <alignment horizontal="center" vertical="center" wrapText="1"/>
    </xf>
    <xf numFmtId="0" fontId="31" fillId="22" borderId="0" xfId="0" applyFont="1" applyFill="1" applyAlignment="1">
      <alignment horizontal="center" vertical="center" wrapText="1"/>
    </xf>
    <xf numFmtId="0" fontId="31" fillId="22" borderId="15" xfId="0" applyFont="1" applyFill="1" applyBorder="1" applyAlignment="1">
      <alignment horizontal="center" vertical="center" wrapText="1"/>
    </xf>
    <xf numFmtId="0" fontId="31" fillId="22" borderId="27" xfId="0" applyFont="1" applyFill="1" applyBorder="1" applyAlignment="1">
      <alignment horizontal="center" vertical="center" wrapText="1"/>
    </xf>
    <xf numFmtId="0" fontId="48" fillId="0" borderId="40" xfId="0" applyFont="1" applyBorder="1" applyAlignment="1" applyProtection="1">
      <alignment horizontal="center" vertical="center" textRotation="90" wrapText="1"/>
      <protection locked="0"/>
    </xf>
    <xf numFmtId="0" fontId="48" fillId="0" borderId="3" xfId="0" applyFont="1" applyBorder="1" applyAlignment="1" applyProtection="1">
      <alignment horizontal="center" vertical="center" textRotation="90" wrapText="1"/>
      <protection locked="0"/>
    </xf>
    <xf numFmtId="0" fontId="47" fillId="17" borderId="34" xfId="0" applyFont="1" applyFill="1" applyBorder="1" applyAlignment="1">
      <alignment horizontal="center" vertical="top" wrapText="1"/>
    </xf>
    <xf numFmtId="0" fontId="47" fillId="17" borderId="30" xfId="0" applyFont="1" applyFill="1" applyBorder="1" applyAlignment="1">
      <alignment horizontal="center" vertical="top" wrapText="1"/>
    </xf>
    <xf numFmtId="0" fontId="47" fillId="17" borderId="64" xfId="0" applyFont="1" applyFill="1" applyBorder="1" applyAlignment="1">
      <alignment horizontal="center" vertical="top" wrapText="1"/>
    </xf>
    <xf numFmtId="0" fontId="47" fillId="17" borderId="34" xfId="0" applyFont="1" applyFill="1" applyBorder="1" applyAlignment="1">
      <alignment horizontal="center" vertical="top"/>
    </xf>
    <xf numFmtId="0" fontId="47" fillId="17" borderId="30" xfId="0" applyFont="1" applyFill="1" applyBorder="1" applyAlignment="1">
      <alignment horizontal="center" vertical="top"/>
    </xf>
    <xf numFmtId="0" fontId="47" fillId="17" borderId="64" xfId="0" applyFont="1" applyFill="1" applyBorder="1" applyAlignment="1">
      <alignment horizontal="center" vertical="top"/>
    </xf>
    <xf numFmtId="9" fontId="39" fillId="9" borderId="35" xfId="0" applyNumberFormat="1" applyFont="1" applyFill="1" applyBorder="1" applyAlignment="1">
      <alignment horizontal="center" vertical="top" wrapText="1"/>
    </xf>
    <xf numFmtId="9" fontId="39" fillId="9" borderId="4" xfId="0" applyNumberFormat="1" applyFont="1" applyFill="1" applyBorder="1" applyAlignment="1">
      <alignment horizontal="center" vertical="top" wrapText="1"/>
    </xf>
    <xf numFmtId="9" fontId="39" fillId="9" borderId="62" xfId="0" applyNumberFormat="1" applyFont="1" applyFill="1" applyBorder="1" applyAlignment="1">
      <alignment horizontal="center" vertical="top" wrapText="1"/>
    </xf>
    <xf numFmtId="9" fontId="39" fillId="9" borderId="31" xfId="0" applyNumberFormat="1" applyFont="1" applyFill="1" applyBorder="1" applyAlignment="1">
      <alignment horizontal="center" vertical="top" wrapText="1"/>
    </xf>
    <xf numFmtId="9" fontId="39" fillId="9" borderId="23" xfId="0" applyNumberFormat="1" applyFont="1" applyFill="1" applyBorder="1" applyAlignment="1">
      <alignment horizontal="center" vertical="top" wrapText="1"/>
    </xf>
    <xf numFmtId="9" fontId="39" fillId="9" borderId="32" xfId="0" applyNumberFormat="1" applyFont="1" applyFill="1" applyBorder="1" applyAlignment="1">
      <alignment horizontal="center" vertical="top" wrapText="1"/>
    </xf>
    <xf numFmtId="2" fontId="35" fillId="9" borderId="10" xfId="0" applyNumberFormat="1" applyFont="1" applyFill="1" applyBorder="1" applyAlignment="1">
      <alignment horizontal="center" vertical="top" wrapText="1"/>
    </xf>
    <xf numFmtId="2" fontId="35" fillId="9" borderId="12" xfId="0" applyNumberFormat="1" applyFont="1" applyFill="1" applyBorder="1" applyAlignment="1">
      <alignment horizontal="center" vertical="top" wrapText="1"/>
    </xf>
    <xf numFmtId="9" fontId="39" fillId="9" borderId="10" xfId="0" applyNumberFormat="1" applyFont="1" applyFill="1" applyBorder="1" applyAlignment="1">
      <alignment horizontal="center" vertical="top" wrapText="1"/>
    </xf>
    <xf numFmtId="9" fontId="39" fillId="9" borderId="12" xfId="0" applyNumberFormat="1" applyFont="1" applyFill="1" applyBorder="1" applyAlignment="1">
      <alignment horizontal="center" vertical="top" wrapText="1"/>
    </xf>
    <xf numFmtId="0" fontId="45" fillId="19" borderId="34" xfId="0" applyFont="1" applyFill="1" applyBorder="1" applyAlignment="1" applyProtection="1">
      <alignment horizontal="left" vertical="top"/>
      <protection locked="0"/>
    </xf>
    <xf numFmtId="0" fontId="45" fillId="19" borderId="30" xfId="0" applyFont="1" applyFill="1" applyBorder="1" applyAlignment="1" applyProtection="1">
      <alignment horizontal="left" vertical="top"/>
      <protection locked="0"/>
    </xf>
    <xf numFmtId="0" fontId="45" fillId="19" borderId="64" xfId="0" applyFont="1" applyFill="1" applyBorder="1" applyAlignment="1" applyProtection="1">
      <alignment horizontal="left" vertical="top"/>
      <protection locked="0"/>
    </xf>
    <xf numFmtId="0" fontId="39" fillId="10" borderId="47" xfId="0" applyFont="1" applyFill="1" applyBorder="1" applyAlignment="1">
      <alignment horizontal="left" vertical="center" wrapText="1"/>
    </xf>
    <xf numFmtId="0" fontId="39" fillId="10" borderId="1" xfId="0" applyFont="1" applyFill="1" applyBorder="1" applyAlignment="1">
      <alignment horizontal="left" vertical="center" wrapText="1"/>
    </xf>
    <xf numFmtId="7" fontId="32" fillId="10" borderId="1" xfId="2" applyNumberFormat="1" applyFont="1" applyFill="1" applyBorder="1" applyAlignment="1" applyProtection="1">
      <alignment horizontal="center" vertical="center" wrapText="1"/>
    </xf>
    <xf numFmtId="7" fontId="32" fillId="10" borderId="6" xfId="2" applyNumberFormat="1" applyFont="1" applyFill="1" applyBorder="1" applyAlignment="1" applyProtection="1">
      <alignment horizontal="center" vertical="center" wrapText="1"/>
    </xf>
    <xf numFmtId="0" fontId="39" fillId="10" borderId="85" xfId="0" applyFont="1" applyFill="1" applyBorder="1" applyAlignment="1" applyProtection="1">
      <alignment horizontal="right" vertical="top"/>
      <protection locked="0"/>
    </xf>
    <xf numFmtId="0" fontId="39" fillId="10" borderId="58" xfId="0" applyFont="1" applyFill="1" applyBorder="1" applyAlignment="1" applyProtection="1">
      <alignment horizontal="right" vertical="top"/>
      <protection locked="0"/>
    </xf>
    <xf numFmtId="0" fontId="39" fillId="12" borderId="19" xfId="0" applyFont="1" applyFill="1" applyBorder="1" applyAlignment="1" applyProtection="1">
      <alignment horizontal="left" vertical="top"/>
      <protection locked="0"/>
    </xf>
    <xf numFmtId="0" fontId="39" fillId="12" borderId="58" xfId="0" applyFont="1" applyFill="1" applyBorder="1" applyAlignment="1" applyProtection="1">
      <alignment horizontal="left" vertical="top"/>
      <protection locked="0"/>
    </xf>
    <xf numFmtId="0" fontId="39" fillId="10" borderId="26" xfId="0" applyFont="1" applyFill="1" applyBorder="1" applyAlignment="1" applyProtection="1">
      <alignment horizontal="right" vertical="top"/>
      <protection locked="0"/>
    </xf>
    <xf numFmtId="0" fontId="45" fillId="20" borderId="34" xfId="0" applyFont="1" applyFill="1" applyBorder="1" applyAlignment="1" applyProtection="1">
      <alignment horizontal="left" vertical="top"/>
      <protection locked="0"/>
    </xf>
    <xf numFmtId="0" fontId="45" fillId="20" borderId="30" xfId="0" applyFont="1" applyFill="1" applyBorder="1" applyAlignment="1" applyProtection="1">
      <alignment horizontal="left" vertical="top"/>
      <protection locked="0"/>
    </xf>
    <xf numFmtId="0" fontId="45" fillId="20" borderId="64" xfId="0" applyFont="1" applyFill="1" applyBorder="1" applyAlignment="1" applyProtection="1">
      <alignment horizontal="left" vertical="top"/>
      <protection locked="0"/>
    </xf>
    <xf numFmtId="0" fontId="39" fillId="10" borderId="51" xfId="0" applyFont="1" applyFill="1" applyBorder="1" applyAlignment="1">
      <alignment horizontal="left" vertical="center" wrapText="1"/>
    </xf>
    <xf numFmtId="0" fontId="39" fillId="10" borderId="53" xfId="0" applyFont="1" applyFill="1" applyBorder="1" applyAlignment="1">
      <alignment horizontal="left" vertical="center" wrapText="1"/>
    </xf>
    <xf numFmtId="0" fontId="32" fillId="10" borderId="53" xfId="0" applyFont="1" applyFill="1" applyBorder="1" applyAlignment="1">
      <alignment horizontal="center" vertical="center" wrapText="1"/>
    </xf>
    <xf numFmtId="0" fontId="32" fillId="10" borderId="54" xfId="0" applyFont="1" applyFill="1" applyBorder="1" applyAlignment="1">
      <alignment horizontal="center" vertical="center" wrapText="1"/>
    </xf>
    <xf numFmtId="0" fontId="39" fillId="10" borderId="83" xfId="0" applyFont="1" applyFill="1" applyBorder="1" applyAlignment="1" applyProtection="1">
      <alignment horizontal="right" vertical="top"/>
      <protection locked="0"/>
    </xf>
    <xf numFmtId="0" fontId="39" fillId="10" borderId="61" xfId="0" applyFont="1" applyFill="1" applyBorder="1" applyAlignment="1" applyProtection="1">
      <alignment horizontal="right" vertical="top"/>
      <protection locked="0"/>
    </xf>
    <xf numFmtId="0" fontId="39" fillId="12" borderId="20" xfId="0" applyFont="1" applyFill="1" applyBorder="1" applyAlignment="1" applyProtection="1">
      <alignment horizontal="left" vertical="top"/>
      <protection locked="0"/>
    </xf>
    <xf numFmtId="0" fontId="39" fillId="12" borderId="82" xfId="0" applyFont="1" applyFill="1" applyBorder="1" applyAlignment="1" applyProtection="1">
      <alignment horizontal="left" vertical="top"/>
      <protection locked="0"/>
    </xf>
    <xf numFmtId="0" fontId="33" fillId="0" borderId="34" xfId="0" applyFont="1" applyBorder="1" applyAlignment="1" applyProtection="1">
      <alignment horizontal="center" vertical="top"/>
      <protection locked="0"/>
    </xf>
    <xf numFmtId="0" fontId="33" fillId="0" borderId="96" xfId="0" applyFont="1" applyBorder="1" applyAlignment="1" applyProtection="1">
      <alignment horizontal="center" vertical="top"/>
      <protection locked="0"/>
    </xf>
    <xf numFmtId="0" fontId="39" fillId="16" borderId="7" xfId="0" applyFont="1" applyFill="1" applyBorder="1" applyAlignment="1" applyProtection="1">
      <alignment horizontal="left" vertical="top" wrapText="1"/>
      <protection locked="0"/>
    </xf>
    <xf numFmtId="0" fontId="39" fillId="16" borderId="0" xfId="0" applyFont="1" applyFill="1" applyAlignment="1" applyProtection="1">
      <alignment horizontal="left" vertical="top" wrapText="1"/>
      <protection locked="0"/>
    </xf>
    <xf numFmtId="0" fontId="39" fillId="16" borderId="13" xfId="0" applyFont="1" applyFill="1" applyBorder="1" applyAlignment="1" applyProtection="1">
      <alignment horizontal="left" vertical="top" wrapText="1"/>
      <protection locked="0"/>
    </xf>
    <xf numFmtId="0" fontId="39" fillId="16" borderId="31" xfId="0" applyFont="1" applyFill="1" applyBorder="1" applyAlignment="1" applyProtection="1">
      <alignment horizontal="left" vertical="top" wrapText="1"/>
      <protection locked="0"/>
    </xf>
    <xf numFmtId="0" fontId="39" fillId="16" borderId="23" xfId="0" applyFont="1" applyFill="1" applyBorder="1" applyAlignment="1" applyProtection="1">
      <alignment horizontal="left" vertical="top" wrapText="1"/>
      <protection locked="0"/>
    </xf>
    <xf numFmtId="0" fontId="39" fillId="16" borderId="32" xfId="0" applyFont="1" applyFill="1" applyBorder="1" applyAlignment="1" applyProtection="1">
      <alignment horizontal="left" vertical="top" wrapText="1"/>
      <protection locked="0"/>
    </xf>
    <xf numFmtId="0" fontId="62" fillId="10" borderId="56" xfId="0" applyFont="1" applyFill="1" applyBorder="1" applyAlignment="1" applyProtection="1">
      <alignment horizontal="right" vertical="top"/>
      <protection locked="0"/>
    </xf>
    <xf numFmtId="0" fontId="62" fillId="10" borderId="40" xfId="0" applyFont="1" applyFill="1" applyBorder="1" applyAlignment="1" applyProtection="1">
      <alignment horizontal="right" vertical="top"/>
      <protection locked="0"/>
    </xf>
    <xf numFmtId="9" fontId="33" fillId="10" borderId="57" xfId="0" applyNumberFormat="1" applyFont="1" applyFill="1" applyBorder="1" applyAlignment="1">
      <alignment horizontal="left" vertical="top" wrapText="1"/>
    </xf>
    <xf numFmtId="9" fontId="33" fillId="10" borderId="55" xfId="0" applyNumberFormat="1" applyFont="1" applyFill="1" applyBorder="1" applyAlignment="1">
      <alignment horizontal="left" vertical="top" wrapText="1"/>
    </xf>
    <xf numFmtId="0" fontId="39" fillId="10" borderId="19" xfId="0" applyFont="1" applyFill="1" applyBorder="1" applyAlignment="1" applyProtection="1">
      <alignment horizontal="right" vertical="top"/>
      <protection locked="0"/>
    </xf>
    <xf numFmtId="0" fontId="62" fillId="10" borderId="47" xfId="0" applyFont="1" applyFill="1" applyBorder="1" applyAlignment="1" applyProtection="1">
      <alignment horizontal="right" vertical="top"/>
      <protection locked="0"/>
    </xf>
    <xf numFmtId="0" fontId="62" fillId="10" borderId="1" xfId="0" applyFont="1" applyFill="1" applyBorder="1" applyAlignment="1" applyProtection="1">
      <alignment horizontal="right" vertical="top"/>
      <protection locked="0"/>
    </xf>
    <xf numFmtId="9" fontId="33" fillId="12" borderId="16" xfId="6" applyFont="1" applyFill="1" applyBorder="1" applyAlignment="1" applyProtection="1">
      <alignment horizontal="left" vertical="top"/>
      <protection locked="0"/>
    </xf>
    <xf numFmtId="9" fontId="33" fillId="12" borderId="50" xfId="6" applyFont="1" applyFill="1" applyBorder="1" applyAlignment="1" applyProtection="1">
      <alignment horizontal="left" vertical="top"/>
      <protection locked="0"/>
    </xf>
    <xf numFmtId="0" fontId="39" fillId="10" borderId="86" xfId="0" applyFont="1" applyFill="1" applyBorder="1" applyAlignment="1" applyProtection="1">
      <alignment horizontal="left" vertical="top"/>
      <protection locked="0"/>
    </xf>
    <xf numFmtId="0" fontId="39" fillId="10" borderId="69" xfId="0" applyFont="1" applyFill="1" applyBorder="1" applyAlignment="1" applyProtection="1">
      <alignment horizontal="left" vertical="top"/>
      <protection locked="0"/>
    </xf>
    <xf numFmtId="0" fontId="39" fillId="12" borderId="21" xfId="0" applyFont="1" applyFill="1" applyBorder="1" applyAlignment="1" applyProtection="1">
      <alignment horizontal="left" vertical="top"/>
      <protection locked="0"/>
    </xf>
    <xf numFmtId="0" fontId="39" fillId="12" borderId="69" xfId="0" applyFont="1" applyFill="1" applyBorder="1" applyAlignment="1" applyProtection="1">
      <alignment horizontal="left" vertical="top"/>
      <protection locked="0"/>
    </xf>
    <xf numFmtId="0" fontId="39" fillId="10" borderId="21" xfId="0" applyFont="1" applyFill="1" applyBorder="1" applyAlignment="1" applyProtection="1">
      <alignment horizontal="left" vertical="top"/>
      <protection locked="0"/>
    </xf>
    <xf numFmtId="0" fontId="39" fillId="10" borderId="47" xfId="0" applyFont="1" applyFill="1" applyBorder="1" applyAlignment="1" applyProtection="1">
      <alignment horizontal="left" vertical="top"/>
      <protection locked="0"/>
    </xf>
    <xf numFmtId="0" fontId="39" fillId="10" borderId="1" xfId="0" applyFont="1" applyFill="1" applyBorder="1" applyAlignment="1" applyProtection="1">
      <alignment horizontal="left" vertical="top"/>
      <protection locked="0"/>
    </xf>
    <xf numFmtId="0" fontId="33" fillId="12" borderId="16" xfId="0" applyFont="1" applyFill="1" applyBorder="1" applyAlignment="1" applyProtection="1">
      <alignment horizontal="left" vertical="top"/>
      <protection locked="0"/>
    </xf>
    <xf numFmtId="0" fontId="33" fillId="12" borderId="50" xfId="0" applyFont="1" applyFill="1" applyBorder="1" applyAlignment="1" applyProtection="1">
      <alignment horizontal="left" vertical="top"/>
      <protection locked="0"/>
    </xf>
    <xf numFmtId="0" fontId="33" fillId="12" borderId="20" xfId="0" applyFont="1" applyFill="1" applyBorder="1" applyAlignment="1" applyProtection="1">
      <alignment horizontal="left" vertical="top"/>
      <protection locked="0"/>
    </xf>
    <xf numFmtId="0" fontId="33" fillId="12" borderId="82" xfId="0" applyFont="1" applyFill="1" applyBorder="1" applyAlignment="1" applyProtection="1">
      <alignment horizontal="left" vertical="top"/>
      <protection locked="0"/>
    </xf>
    <xf numFmtId="0" fontId="39" fillId="15" borderId="7" xfId="0" applyFont="1" applyFill="1" applyBorder="1" applyAlignment="1" applyProtection="1">
      <alignment horizontal="left" vertical="top"/>
      <protection locked="0"/>
    </xf>
    <xf numFmtId="0" fontId="39" fillId="15" borderId="0" xfId="0" applyFont="1" applyFill="1" applyAlignment="1" applyProtection="1">
      <alignment horizontal="left" vertical="top"/>
      <protection locked="0"/>
    </xf>
    <xf numFmtId="0" fontId="39" fillId="15" borderId="13" xfId="0" applyFont="1" applyFill="1" applyBorder="1" applyAlignment="1" applyProtection="1">
      <alignment horizontal="left" vertical="top"/>
      <protection locked="0"/>
    </xf>
    <xf numFmtId="0" fontId="39" fillId="13" borderId="7" xfId="0" applyFont="1" applyFill="1" applyBorder="1" applyAlignment="1" applyProtection="1">
      <alignment horizontal="left" vertical="top"/>
      <protection locked="0"/>
    </xf>
    <xf numFmtId="0" fontId="39" fillId="13" borderId="0" xfId="0" applyFont="1" applyFill="1" applyAlignment="1" applyProtection="1">
      <alignment horizontal="left" vertical="top"/>
      <protection locked="0"/>
    </xf>
    <xf numFmtId="0" fontId="39" fillId="13" borderId="13" xfId="0" applyFont="1" applyFill="1" applyBorder="1" applyAlignment="1" applyProtection="1">
      <alignment horizontal="left" vertical="top"/>
      <protection locked="0"/>
    </xf>
    <xf numFmtId="14" fontId="33" fillId="12" borderId="16" xfId="0" applyNumberFormat="1" applyFont="1" applyFill="1" applyBorder="1" applyAlignment="1" applyProtection="1">
      <alignment horizontal="left" vertical="top"/>
      <protection locked="0"/>
    </xf>
    <xf numFmtId="0" fontId="33" fillId="12" borderId="19" xfId="0" applyFont="1" applyFill="1" applyBorder="1" applyAlignment="1" applyProtection="1">
      <alignment horizontal="left" vertical="top"/>
      <protection locked="0"/>
    </xf>
    <xf numFmtId="0" fontId="33" fillId="12" borderId="58" xfId="0" applyFont="1" applyFill="1" applyBorder="1" applyAlignment="1" applyProtection="1">
      <alignment horizontal="left" vertical="top"/>
      <protection locked="0"/>
    </xf>
    <xf numFmtId="0" fontId="39" fillId="11" borderId="7" xfId="0" applyFont="1" applyFill="1" applyBorder="1" applyAlignment="1" applyProtection="1">
      <alignment horizontal="left" vertical="top"/>
      <protection locked="0"/>
    </xf>
    <xf numFmtId="0" fontId="39" fillId="11" borderId="0" xfId="0" applyFont="1" applyFill="1" applyAlignment="1" applyProtection="1">
      <alignment horizontal="left" vertical="top"/>
      <protection locked="0"/>
    </xf>
    <xf numFmtId="0" fontId="39" fillId="11" borderId="13" xfId="0" applyFont="1" applyFill="1" applyBorder="1" applyAlignment="1" applyProtection="1">
      <alignment horizontal="left" vertical="top"/>
      <protection locked="0"/>
    </xf>
    <xf numFmtId="14" fontId="33" fillId="12" borderId="50" xfId="0" applyNumberFormat="1" applyFont="1" applyFill="1" applyBorder="1" applyAlignment="1" applyProtection="1">
      <alignment horizontal="left" vertical="top"/>
      <protection locked="0"/>
    </xf>
    <xf numFmtId="0" fontId="32" fillId="9" borderId="34" xfId="0" applyFont="1" applyFill="1" applyBorder="1" applyAlignment="1" applyProtection="1">
      <alignment horizontal="left" vertical="top"/>
      <protection locked="0"/>
    </xf>
    <xf numFmtId="0" fontId="32" fillId="9" borderId="30" xfId="0" applyFont="1" applyFill="1" applyBorder="1" applyAlignment="1" applyProtection="1">
      <alignment horizontal="left" vertical="top"/>
      <protection locked="0"/>
    </xf>
    <xf numFmtId="0" fontId="32" fillId="9" borderId="64" xfId="0" applyFont="1" applyFill="1" applyBorder="1" applyAlignment="1" applyProtection="1">
      <alignment horizontal="left" vertical="top"/>
      <protection locked="0"/>
    </xf>
    <xf numFmtId="0" fontId="39" fillId="10" borderId="71" xfId="0" applyFont="1" applyFill="1" applyBorder="1" applyAlignment="1" applyProtection="1">
      <alignment horizontal="left" vertical="top"/>
      <protection locked="0"/>
    </xf>
    <xf numFmtId="0" fontId="39" fillId="10" borderId="2" xfId="0" applyFont="1" applyFill="1" applyBorder="1" applyAlignment="1" applyProtection="1">
      <alignment horizontal="left" vertical="top"/>
      <protection locked="0"/>
    </xf>
    <xf numFmtId="0" fontId="33" fillId="10" borderId="45" xfId="0" applyFont="1" applyFill="1" applyBorder="1" applyAlignment="1">
      <alignment horizontal="left" vertical="top"/>
    </xf>
    <xf numFmtId="0" fontId="33" fillId="10" borderId="68" xfId="0" applyFont="1" applyFill="1" applyBorder="1" applyAlignment="1">
      <alignment horizontal="left" vertical="top"/>
    </xf>
    <xf numFmtId="0" fontId="33" fillId="12" borderId="21" xfId="0" applyFont="1" applyFill="1" applyBorder="1" applyAlignment="1" applyProtection="1">
      <alignment horizontal="left" vertical="top"/>
      <protection locked="0"/>
    </xf>
    <xf numFmtId="0" fontId="33" fillId="12" borderId="69" xfId="0" applyFont="1" applyFill="1" applyBorder="1" applyAlignment="1" applyProtection="1">
      <alignment horizontal="left" vertical="top"/>
      <protection locked="0"/>
    </xf>
    <xf numFmtId="0" fontId="39" fillId="10" borderId="27" xfId="0" applyFont="1" applyFill="1" applyBorder="1" applyAlignment="1" applyProtection="1">
      <alignment horizontal="left" vertical="top"/>
      <protection locked="0"/>
    </xf>
    <xf numFmtId="0" fontId="39" fillId="12" borderId="35" xfId="0" applyFont="1" applyFill="1" applyBorder="1" applyAlignment="1" applyProtection="1">
      <alignment horizontal="left" vertical="top"/>
      <protection locked="0"/>
    </xf>
    <xf numFmtId="0" fontId="39" fillId="12" borderId="4" xfId="0" applyFont="1" applyFill="1" applyBorder="1" applyAlignment="1" applyProtection="1">
      <alignment horizontal="left" vertical="top"/>
      <protection locked="0"/>
    </xf>
    <xf numFmtId="0" fontId="39" fillId="12" borderId="62" xfId="0" applyFont="1" applyFill="1" applyBorder="1" applyAlignment="1" applyProtection="1">
      <alignment horizontal="left" vertical="top"/>
      <protection locked="0"/>
    </xf>
    <xf numFmtId="0" fontId="32" fillId="9" borderId="34" xfId="0" applyFont="1" applyFill="1" applyBorder="1" applyAlignment="1" applyProtection="1">
      <alignment horizontal="center" vertical="top" wrapText="1"/>
      <protection locked="0"/>
    </xf>
    <xf numFmtId="0" fontId="39" fillId="9" borderId="99" xfId="0" applyFont="1" applyFill="1" applyBorder="1" applyAlignment="1">
      <alignment horizontal="center" vertical="center" wrapText="1"/>
    </xf>
    <xf numFmtId="0" fontId="39" fillId="9" borderId="60" xfId="0" applyFont="1" applyFill="1" applyBorder="1" applyAlignment="1">
      <alignment horizontal="center" vertical="center" wrapText="1"/>
    </xf>
    <xf numFmtId="0" fontId="0" fillId="0" borderId="103" xfId="0" applyBorder="1" applyAlignment="1">
      <alignment horizontal="center" vertical="center" wrapText="1"/>
    </xf>
    <xf numFmtId="9" fontId="35" fillId="9" borderId="100" xfId="6" applyFont="1" applyFill="1" applyBorder="1" applyAlignment="1" applyProtection="1">
      <alignment horizontal="center" vertical="center" wrapText="1"/>
    </xf>
    <xf numFmtId="0" fontId="0" fillId="0" borderId="98" xfId="0" applyBorder="1" applyAlignment="1">
      <alignment horizontal="center" vertical="center" wrapText="1"/>
    </xf>
    <xf numFmtId="0" fontId="0" fillId="0" borderId="101" xfId="0" applyBorder="1" applyAlignment="1">
      <alignment horizontal="center" vertical="center" wrapText="1"/>
    </xf>
    <xf numFmtId="2" fontId="35" fillId="9" borderId="10" xfId="0" applyNumberFormat="1" applyFont="1" applyFill="1" applyBorder="1" applyAlignment="1">
      <alignment horizontal="center" vertical="center" wrapText="1"/>
    </xf>
    <xf numFmtId="2" fontId="35" fillId="9" borderId="22" xfId="0" applyNumberFormat="1" applyFont="1" applyFill="1" applyBorder="1" applyAlignment="1">
      <alignment horizontal="center" vertical="center" wrapText="1"/>
    </xf>
    <xf numFmtId="0" fontId="0" fillId="0" borderId="12" xfId="0" applyBorder="1" applyAlignment="1">
      <alignment horizontal="center" wrapText="1"/>
    </xf>
    <xf numFmtId="0" fontId="35" fillId="9" borderId="10" xfId="0" applyFont="1" applyFill="1" applyBorder="1" applyAlignment="1">
      <alignment horizontal="center" vertical="center" wrapText="1"/>
    </xf>
    <xf numFmtId="0" fontId="0" fillId="0" borderId="22" xfId="0" applyBorder="1" applyAlignment="1">
      <alignment horizontal="center" vertical="center" wrapText="1"/>
    </xf>
    <xf numFmtId="0" fontId="0" fillId="0" borderId="12" xfId="0" applyBorder="1" applyAlignment="1">
      <alignment horizontal="center" vertical="center" wrapText="1"/>
    </xf>
    <xf numFmtId="9" fontId="35" fillId="9" borderId="10" xfId="0" applyNumberFormat="1" applyFont="1" applyFill="1" applyBorder="1" applyAlignment="1">
      <alignment horizontal="center" vertical="center" wrapText="1"/>
    </xf>
    <xf numFmtId="0" fontId="47" fillId="17" borderId="35" xfId="0" applyFont="1" applyFill="1" applyBorder="1" applyAlignment="1">
      <alignment horizontal="center" vertical="top" wrapText="1"/>
    </xf>
    <xf numFmtId="0" fontId="47" fillId="17" borderId="62" xfId="0" applyFont="1" applyFill="1" applyBorder="1" applyAlignment="1">
      <alignment horizontal="center" vertical="top" wrapText="1"/>
    </xf>
    <xf numFmtId="0" fontId="39" fillId="0" borderId="16" xfId="0" applyFont="1" applyBorder="1" applyAlignment="1" applyProtection="1">
      <alignment horizontal="right" vertical="top"/>
      <protection locked="0"/>
    </xf>
    <xf numFmtId="0" fontId="39" fillId="0" borderId="19" xfId="0" applyFont="1" applyBorder="1" applyAlignment="1" applyProtection="1">
      <alignment horizontal="right" vertical="top"/>
      <protection locked="0"/>
    </xf>
    <xf numFmtId="0" fontId="39" fillId="0" borderId="47" xfId="0" applyFont="1" applyBorder="1" applyAlignment="1">
      <alignment horizontal="left" vertical="center" wrapText="1"/>
    </xf>
    <xf numFmtId="0" fontId="39" fillId="0" borderId="1" xfId="0" applyFont="1" applyBorder="1" applyAlignment="1">
      <alignment horizontal="left" vertical="center" wrapText="1"/>
    </xf>
    <xf numFmtId="7" fontId="32" fillId="0" borderId="1" xfId="2" applyNumberFormat="1" applyFont="1" applyFill="1" applyBorder="1" applyAlignment="1" applyProtection="1">
      <alignment horizontal="center" vertical="center" wrapText="1"/>
    </xf>
    <xf numFmtId="7" fontId="32" fillId="0" borderId="6" xfId="2" applyNumberFormat="1" applyFont="1" applyFill="1" applyBorder="1" applyAlignment="1" applyProtection="1">
      <alignment horizontal="center" vertical="center" wrapText="1"/>
    </xf>
    <xf numFmtId="0" fontId="39" fillId="0" borderId="85" xfId="0" applyFont="1" applyBorder="1" applyAlignment="1" applyProtection="1">
      <alignment horizontal="right" vertical="top"/>
      <protection locked="0"/>
    </xf>
    <xf numFmtId="0" fontId="39" fillId="0" borderId="58" xfId="0" applyFont="1" applyBorder="1" applyAlignment="1" applyProtection="1">
      <alignment horizontal="right" vertical="top"/>
      <protection locked="0"/>
    </xf>
    <xf numFmtId="0" fontId="39" fillId="0" borderId="51" xfId="0" applyFont="1" applyBorder="1" applyAlignment="1">
      <alignment horizontal="left" vertical="center" wrapText="1"/>
    </xf>
    <xf numFmtId="0" fontId="39" fillId="0" borderId="53" xfId="0" applyFont="1" applyBorder="1" applyAlignment="1">
      <alignment horizontal="left" vertical="center" wrapText="1"/>
    </xf>
    <xf numFmtId="0" fontId="32" fillId="0" borderId="102" xfId="0" applyFont="1" applyBorder="1" applyAlignment="1">
      <alignment horizontal="center" vertical="center" wrapText="1"/>
    </xf>
    <xf numFmtId="0" fontId="32" fillId="0" borderId="103" xfId="0" applyFont="1" applyBorder="1" applyAlignment="1">
      <alignment horizontal="center" vertical="center" wrapText="1"/>
    </xf>
    <xf numFmtId="0" fontId="39" fillId="0" borderId="31" xfId="0" applyFont="1" applyBorder="1" applyAlignment="1" applyProtection="1">
      <alignment horizontal="right" vertical="top"/>
      <protection locked="0"/>
    </xf>
    <xf numFmtId="0" fontId="39" fillId="0" borderId="87" xfId="0" applyFont="1" applyBorder="1" applyAlignment="1" applyProtection="1">
      <alignment horizontal="right" vertical="top"/>
      <protection locked="0"/>
    </xf>
    <xf numFmtId="0" fontId="30" fillId="0" borderId="58" xfId="0" applyFont="1" applyBorder="1" applyAlignment="1" applyProtection="1">
      <alignment horizontal="left" vertical="top"/>
      <protection locked="0"/>
    </xf>
    <xf numFmtId="0" fontId="30" fillId="0" borderId="58" xfId="0" applyFont="1" applyBorder="1" applyAlignment="1" applyProtection="1">
      <alignment horizontal="left" vertical="top" wrapText="1"/>
      <protection locked="0"/>
    </xf>
    <xf numFmtId="0" fontId="0" fillId="0" borderId="58" xfId="0" applyBorder="1"/>
    <xf numFmtId="0" fontId="30" fillId="0" borderId="57" xfId="0" applyFont="1" applyBorder="1" applyAlignment="1" applyProtection="1">
      <alignment horizontal="left" vertical="top"/>
      <protection locked="0"/>
    </xf>
    <xf numFmtId="0" fontId="30" fillId="0" borderId="26" xfId="0" applyFont="1" applyBorder="1" applyAlignment="1" applyProtection="1">
      <alignment horizontal="left" vertical="top"/>
      <protection locked="0"/>
    </xf>
    <xf numFmtId="0" fontId="30" fillId="0" borderId="59" xfId="0" applyFont="1" applyBorder="1" applyAlignment="1" applyProtection="1">
      <alignment horizontal="left" vertical="top"/>
      <protection locked="0"/>
    </xf>
    <xf numFmtId="0" fontId="30" fillId="0" borderId="15" xfId="0" applyFont="1" applyBorder="1" applyAlignment="1" applyProtection="1">
      <alignment horizontal="left" vertical="top"/>
      <protection locked="0"/>
    </xf>
    <xf numFmtId="0" fontId="30" fillId="0" borderId="27" xfId="0" applyFont="1" applyBorder="1" applyAlignment="1" applyProtection="1">
      <alignment horizontal="left" vertical="top"/>
      <protection locked="0"/>
    </xf>
    <xf numFmtId="0" fontId="30" fillId="0" borderId="67" xfId="0" applyFont="1" applyBorder="1" applyAlignment="1" applyProtection="1">
      <alignment horizontal="left" vertical="top"/>
      <protection locked="0"/>
    </xf>
    <xf numFmtId="0" fontId="33" fillId="12" borderId="95" xfId="0" applyFont="1" applyFill="1" applyBorder="1" applyAlignment="1" applyProtection="1">
      <alignment horizontal="left" vertical="top"/>
      <protection locked="0"/>
    </xf>
    <xf numFmtId="0" fontId="33" fillId="12" borderId="23" xfId="0" applyFont="1" applyFill="1" applyBorder="1" applyAlignment="1" applyProtection="1">
      <alignment horizontal="left" vertical="top"/>
      <protection locked="0"/>
    </xf>
    <xf numFmtId="0" fontId="33" fillId="0" borderId="95" xfId="0" applyFont="1" applyBorder="1" applyAlignment="1" applyProtection="1">
      <alignment horizontal="center" vertical="top"/>
      <protection locked="0"/>
    </xf>
    <xf numFmtId="0" fontId="33" fillId="0" borderId="23" xfId="0" applyFont="1" applyBorder="1" applyAlignment="1" applyProtection="1">
      <alignment horizontal="center" vertical="top"/>
      <protection locked="0"/>
    </xf>
    <xf numFmtId="0" fontId="62" fillId="0" borderId="48" xfId="0" applyFont="1" applyBorder="1" applyAlignment="1" applyProtection="1">
      <alignment horizontal="right" vertical="top"/>
      <protection locked="0"/>
    </xf>
    <xf numFmtId="0" fontId="62" fillId="0" borderId="3" xfId="0" applyFont="1" applyBorder="1" applyAlignment="1" applyProtection="1">
      <alignment horizontal="right" vertical="top"/>
      <protection locked="0"/>
    </xf>
    <xf numFmtId="9" fontId="33" fillId="0" borderId="15" xfId="6" applyFont="1" applyFill="1" applyBorder="1" applyAlignment="1" applyProtection="1">
      <alignment horizontal="center" vertical="top"/>
      <protection locked="0"/>
    </xf>
    <xf numFmtId="9" fontId="33" fillId="0" borderId="66" xfId="6" applyFont="1" applyFill="1" applyBorder="1" applyAlignment="1" applyProtection="1">
      <alignment horizontal="center" vertical="top"/>
      <protection locked="0"/>
    </xf>
    <xf numFmtId="0" fontId="39" fillId="0" borderId="65" xfId="0" applyFont="1" applyBorder="1" applyAlignment="1" applyProtection="1">
      <alignment horizontal="left" vertical="top"/>
      <protection locked="0"/>
    </xf>
    <xf numFmtId="0" fontId="39" fillId="0" borderId="67" xfId="0" applyFont="1" applyBorder="1" applyAlignment="1" applyProtection="1">
      <alignment horizontal="left" vertical="top"/>
      <protection locked="0"/>
    </xf>
    <xf numFmtId="0" fontId="33" fillId="12" borderId="15" xfId="0" applyFont="1" applyFill="1" applyBorder="1" applyAlignment="1" applyProtection="1">
      <alignment horizontal="left" vertical="top"/>
      <protection locked="0"/>
    </xf>
    <xf numFmtId="0" fontId="33" fillId="12" borderId="27" xfId="0" applyFont="1" applyFill="1" applyBorder="1" applyAlignment="1" applyProtection="1">
      <alignment horizontal="left" vertical="top"/>
      <protection locked="0"/>
    </xf>
    <xf numFmtId="0" fontId="33" fillId="0" borderId="63" xfId="0" applyFont="1" applyBorder="1"/>
    <xf numFmtId="0" fontId="33" fillId="0" borderId="0" xfId="0" applyFont="1"/>
    <xf numFmtId="0" fontId="33" fillId="12" borderId="57" xfId="0" applyFont="1" applyFill="1" applyBorder="1" applyAlignment="1" applyProtection="1">
      <alignment horizontal="left" vertical="top"/>
      <protection locked="0"/>
    </xf>
    <xf numFmtId="0" fontId="33" fillId="12" borderId="26" xfId="0" applyFont="1" applyFill="1" applyBorder="1" applyAlignment="1" applyProtection="1">
      <alignment horizontal="left" vertical="top"/>
      <protection locked="0"/>
    </xf>
    <xf numFmtId="0" fontId="39" fillId="0" borderId="57" xfId="0" applyFont="1" applyBorder="1" applyAlignment="1" applyProtection="1">
      <alignment horizontal="right" vertical="top"/>
      <protection locked="0"/>
    </xf>
    <xf numFmtId="0" fontId="39" fillId="0" borderId="26" xfId="0" applyFont="1" applyBorder="1" applyAlignment="1" applyProtection="1">
      <alignment horizontal="right" vertical="top"/>
      <protection locked="0"/>
    </xf>
    <xf numFmtId="0" fontId="39" fillId="0" borderId="47" xfId="0" applyFont="1" applyBorder="1" applyAlignment="1" applyProtection="1">
      <alignment horizontal="left" vertical="top"/>
      <protection locked="0"/>
    </xf>
    <xf numFmtId="0" fontId="39" fillId="0" borderId="1" xfId="0" applyFont="1" applyBorder="1" applyAlignment="1" applyProtection="1">
      <alignment horizontal="left" vertical="top"/>
      <protection locked="0"/>
    </xf>
    <xf numFmtId="0" fontId="39" fillId="0" borderId="48" xfId="0" applyFont="1" applyBorder="1" applyAlignment="1" applyProtection="1">
      <alignment horizontal="left" vertical="top"/>
      <protection locked="0"/>
    </xf>
    <xf numFmtId="0" fontId="39" fillId="0" borderId="3" xfId="0" applyFont="1" applyBorder="1" applyAlignment="1" applyProtection="1">
      <alignment horizontal="left" vertical="top"/>
      <protection locked="0"/>
    </xf>
    <xf numFmtId="0" fontId="33" fillId="12" borderId="45" xfId="0" applyFont="1" applyFill="1" applyBorder="1" applyAlignment="1">
      <alignment horizontal="left" vertical="top"/>
    </xf>
    <xf numFmtId="0" fontId="33" fillId="12" borderId="21" xfId="0" applyFont="1" applyFill="1" applyBorder="1" applyAlignment="1">
      <alignment horizontal="left" vertical="top"/>
    </xf>
    <xf numFmtId="0" fontId="62" fillId="0" borderId="47" xfId="0" applyFont="1" applyBorder="1" applyAlignment="1" applyProtection="1">
      <alignment horizontal="right" vertical="top"/>
      <protection locked="0"/>
    </xf>
    <xf numFmtId="0" fontId="62" fillId="0" borderId="1" xfId="0" applyFont="1" applyBorder="1" applyAlignment="1" applyProtection="1">
      <alignment horizontal="right" vertical="top"/>
      <protection locked="0"/>
    </xf>
    <xf numFmtId="9" fontId="33" fillId="0" borderId="16" xfId="0" applyNumberFormat="1" applyFont="1" applyBorder="1" applyAlignment="1">
      <alignment horizontal="center" vertical="top" wrapText="1"/>
    </xf>
    <xf numFmtId="9" fontId="33" fillId="0" borderId="50" xfId="0" applyNumberFormat="1" applyFont="1" applyBorder="1" applyAlignment="1">
      <alignment horizontal="center" vertical="top" wrapText="1"/>
    </xf>
    <xf numFmtId="0" fontId="49" fillId="0" borderId="47" xfId="3" applyFont="1" applyFill="1" applyBorder="1" applyAlignment="1" applyProtection="1">
      <alignment horizontal="left" vertical="top"/>
      <protection locked="0"/>
    </xf>
    <xf numFmtId="0" fontId="49" fillId="0" borderId="1" xfId="3" applyFont="1" applyFill="1" applyBorder="1" applyAlignment="1" applyProtection="1">
      <alignment horizontal="left" vertical="top"/>
      <protection locked="0"/>
    </xf>
    <xf numFmtId="0" fontId="33" fillId="12" borderId="45" xfId="0" applyFont="1" applyFill="1" applyBorder="1" applyAlignment="1" applyProtection="1">
      <alignment horizontal="left" vertical="top"/>
      <protection locked="0"/>
    </xf>
    <xf numFmtId="0" fontId="39" fillId="0" borderId="45" xfId="0" applyFont="1" applyBorder="1"/>
    <xf numFmtId="0" fontId="39" fillId="0" borderId="69" xfId="0" applyFont="1" applyBorder="1"/>
    <xf numFmtId="0" fontId="39" fillId="0" borderId="56" xfId="0" applyFont="1" applyBorder="1" applyAlignment="1" applyProtection="1">
      <alignment horizontal="left" vertical="top"/>
      <protection locked="0"/>
    </xf>
    <xf numFmtId="0" fontId="39" fillId="0" borderId="40" xfId="0" applyFont="1" applyBorder="1" applyAlignment="1" applyProtection="1">
      <alignment horizontal="left" vertical="top"/>
      <protection locked="0"/>
    </xf>
    <xf numFmtId="0" fontId="39" fillId="0" borderId="49" xfId="0" applyFont="1" applyBorder="1" applyAlignment="1" applyProtection="1">
      <alignment horizontal="right" vertical="top"/>
      <protection locked="0"/>
    </xf>
    <xf numFmtId="0" fontId="39" fillId="0" borderId="59" xfId="0" applyFont="1" applyBorder="1" applyAlignment="1" applyProtection="1">
      <alignment horizontal="right" vertical="top"/>
      <protection locked="0"/>
    </xf>
    <xf numFmtId="9" fontId="39" fillId="9" borderId="10" xfId="0" applyNumberFormat="1" applyFont="1" applyFill="1" applyBorder="1" applyAlignment="1">
      <alignment horizontal="center" wrapText="1"/>
    </xf>
    <xf numFmtId="9" fontId="39" fillId="9" borderId="22" xfId="0" applyNumberFormat="1" applyFont="1" applyFill="1" applyBorder="1" applyAlignment="1">
      <alignment horizontal="center" wrapText="1"/>
    </xf>
    <xf numFmtId="9" fontId="39" fillId="9" borderId="84" xfId="0" applyNumberFormat="1" applyFont="1" applyFill="1" applyBorder="1" applyAlignment="1">
      <alignment horizontal="center" vertical="center" wrapText="1"/>
    </xf>
    <xf numFmtId="9" fontId="39" fillId="9" borderId="37" xfId="0" applyNumberFormat="1" applyFont="1" applyFill="1" applyBorder="1" applyAlignment="1">
      <alignment horizontal="center" vertical="center" wrapText="1"/>
    </xf>
    <xf numFmtId="0" fontId="80" fillId="0" borderId="3" xfId="3" applyFont="1" applyFill="1" applyBorder="1" applyAlignment="1" applyProtection="1">
      <alignment horizontal="left" vertical="top" wrapText="1"/>
      <protection locked="0"/>
    </xf>
    <xf numFmtId="0" fontId="31" fillId="0" borderId="57" xfId="0" applyFont="1" applyBorder="1" applyAlignment="1">
      <alignment horizontal="center" vertical="center" wrapText="1"/>
    </xf>
    <xf numFmtId="0" fontId="31" fillId="0" borderId="59" xfId="0" applyFont="1" applyBorder="1" applyAlignment="1">
      <alignment horizontal="center" vertical="center" wrapText="1"/>
    </xf>
    <xf numFmtId="0" fontId="31" fillId="0" borderId="63"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5" xfId="0" applyFont="1" applyBorder="1" applyAlignment="1">
      <alignment horizontal="center" vertical="center" wrapText="1"/>
    </xf>
    <xf numFmtId="0" fontId="31" fillId="0" borderId="67" xfId="0" applyFont="1" applyBorder="1" applyAlignment="1">
      <alignment horizontal="center" vertical="center" wrapText="1"/>
    </xf>
    <xf numFmtId="0" fontId="31" fillId="10" borderId="63" xfId="0" applyFont="1" applyFill="1" applyBorder="1" applyAlignment="1" applyProtection="1">
      <alignment horizontal="center" vertical="top" wrapText="1"/>
      <protection locked="0"/>
    </xf>
    <xf numFmtId="0" fontId="39" fillId="0" borderId="38" xfId="0" applyFont="1" applyBorder="1" applyAlignment="1" applyProtection="1">
      <alignment horizontal="center" vertical="top"/>
      <protection locked="0"/>
    </xf>
    <xf numFmtId="0" fontId="39" fillId="0" borderId="3" xfId="0" applyFont="1" applyBorder="1" applyAlignment="1" applyProtection="1">
      <alignment horizontal="center" vertical="top"/>
      <protection locked="0"/>
    </xf>
    <xf numFmtId="0" fontId="31" fillId="0" borderId="1" xfId="0" applyFont="1" applyBorder="1" applyAlignment="1" applyProtection="1">
      <alignment horizontal="center" vertical="top" wrapText="1"/>
      <protection locked="0"/>
    </xf>
    <xf numFmtId="0" fontId="39" fillId="0" borderId="1" xfId="0" applyFont="1" applyBorder="1" applyAlignment="1" applyProtection="1">
      <alignment horizontal="center" vertical="top"/>
      <protection locked="0"/>
    </xf>
    <xf numFmtId="0" fontId="31" fillId="0" borderId="1" xfId="0" applyFont="1" applyBorder="1" applyAlignment="1" applyProtection="1">
      <alignment horizontal="left" vertical="top" wrapText="1"/>
      <protection locked="0"/>
    </xf>
    <xf numFmtId="0" fontId="31" fillId="0" borderId="1" xfId="0" applyFont="1" applyBorder="1" applyAlignment="1">
      <alignment horizontal="center" vertical="top" wrapText="1"/>
    </xf>
    <xf numFmtId="0" fontId="31" fillId="0" borderId="40" xfId="0" applyFont="1" applyBorder="1" applyAlignment="1" applyProtection="1">
      <alignment horizontal="center" vertical="top" wrapText="1"/>
      <protection locked="0"/>
    </xf>
    <xf numFmtId="0" fontId="31" fillId="0" borderId="3" xfId="0" applyFont="1" applyBorder="1" applyAlignment="1" applyProtection="1">
      <alignment horizontal="center" vertical="top" wrapText="1"/>
      <protection locked="0"/>
    </xf>
    <xf numFmtId="0" fontId="31" fillId="0" borderId="40" xfId="0" applyFont="1" applyBorder="1" applyAlignment="1" applyProtection="1">
      <alignment horizontal="left" vertical="top" wrapText="1"/>
      <protection locked="0"/>
    </xf>
    <xf numFmtId="0" fontId="31" fillId="0" borderId="3" xfId="0" applyFont="1" applyBorder="1" applyAlignment="1" applyProtection="1">
      <alignment horizontal="left" vertical="top" wrapText="1"/>
      <protection locked="0"/>
    </xf>
    <xf numFmtId="0" fontId="39" fillId="0" borderId="40" xfId="0" applyFont="1" applyBorder="1" applyAlignment="1" applyProtection="1">
      <alignment horizontal="center" vertical="top"/>
      <protection locked="0"/>
    </xf>
    <xf numFmtId="0" fontId="31" fillId="0" borderId="38" xfId="0" applyFont="1" applyBorder="1" applyAlignment="1" applyProtection="1">
      <alignment horizontal="center" vertical="top" wrapText="1"/>
      <protection locked="0"/>
    </xf>
    <xf numFmtId="0" fontId="31" fillId="0" borderId="24" xfId="0" applyFont="1" applyBorder="1" applyAlignment="1" applyProtection="1">
      <alignment horizontal="center" vertical="top" wrapText="1"/>
      <protection locked="0"/>
    </xf>
    <xf numFmtId="0" fontId="31" fillId="0" borderId="24" xfId="0" applyFont="1" applyBorder="1" applyAlignment="1" applyProtection="1">
      <alignment horizontal="left" vertical="top" wrapText="1"/>
      <protection locked="0"/>
    </xf>
    <xf numFmtId="9" fontId="31" fillId="0" borderId="40" xfId="0" applyNumberFormat="1" applyFont="1" applyBorder="1" applyAlignment="1" applyProtection="1">
      <alignment horizontal="center" vertical="top" wrapText="1"/>
      <protection locked="0"/>
    </xf>
    <xf numFmtId="9" fontId="31" fillId="0" borderId="3" xfId="0" applyNumberFormat="1" applyFont="1" applyBorder="1" applyAlignment="1" applyProtection="1">
      <alignment horizontal="center" vertical="top" wrapText="1"/>
      <protection locked="0"/>
    </xf>
    <xf numFmtId="0" fontId="55" fillId="4" borderId="34" xfId="0" applyFont="1" applyFill="1" applyBorder="1" applyAlignment="1" applyProtection="1">
      <alignment horizontal="center" vertical="top"/>
      <protection locked="0"/>
    </xf>
    <xf numFmtId="0" fontId="55" fillId="4" borderId="30" xfId="0" applyFont="1" applyFill="1" applyBorder="1" applyAlignment="1" applyProtection="1">
      <alignment horizontal="center" vertical="top"/>
      <protection locked="0"/>
    </xf>
    <xf numFmtId="0" fontId="55" fillId="4" borderId="64" xfId="0" applyFont="1" applyFill="1" applyBorder="1" applyAlignment="1" applyProtection="1">
      <alignment horizontal="center" vertical="top"/>
      <protection locked="0"/>
    </xf>
    <xf numFmtId="0" fontId="56" fillId="7" borderId="11" xfId="0" applyFont="1" applyFill="1" applyBorder="1" applyAlignment="1" applyProtection="1">
      <alignment horizontal="center" vertical="top" wrapText="1"/>
      <protection locked="0"/>
    </xf>
    <xf numFmtId="0" fontId="56" fillId="7" borderId="10" xfId="0" applyFont="1" applyFill="1" applyBorder="1" applyAlignment="1" applyProtection="1">
      <alignment horizontal="center" vertical="top" wrapText="1"/>
      <protection locked="0"/>
    </xf>
    <xf numFmtId="0" fontId="38" fillId="0" borderId="11" xfId="0" applyFont="1" applyBorder="1" applyAlignment="1" applyProtection="1">
      <alignment vertical="top"/>
      <protection locked="0"/>
    </xf>
    <xf numFmtId="0" fontId="57" fillId="7" borderId="11" xfId="0" applyFont="1" applyFill="1" applyBorder="1" applyAlignment="1" applyProtection="1">
      <alignment horizontal="center" vertical="top" textRotation="90" wrapText="1"/>
      <protection locked="0"/>
    </xf>
    <xf numFmtId="0" fontId="57" fillId="7" borderId="10" xfId="0" applyFont="1" applyFill="1" applyBorder="1" applyAlignment="1" applyProtection="1">
      <alignment horizontal="center" vertical="top" textRotation="90" wrapText="1"/>
      <protection locked="0"/>
    </xf>
    <xf numFmtId="0" fontId="31" fillId="0" borderId="11" xfId="0" applyFont="1" applyBorder="1" applyAlignment="1" applyProtection="1">
      <alignment vertical="top" textRotation="90"/>
      <protection locked="0"/>
    </xf>
    <xf numFmtId="0" fontId="31" fillId="0" borderId="11" xfId="0" applyFont="1" applyBorder="1" applyAlignment="1" applyProtection="1">
      <alignment horizontal="center" vertical="top" textRotation="90"/>
      <protection locked="0"/>
    </xf>
    <xf numFmtId="0" fontId="57" fillId="7" borderId="22" xfId="0" applyFont="1" applyFill="1" applyBorder="1" applyAlignment="1" applyProtection="1">
      <alignment horizontal="center" vertical="top" textRotation="90" wrapText="1"/>
      <protection locked="0"/>
    </xf>
    <xf numFmtId="0" fontId="57" fillId="7" borderId="12" xfId="0" applyFont="1" applyFill="1" applyBorder="1" applyAlignment="1" applyProtection="1">
      <alignment horizontal="center" vertical="top" textRotation="90" wrapText="1"/>
      <protection locked="0"/>
    </xf>
    <xf numFmtId="0" fontId="56" fillId="7" borderId="22" xfId="0" applyFont="1" applyFill="1" applyBorder="1" applyAlignment="1" applyProtection="1">
      <alignment horizontal="center" vertical="top" wrapText="1"/>
      <protection locked="0"/>
    </xf>
    <xf numFmtId="0" fontId="56" fillId="7" borderId="12" xfId="0" applyFont="1" applyFill="1" applyBorder="1" applyAlignment="1" applyProtection="1">
      <alignment horizontal="center" vertical="top" wrapText="1"/>
      <protection locked="0"/>
    </xf>
    <xf numFmtId="0" fontId="32" fillId="6" borderId="34" xfId="0" applyFont="1" applyFill="1" applyBorder="1" applyAlignment="1" applyProtection="1">
      <alignment horizontal="center" vertical="top"/>
      <protection locked="0"/>
    </xf>
    <xf numFmtId="0" fontId="32" fillId="6" borderId="30" xfId="0" applyFont="1" applyFill="1" applyBorder="1" applyAlignment="1" applyProtection="1">
      <alignment horizontal="center" vertical="top"/>
      <protection locked="0"/>
    </xf>
    <xf numFmtId="0" fontId="32" fillId="6" borderId="64" xfId="0" applyFont="1" applyFill="1" applyBorder="1" applyAlignment="1" applyProtection="1">
      <alignment horizontal="center" vertical="top"/>
      <protection locked="0"/>
    </xf>
    <xf numFmtId="0" fontId="32" fillId="10" borderId="0" xfId="0" applyFont="1" applyFill="1" applyAlignment="1" applyProtection="1">
      <alignment horizontal="center" vertical="top"/>
      <protection locked="0"/>
    </xf>
    <xf numFmtId="0" fontId="32" fillId="16" borderId="10" xfId="0" applyFont="1" applyFill="1" applyBorder="1" applyAlignment="1" applyProtection="1">
      <alignment horizontal="center" vertical="top" wrapText="1"/>
      <protection locked="0"/>
    </xf>
    <xf numFmtId="0" fontId="32" fillId="16" borderId="22" xfId="0" applyFont="1" applyFill="1" applyBorder="1" applyAlignment="1" applyProtection="1">
      <alignment horizontal="center" vertical="top" wrapText="1"/>
      <protection locked="0"/>
    </xf>
    <xf numFmtId="0" fontId="32" fillId="16" borderId="12" xfId="0" applyFont="1" applyFill="1" applyBorder="1" applyAlignment="1" applyProtection="1">
      <alignment horizontal="center" vertical="top" wrapText="1"/>
      <protection locked="0"/>
    </xf>
    <xf numFmtId="0" fontId="31" fillId="0" borderId="40" xfId="0" applyFont="1" applyBorder="1" applyAlignment="1" applyProtection="1">
      <alignment horizontal="center" vertical="top"/>
      <protection locked="0"/>
    </xf>
    <xf numFmtId="0" fontId="31" fillId="0" borderId="3" xfId="0" applyFont="1" applyBorder="1" applyAlignment="1" applyProtection="1">
      <alignment horizontal="center" vertical="top"/>
      <protection locked="0"/>
    </xf>
    <xf numFmtId="0" fontId="31" fillId="0" borderId="40" xfId="0" applyFont="1" applyBorder="1" applyAlignment="1">
      <alignment horizontal="center" vertical="top" wrapText="1"/>
    </xf>
    <xf numFmtId="0" fontId="31" fillId="0" borderId="3" xfId="0" applyFont="1" applyBorder="1" applyAlignment="1">
      <alignment horizontal="center" vertical="top" wrapText="1"/>
    </xf>
    <xf numFmtId="0" fontId="31" fillId="0" borderId="40" xfId="0" applyFont="1" applyBorder="1" applyAlignment="1">
      <alignment horizontal="center" vertical="top"/>
    </xf>
    <xf numFmtId="0" fontId="31" fillId="0" borderId="3" xfId="0" applyFont="1" applyBorder="1" applyAlignment="1">
      <alignment horizontal="center" vertical="top"/>
    </xf>
    <xf numFmtId="0" fontId="56" fillId="17" borderId="10" xfId="0" applyFont="1" applyFill="1" applyBorder="1" applyAlignment="1" applyProtection="1">
      <alignment horizontal="center" vertical="top" wrapText="1"/>
      <protection locked="0"/>
    </xf>
    <xf numFmtId="0" fontId="56" fillId="17" borderId="22" xfId="0" applyFont="1" applyFill="1" applyBorder="1" applyAlignment="1" applyProtection="1">
      <alignment horizontal="center" vertical="top" wrapText="1"/>
      <protection locked="0"/>
    </xf>
    <xf numFmtId="0" fontId="56" fillId="17" borderId="22" xfId="0" applyFont="1" applyFill="1" applyBorder="1" applyAlignment="1" applyProtection="1">
      <alignment horizontal="center" vertical="top"/>
      <protection locked="0"/>
    </xf>
    <xf numFmtId="0" fontId="56" fillId="7" borderId="35" xfId="0" applyFont="1" applyFill="1" applyBorder="1" applyAlignment="1" applyProtection="1">
      <alignment horizontal="center" vertical="top" wrapText="1"/>
      <protection locked="0"/>
    </xf>
    <xf numFmtId="0" fontId="56" fillId="7" borderId="62" xfId="0" applyFont="1" applyFill="1" applyBorder="1" applyAlignment="1" applyProtection="1">
      <alignment horizontal="center" vertical="top" wrapText="1"/>
      <protection locked="0"/>
    </xf>
    <xf numFmtId="0" fontId="56" fillId="7" borderId="7" xfId="0" applyFont="1" applyFill="1" applyBorder="1" applyAlignment="1" applyProtection="1">
      <alignment horizontal="center" vertical="top" wrapText="1"/>
      <protection locked="0"/>
    </xf>
    <xf numFmtId="0" fontId="56" fillId="7" borderId="13" xfId="0" applyFont="1" applyFill="1" applyBorder="1" applyAlignment="1" applyProtection="1">
      <alignment horizontal="center" vertical="top" wrapText="1"/>
      <protection locked="0"/>
    </xf>
    <xf numFmtId="0" fontId="56" fillId="7" borderId="65" xfId="0" applyFont="1" applyFill="1" applyBorder="1" applyAlignment="1" applyProtection="1">
      <alignment horizontal="center" vertical="top" wrapText="1"/>
      <protection locked="0"/>
    </xf>
    <xf numFmtId="0" fontId="56" fillId="7" borderId="66" xfId="0" applyFont="1" applyFill="1" applyBorder="1" applyAlignment="1" applyProtection="1">
      <alignment horizontal="center" vertical="top" wrapText="1"/>
      <protection locked="0"/>
    </xf>
    <xf numFmtId="0" fontId="31" fillId="0" borderId="24" xfId="0" applyFont="1" applyBorder="1" applyAlignment="1">
      <alignment horizontal="center" vertical="top" wrapText="1"/>
    </xf>
    <xf numFmtId="7" fontId="32" fillId="10" borderId="11" xfId="0" applyNumberFormat="1" applyFont="1" applyFill="1" applyBorder="1" applyAlignment="1" applyProtection="1">
      <alignment horizontal="center" vertical="top" wrapText="1"/>
      <protection locked="0"/>
    </xf>
    <xf numFmtId="7" fontId="32" fillId="10" borderId="10" xfId="0" applyNumberFormat="1" applyFont="1" applyFill="1" applyBorder="1" applyAlignment="1" applyProtection="1">
      <alignment horizontal="center" vertical="top" wrapText="1"/>
      <protection locked="0"/>
    </xf>
    <xf numFmtId="0" fontId="38" fillId="10" borderId="11" xfId="0" applyFont="1" applyFill="1" applyBorder="1" applyAlignment="1" applyProtection="1">
      <alignment vertical="top"/>
      <protection locked="0"/>
    </xf>
    <xf numFmtId="0" fontId="36" fillId="10" borderId="34" xfId="0" applyFont="1" applyFill="1" applyBorder="1" applyAlignment="1" applyProtection="1">
      <alignment horizontal="left" vertical="center" wrapText="1"/>
      <protection locked="0"/>
    </xf>
    <xf numFmtId="0" fontId="36" fillId="10" borderId="30" xfId="0" applyFont="1" applyFill="1" applyBorder="1" applyAlignment="1" applyProtection="1">
      <alignment horizontal="left" vertical="center" wrapText="1"/>
      <protection locked="0"/>
    </xf>
    <xf numFmtId="0" fontId="36" fillId="10" borderId="64" xfId="0" applyFont="1" applyFill="1" applyBorder="1" applyAlignment="1" applyProtection="1">
      <alignment horizontal="left" vertical="center" wrapText="1"/>
      <protection locked="0"/>
    </xf>
    <xf numFmtId="0" fontId="31" fillId="0" borderId="1" xfId="0" applyFont="1" applyBorder="1" applyAlignment="1" applyProtection="1">
      <alignment horizontal="center" vertical="top"/>
      <protection locked="0"/>
    </xf>
    <xf numFmtId="0" fontId="31" fillId="0" borderId="1" xfId="0" applyFont="1" applyBorder="1" applyAlignment="1">
      <alignment horizontal="center" vertical="top"/>
    </xf>
    <xf numFmtId="0" fontId="2" fillId="3" borderId="1" xfId="0" applyFont="1" applyFill="1" applyBorder="1" applyAlignment="1">
      <alignment horizontal="center" vertical="top"/>
    </xf>
    <xf numFmtId="0" fontId="44" fillId="19" borderId="0" xfId="0" applyFont="1" applyFill="1" applyAlignment="1" applyProtection="1">
      <alignment horizontal="left" vertical="top"/>
      <protection locked="0"/>
    </xf>
    <xf numFmtId="0" fontId="41" fillId="10" borderId="1" xfId="0" applyFont="1" applyFill="1" applyBorder="1" applyAlignment="1" applyProtection="1">
      <alignment horizontal="left" vertical="top"/>
      <protection locked="0"/>
    </xf>
    <xf numFmtId="7" fontId="32" fillId="10" borderId="1" xfId="1" applyNumberFormat="1" applyFont="1" applyFill="1" applyBorder="1" applyAlignment="1" applyProtection="1">
      <alignment horizontal="center" vertical="center" wrapText="1"/>
    </xf>
    <xf numFmtId="7" fontId="32" fillId="10" borderId="6" xfId="1" applyNumberFormat="1" applyFont="1" applyFill="1" applyBorder="1" applyAlignment="1" applyProtection="1">
      <alignment horizontal="center" vertical="center" wrapText="1"/>
    </xf>
    <xf numFmtId="0" fontId="33" fillId="12" borderId="52" xfId="0" applyFont="1" applyFill="1" applyBorder="1" applyAlignment="1" applyProtection="1">
      <alignment horizontal="left" vertical="top"/>
      <protection locked="0"/>
    </xf>
    <xf numFmtId="0" fontId="39" fillId="10" borderId="53" xfId="0" applyFont="1" applyFill="1" applyBorder="1" applyAlignment="1" applyProtection="1">
      <alignment horizontal="right" vertical="top"/>
      <protection locked="0"/>
    </xf>
    <xf numFmtId="0" fontId="45" fillId="17" borderId="34" xfId="0" applyFont="1" applyFill="1" applyBorder="1" applyAlignment="1">
      <alignment horizontal="center" vertical="top" wrapText="1"/>
    </xf>
    <xf numFmtId="0" fontId="45" fillId="17" borderId="30" xfId="0" applyFont="1" applyFill="1" applyBorder="1" applyAlignment="1">
      <alignment horizontal="center" vertical="top" wrapText="1"/>
    </xf>
    <xf numFmtId="0" fontId="45" fillId="17" borderId="64" xfId="0" applyFont="1" applyFill="1" applyBorder="1" applyAlignment="1">
      <alignment horizontal="center" vertical="top" wrapText="1"/>
    </xf>
    <xf numFmtId="0" fontId="30" fillId="0" borderId="38" xfId="0" applyFont="1" applyBorder="1" applyAlignment="1" applyProtection="1">
      <alignment horizontal="center" vertical="center" textRotation="90" wrapText="1"/>
      <protection locked="0"/>
    </xf>
    <xf numFmtId="0" fontId="30" fillId="0" borderId="3" xfId="0" applyFont="1" applyBorder="1" applyAlignment="1" applyProtection="1">
      <alignment horizontal="center" vertical="center" textRotation="90" wrapText="1"/>
      <protection locked="0"/>
    </xf>
    <xf numFmtId="0" fontId="39" fillId="10" borderId="35" xfId="0" applyFont="1" applyFill="1" applyBorder="1" applyAlignment="1" applyProtection="1">
      <alignment horizontal="right" vertical="top"/>
      <protection locked="0"/>
    </xf>
    <xf numFmtId="0" fontId="39" fillId="10" borderId="4" xfId="0" applyFont="1" applyFill="1" applyBorder="1" applyAlignment="1" applyProtection="1">
      <alignment horizontal="right" vertical="top"/>
      <protection locked="0"/>
    </xf>
    <xf numFmtId="0" fontId="39" fillId="10" borderId="40" xfId="0" applyFont="1" applyFill="1" applyBorder="1" applyAlignment="1" applyProtection="1">
      <alignment horizontal="right" vertical="top"/>
      <protection locked="0"/>
    </xf>
    <xf numFmtId="0" fontId="30" fillId="0" borderId="44" xfId="0" applyFont="1" applyBorder="1" applyAlignment="1" applyProtection="1">
      <alignment horizontal="left" vertical="top" wrapText="1"/>
      <protection locked="0"/>
    </xf>
    <xf numFmtId="0" fontId="55" fillId="4" borderId="30" xfId="0" applyFont="1" applyFill="1" applyBorder="1" applyAlignment="1" applyProtection="1">
      <alignment horizontal="left" vertical="top"/>
      <protection locked="0"/>
    </xf>
    <xf numFmtId="0" fontId="55" fillId="4" borderId="64" xfId="0" applyFont="1" applyFill="1" applyBorder="1" applyAlignment="1" applyProtection="1">
      <alignment horizontal="left" vertical="top"/>
      <protection locked="0"/>
    </xf>
    <xf numFmtId="0" fontId="55" fillId="0" borderId="34" xfId="0" applyFont="1" applyBorder="1" applyAlignment="1" applyProtection="1">
      <alignment horizontal="right" vertical="top"/>
      <protection locked="0"/>
    </xf>
    <xf numFmtId="0" fontId="55" fillId="0" borderId="30" xfId="0" applyFont="1" applyBorder="1" applyAlignment="1" applyProtection="1">
      <alignment horizontal="right" vertical="top"/>
      <protection locked="0"/>
    </xf>
    <xf numFmtId="9" fontId="33" fillId="10" borderId="16" xfId="5" applyFont="1" applyFill="1" applyBorder="1" applyAlignment="1" applyProtection="1">
      <alignment horizontal="left" vertical="top"/>
      <protection locked="0"/>
    </xf>
    <xf numFmtId="9" fontId="33" fillId="10" borderId="50" xfId="5" applyFont="1" applyFill="1" applyBorder="1" applyAlignment="1" applyProtection="1">
      <alignment horizontal="left" vertical="top"/>
      <protection locked="0"/>
    </xf>
    <xf numFmtId="0" fontId="33" fillId="12" borderId="67" xfId="0" applyFont="1" applyFill="1" applyBorder="1" applyAlignment="1" applyProtection="1">
      <alignment horizontal="left" vertical="top"/>
      <protection locked="0"/>
    </xf>
    <xf numFmtId="0" fontId="39" fillId="10" borderId="1" xfId="0" applyFont="1" applyFill="1" applyBorder="1" applyAlignment="1" applyProtection="1">
      <alignment horizontal="right" vertical="top"/>
      <protection locked="0"/>
    </xf>
    <xf numFmtId="0" fontId="39" fillId="10" borderId="3" xfId="0" applyFont="1" applyFill="1" applyBorder="1" applyAlignment="1" applyProtection="1">
      <alignment horizontal="left" vertical="top"/>
      <protection locked="0"/>
    </xf>
    <xf numFmtId="0" fontId="32" fillId="9" borderId="34" xfId="0" applyFont="1" applyFill="1" applyBorder="1" applyAlignment="1" applyProtection="1">
      <alignment horizontal="center" vertical="top"/>
      <protection locked="0"/>
    </xf>
    <xf numFmtId="0" fontId="32" fillId="9" borderId="30" xfId="0" applyFont="1" applyFill="1" applyBorder="1" applyAlignment="1" applyProtection="1">
      <alignment horizontal="center" vertical="top"/>
      <protection locked="0"/>
    </xf>
    <xf numFmtId="0" fontId="32" fillId="9" borderId="64" xfId="0" applyFont="1" applyFill="1" applyBorder="1" applyAlignment="1" applyProtection="1">
      <alignment horizontal="center" vertical="top"/>
      <protection locked="0"/>
    </xf>
    <xf numFmtId="0" fontId="32" fillId="9" borderId="77" xfId="0" applyFont="1" applyFill="1" applyBorder="1" applyAlignment="1" applyProtection="1">
      <alignment horizontal="left" vertical="top"/>
      <protection locked="0"/>
    </xf>
    <xf numFmtId="0" fontId="32" fillId="9" borderId="78" xfId="0" applyFont="1" applyFill="1" applyBorder="1" applyAlignment="1" applyProtection="1">
      <alignment horizontal="left" vertical="top"/>
      <protection locked="0"/>
    </xf>
    <xf numFmtId="0" fontId="32" fillId="9" borderId="79" xfId="0" applyFont="1" applyFill="1" applyBorder="1" applyAlignment="1" applyProtection="1">
      <alignment horizontal="left" vertical="top"/>
      <protection locked="0"/>
    </xf>
    <xf numFmtId="0" fontId="39" fillId="12" borderId="80" xfId="0" applyFont="1" applyFill="1" applyBorder="1" applyAlignment="1" applyProtection="1">
      <alignment vertical="top"/>
      <protection locked="0"/>
    </xf>
    <xf numFmtId="0" fontId="39" fillId="12" borderId="4" xfId="0" applyFont="1" applyFill="1" applyBorder="1" applyAlignment="1" applyProtection="1">
      <alignment vertical="top"/>
      <protection locked="0"/>
    </xf>
    <xf numFmtId="0" fontId="39" fillId="12" borderId="81" xfId="0" applyFont="1" applyFill="1" applyBorder="1" applyAlignment="1" applyProtection="1">
      <alignment vertical="top"/>
      <protection locked="0"/>
    </xf>
    <xf numFmtId="0" fontId="39" fillId="11" borderId="33" xfId="0" applyFont="1" applyFill="1" applyBorder="1" applyAlignment="1" applyProtection="1">
      <alignment vertical="top"/>
      <protection locked="0"/>
    </xf>
    <xf numFmtId="0" fontId="39" fillId="11" borderId="0" xfId="0" applyFont="1" applyFill="1" applyAlignment="1" applyProtection="1">
      <alignment vertical="top"/>
      <protection locked="0"/>
    </xf>
    <xf numFmtId="0" fontId="39" fillId="11" borderId="41" xfId="0" applyFont="1" applyFill="1" applyBorder="1" applyAlignment="1" applyProtection="1">
      <alignment vertical="top"/>
      <protection locked="0"/>
    </xf>
    <xf numFmtId="0" fontId="39" fillId="10" borderId="67" xfId="0" applyFont="1" applyFill="1" applyBorder="1" applyAlignment="1" applyProtection="1">
      <alignment horizontal="left" vertical="top"/>
      <protection locked="0"/>
    </xf>
    <xf numFmtId="9" fontId="32" fillId="16" borderId="34" xfId="0" applyNumberFormat="1" applyFont="1" applyFill="1" applyBorder="1" applyAlignment="1" applyProtection="1">
      <alignment horizontal="center" vertical="top" wrapText="1"/>
      <protection locked="0"/>
    </xf>
    <xf numFmtId="9" fontId="32" fillId="16" borderId="62" xfId="0" applyNumberFormat="1" applyFont="1" applyFill="1" applyBorder="1" applyAlignment="1" applyProtection="1">
      <alignment horizontal="center" vertical="top" wrapText="1"/>
      <protection locked="0"/>
    </xf>
    <xf numFmtId="0" fontId="39" fillId="10" borderId="34" xfId="0" applyFont="1" applyFill="1" applyBorder="1" applyAlignment="1" applyProtection="1">
      <alignment horizontal="right" vertical="top"/>
      <protection locked="0"/>
    </xf>
    <xf numFmtId="0" fontId="39" fillId="10" borderId="30" xfId="0" applyFont="1" applyFill="1" applyBorder="1" applyAlignment="1" applyProtection="1">
      <alignment horizontal="right" vertical="top"/>
      <protection locked="0"/>
    </xf>
    <xf numFmtId="0" fontId="30" fillId="0" borderId="3" xfId="0" applyFont="1" applyBorder="1" applyAlignment="1" applyProtection="1">
      <alignment horizontal="left" vertical="top" wrapText="1"/>
      <protection locked="0"/>
    </xf>
    <xf numFmtId="0" fontId="39" fillId="10" borderId="56" xfId="0" applyFont="1" applyFill="1" applyBorder="1" applyAlignment="1" applyProtection="1">
      <alignment horizontal="right" vertical="top"/>
      <protection locked="0"/>
    </xf>
    <xf numFmtId="0" fontId="39" fillId="10" borderId="47" xfId="0" applyFont="1" applyFill="1" applyBorder="1" applyAlignment="1" applyProtection="1">
      <alignment horizontal="right" vertical="top"/>
      <protection locked="0"/>
    </xf>
    <xf numFmtId="0" fontId="45" fillId="19" borderId="74" xfId="0" applyFont="1" applyFill="1" applyBorder="1" applyAlignment="1" applyProtection="1">
      <alignment horizontal="left" vertical="top"/>
      <protection locked="0"/>
    </xf>
    <xf numFmtId="0" fontId="45" fillId="19" borderId="75" xfId="0" applyFont="1" applyFill="1" applyBorder="1" applyAlignment="1" applyProtection="1">
      <alignment horizontal="left" vertical="top"/>
      <protection locked="0"/>
    </xf>
    <xf numFmtId="0" fontId="45" fillId="19" borderId="76" xfId="0" applyFont="1" applyFill="1" applyBorder="1" applyAlignment="1" applyProtection="1">
      <alignment horizontal="left" vertical="top"/>
      <protection locked="0"/>
    </xf>
    <xf numFmtId="0" fontId="45" fillId="20" borderId="35" xfId="0" applyFont="1" applyFill="1" applyBorder="1" applyAlignment="1">
      <alignment horizontal="center" vertical="top"/>
    </xf>
    <xf numFmtId="0" fontId="45" fillId="20" borderId="4" xfId="0" applyFont="1" applyFill="1" applyBorder="1" applyAlignment="1">
      <alignment horizontal="center" vertical="top"/>
    </xf>
    <xf numFmtId="0" fontId="45" fillId="20" borderId="62" xfId="0" applyFont="1" applyFill="1" applyBorder="1" applyAlignment="1">
      <alignment horizontal="center" vertical="top"/>
    </xf>
    <xf numFmtId="0" fontId="39" fillId="13" borderId="33" xfId="0" applyFont="1" applyFill="1" applyBorder="1" applyAlignment="1" applyProtection="1">
      <alignment vertical="top"/>
      <protection locked="0"/>
    </xf>
    <xf numFmtId="0" fontId="39" fillId="13" borderId="0" xfId="0" applyFont="1" applyFill="1" applyAlignment="1" applyProtection="1">
      <alignment vertical="top"/>
      <protection locked="0"/>
    </xf>
    <xf numFmtId="0" fontId="39" fillId="13" borderId="41" xfId="0" applyFont="1" applyFill="1" applyBorder="1" applyAlignment="1" applyProtection="1">
      <alignment vertical="top"/>
      <protection locked="0"/>
    </xf>
    <xf numFmtId="0" fontId="39" fillId="15" borderId="33" xfId="0" applyFont="1" applyFill="1" applyBorder="1" applyAlignment="1" applyProtection="1">
      <alignment vertical="top"/>
      <protection locked="0"/>
    </xf>
    <xf numFmtId="0" fontId="39" fillId="15" borderId="0" xfId="0" applyFont="1" applyFill="1" applyAlignment="1" applyProtection="1">
      <alignment vertical="top"/>
      <protection locked="0"/>
    </xf>
    <xf numFmtId="0" fontId="39" fillId="15" borderId="41" xfId="0" applyFont="1" applyFill="1" applyBorder="1" applyAlignment="1" applyProtection="1">
      <alignment vertical="top"/>
      <protection locked="0"/>
    </xf>
    <xf numFmtId="0" fontId="35" fillId="9" borderId="31" xfId="0" applyFont="1" applyFill="1" applyBorder="1" applyAlignment="1">
      <alignment horizontal="center" vertical="top"/>
    </xf>
    <xf numFmtId="0" fontId="35" fillId="9" borderId="32" xfId="0" applyFont="1" applyFill="1" applyBorder="1" applyAlignment="1">
      <alignment horizontal="center" vertical="top"/>
    </xf>
    <xf numFmtId="0" fontId="39" fillId="9" borderId="35" xfId="0" applyFont="1" applyFill="1" applyBorder="1" applyAlignment="1">
      <alignment horizontal="center" vertical="top" wrapText="1"/>
    </xf>
    <xf numFmtId="0" fontId="39" fillId="9" borderId="62" xfId="0" applyFont="1" applyFill="1" applyBorder="1" applyAlignment="1">
      <alignment horizontal="center" vertical="top" wrapText="1"/>
    </xf>
    <xf numFmtId="164" fontId="44" fillId="19" borderId="10" xfId="0" applyNumberFormat="1" applyFont="1" applyFill="1" applyBorder="1" applyAlignment="1">
      <alignment horizontal="center" vertical="top" wrapText="1"/>
    </xf>
    <xf numFmtId="164" fontId="44" fillId="19" borderId="12" xfId="0" applyNumberFormat="1" applyFont="1" applyFill="1" applyBorder="1" applyAlignment="1">
      <alignment horizontal="center" vertical="top" wrapText="1"/>
    </xf>
    <xf numFmtId="165" fontId="46" fillId="0" borderId="10" xfId="0" applyNumberFormat="1" applyFont="1" applyBorder="1" applyAlignment="1">
      <alignment horizontal="center" vertical="top" wrapText="1"/>
    </xf>
    <xf numFmtId="165" fontId="46" fillId="0" borderId="12" xfId="0" applyNumberFormat="1" applyFont="1" applyBorder="1" applyAlignment="1">
      <alignment horizontal="center" vertical="top" wrapText="1"/>
    </xf>
    <xf numFmtId="0" fontId="45" fillId="20" borderId="72" xfId="0" applyFont="1" applyFill="1" applyBorder="1" applyAlignment="1" applyProtection="1">
      <alignment horizontal="left" vertical="top"/>
      <protection locked="0"/>
    </xf>
    <xf numFmtId="0" fontId="45" fillId="20" borderId="23" xfId="0" applyFont="1" applyFill="1" applyBorder="1" applyAlignment="1" applyProtection="1">
      <alignment horizontal="left" vertical="top"/>
      <protection locked="0"/>
    </xf>
    <xf numFmtId="0" fontId="45" fillId="20" borderId="73" xfId="0" applyFont="1" applyFill="1" applyBorder="1" applyAlignment="1" applyProtection="1">
      <alignment horizontal="left" vertical="top"/>
      <protection locked="0"/>
    </xf>
    <xf numFmtId="0" fontId="39" fillId="16" borderId="33" xfId="0" applyFont="1" applyFill="1" applyBorder="1" applyAlignment="1" applyProtection="1">
      <alignment horizontal="left" vertical="top" wrapText="1"/>
      <protection locked="0"/>
    </xf>
    <xf numFmtId="0" fontId="39" fillId="16" borderId="41" xfId="0" applyFont="1" applyFill="1" applyBorder="1" applyAlignment="1" applyProtection="1">
      <alignment horizontal="left" vertical="top" wrapText="1"/>
      <protection locked="0"/>
    </xf>
    <xf numFmtId="0" fontId="39" fillId="16" borderId="72" xfId="0" applyFont="1" applyFill="1" applyBorder="1" applyAlignment="1" applyProtection="1">
      <alignment horizontal="left" vertical="top" wrapText="1"/>
      <protection locked="0"/>
    </xf>
    <xf numFmtId="0" fontId="39" fillId="16" borderId="73" xfId="0" applyFont="1" applyFill="1" applyBorder="1" applyAlignment="1" applyProtection="1">
      <alignment horizontal="left" vertical="top" wrapText="1"/>
      <protection locked="0"/>
    </xf>
    <xf numFmtId="0" fontId="30" fillId="0" borderId="15" xfId="0" applyFont="1" applyBorder="1" applyAlignment="1" applyProtection="1">
      <alignment horizontal="left" vertical="top" wrapText="1"/>
      <protection locked="0"/>
    </xf>
    <xf numFmtId="0" fontId="30" fillId="0" borderId="70" xfId="0" applyFont="1" applyBorder="1" applyAlignment="1" applyProtection="1">
      <alignment horizontal="left" vertical="top" wrapText="1"/>
      <protection locked="0"/>
    </xf>
    <xf numFmtId="0" fontId="53" fillId="10" borderId="16" xfId="0" applyFont="1" applyFill="1" applyBorder="1" applyAlignment="1" applyProtection="1">
      <alignment horizontal="left" vertical="top"/>
      <protection locked="0"/>
    </xf>
    <xf numFmtId="0" fontId="53" fillId="10" borderId="19" xfId="0" applyFont="1" applyFill="1" applyBorder="1" applyAlignment="1" applyProtection="1">
      <alignment horizontal="left" vertical="top"/>
      <protection locked="0"/>
    </xf>
    <xf numFmtId="0" fontId="53" fillId="10" borderId="58" xfId="0" applyFont="1" applyFill="1" applyBorder="1" applyAlignment="1" applyProtection="1">
      <alignment horizontal="left" vertical="top"/>
      <protection locked="0"/>
    </xf>
    <xf numFmtId="0" fontId="45" fillId="19" borderId="0" xfId="0" applyFont="1" applyFill="1" applyAlignment="1" applyProtection="1">
      <alignment horizontal="left" vertical="top"/>
      <protection locked="0"/>
    </xf>
    <xf numFmtId="0" fontId="31" fillId="0" borderId="40" xfId="0" applyFont="1" applyBorder="1" applyAlignment="1" applyProtection="1">
      <alignment horizontal="center" vertical="center" wrapText="1"/>
      <protection locked="0"/>
    </xf>
    <xf numFmtId="0" fontId="31" fillId="0" borderId="3" xfId="0" applyFont="1" applyBorder="1" applyAlignment="1" applyProtection="1">
      <alignment horizontal="center" vertical="center" wrapText="1"/>
      <protection locked="0"/>
    </xf>
    <xf numFmtId="0" fontId="31" fillId="22" borderId="59" xfId="0" applyFont="1" applyFill="1" applyBorder="1" applyAlignment="1">
      <alignment horizontal="center" vertical="center" wrapText="1"/>
    </xf>
    <xf numFmtId="0" fontId="31" fillId="22" borderId="37" xfId="0" applyFont="1" applyFill="1" applyBorder="1" applyAlignment="1">
      <alignment horizontal="center" vertical="center" wrapText="1"/>
    </xf>
    <xf numFmtId="0" fontId="31" fillId="22" borderId="67" xfId="0" applyFont="1" applyFill="1" applyBorder="1" applyAlignment="1">
      <alignment horizontal="center" vertical="center" wrapText="1"/>
    </xf>
    <xf numFmtId="0" fontId="11" fillId="0" borderId="3"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164" fontId="44" fillId="19" borderId="10" xfId="0" applyNumberFormat="1" applyFont="1" applyFill="1" applyBorder="1" applyAlignment="1">
      <alignment horizontal="center" vertical="top" textRotation="90" wrapText="1"/>
    </xf>
    <xf numFmtId="164" fontId="44" fillId="19" borderId="12" xfId="0" applyNumberFormat="1" applyFont="1" applyFill="1" applyBorder="1" applyAlignment="1">
      <alignment horizontal="center" vertical="top" textRotation="90" wrapText="1"/>
    </xf>
    <xf numFmtId="164" fontId="39" fillId="0" borderId="10" xfId="0" applyNumberFormat="1" applyFont="1" applyBorder="1" applyAlignment="1">
      <alignment horizontal="center" vertical="top" wrapText="1"/>
    </xf>
    <xf numFmtId="164" fontId="39" fillId="0" borderId="12" xfId="0" applyNumberFormat="1" applyFont="1" applyBorder="1" applyAlignment="1">
      <alignment horizontal="center" vertical="top" wrapText="1"/>
    </xf>
    <xf numFmtId="0" fontId="32" fillId="10" borderId="52" xfId="0" applyFont="1" applyFill="1" applyBorder="1" applyAlignment="1">
      <alignment horizontal="center" vertical="center" wrapText="1"/>
    </xf>
    <xf numFmtId="0" fontId="39" fillId="10" borderId="51" xfId="0" applyFont="1" applyFill="1" applyBorder="1" applyAlignment="1" applyProtection="1">
      <alignment horizontal="right" vertical="top"/>
      <protection locked="0"/>
    </xf>
    <xf numFmtId="0" fontId="33" fillId="12" borderId="53" xfId="0" applyFont="1" applyFill="1" applyBorder="1" applyAlignment="1" applyProtection="1">
      <alignment horizontal="left" vertical="top"/>
      <protection locked="0"/>
    </xf>
    <xf numFmtId="0" fontId="47" fillId="20" borderId="35" xfId="0" applyFont="1" applyFill="1" applyBorder="1" applyAlignment="1">
      <alignment horizontal="center" vertical="top"/>
    </xf>
    <xf numFmtId="0" fontId="47" fillId="20" borderId="4" xfId="0" applyFont="1" applyFill="1" applyBorder="1" applyAlignment="1">
      <alignment horizontal="center" vertical="top"/>
    </xf>
    <xf numFmtId="0" fontId="47" fillId="20" borderId="62" xfId="0" applyFont="1" applyFill="1" applyBorder="1" applyAlignment="1">
      <alignment horizontal="center" vertical="top"/>
    </xf>
    <xf numFmtId="0" fontId="39" fillId="0" borderId="53" xfId="0" applyFont="1" applyBorder="1" applyAlignment="1" applyProtection="1">
      <alignment horizontal="center" vertical="top"/>
      <protection locked="0"/>
    </xf>
    <xf numFmtId="7" fontId="32" fillId="10" borderId="16" xfId="1" applyNumberFormat="1" applyFont="1" applyFill="1" applyBorder="1" applyAlignment="1" applyProtection="1">
      <alignment horizontal="center" vertical="center" wrapText="1"/>
    </xf>
    <xf numFmtId="0" fontId="33" fillId="12" borderId="1" xfId="0" applyFont="1" applyFill="1" applyBorder="1" applyAlignment="1" applyProtection="1">
      <alignment horizontal="left" vertical="top"/>
      <protection locked="0"/>
    </xf>
    <xf numFmtId="9" fontId="33" fillId="10" borderId="26" xfId="0" applyNumberFormat="1" applyFont="1" applyFill="1" applyBorder="1" applyAlignment="1">
      <alignment horizontal="left" vertical="top" wrapText="1"/>
    </xf>
    <xf numFmtId="0" fontId="33" fillId="12" borderId="40" xfId="0" applyFont="1" applyFill="1" applyBorder="1" applyAlignment="1" applyProtection="1">
      <alignment horizontal="left" vertical="top"/>
      <protection locked="0"/>
    </xf>
    <xf numFmtId="9" fontId="33" fillId="12" borderId="16" xfId="5" applyFont="1" applyFill="1" applyBorder="1" applyAlignment="1" applyProtection="1">
      <alignment horizontal="left" vertical="top"/>
      <protection locked="0"/>
    </xf>
    <xf numFmtId="9" fontId="33" fillId="12" borderId="19" xfId="5" applyFont="1" applyFill="1" applyBorder="1" applyAlignment="1" applyProtection="1">
      <alignment horizontal="left" vertical="top"/>
      <protection locked="0"/>
    </xf>
    <xf numFmtId="0" fontId="39" fillId="10" borderId="71" xfId="0" applyFont="1" applyFill="1" applyBorder="1" applyAlignment="1" applyProtection="1">
      <alignment horizontal="right" vertical="top"/>
      <protection locked="0"/>
    </xf>
    <xf numFmtId="0" fontId="39" fillId="10" borderId="2" xfId="0" applyFont="1" applyFill="1" applyBorder="1" applyAlignment="1" applyProtection="1">
      <alignment horizontal="right" vertical="top"/>
      <protection locked="0"/>
    </xf>
    <xf numFmtId="0" fontId="33" fillId="12" borderId="2" xfId="0" applyFont="1" applyFill="1" applyBorder="1" applyAlignment="1" applyProtection="1">
      <alignment horizontal="left" vertical="top"/>
      <protection locked="0"/>
    </xf>
    <xf numFmtId="0" fontId="39" fillId="10" borderId="86" xfId="0" applyFont="1" applyFill="1" applyBorder="1" applyAlignment="1" applyProtection="1">
      <alignment horizontal="right" vertical="top"/>
      <protection locked="0"/>
    </xf>
    <xf numFmtId="0" fontId="39" fillId="10" borderId="69" xfId="0" applyFont="1" applyFill="1" applyBorder="1" applyAlignment="1" applyProtection="1">
      <alignment horizontal="right" vertical="top"/>
      <protection locked="0"/>
    </xf>
    <xf numFmtId="0" fontId="33" fillId="12" borderId="3" xfId="0" applyFont="1" applyFill="1" applyBorder="1" applyAlignment="1" applyProtection="1">
      <alignment horizontal="left" vertical="top"/>
      <protection locked="0"/>
    </xf>
    <xf numFmtId="0" fontId="53" fillId="10" borderId="1" xfId="0" applyFont="1" applyFill="1" applyBorder="1" applyAlignment="1" applyProtection="1">
      <alignment horizontal="left" vertical="top"/>
      <protection locked="0"/>
    </xf>
    <xf numFmtId="0" fontId="33" fillId="0" borderId="53" xfId="0" applyFont="1" applyBorder="1" applyAlignment="1" applyProtection="1">
      <alignment horizontal="center" vertical="top"/>
      <protection locked="0"/>
    </xf>
    <xf numFmtId="0" fontId="39" fillId="10" borderId="48" xfId="0" applyFont="1" applyFill="1" applyBorder="1" applyAlignment="1" applyProtection="1">
      <alignment horizontal="left" vertical="top"/>
      <protection locked="0"/>
    </xf>
    <xf numFmtId="9" fontId="35" fillId="9" borderId="10" xfId="5" applyFont="1" applyFill="1" applyBorder="1" applyAlignment="1" applyProtection="1">
      <alignment horizontal="center" vertical="top" wrapText="1"/>
    </xf>
    <xf numFmtId="9" fontId="35" fillId="9" borderId="12" xfId="5" applyFont="1" applyFill="1" applyBorder="1" applyAlignment="1" applyProtection="1">
      <alignment horizontal="center" vertical="top" wrapText="1"/>
    </xf>
    <xf numFmtId="0" fontId="39" fillId="10" borderId="20" xfId="0" applyFont="1" applyFill="1" applyBorder="1" applyAlignment="1" applyProtection="1">
      <alignment horizontal="right" vertical="top"/>
      <protection locked="0"/>
    </xf>
    <xf numFmtId="0" fontId="33" fillId="0" borderId="52" xfId="0" applyFont="1" applyBorder="1" applyAlignment="1" applyProtection="1">
      <alignment horizontal="center" vertical="top"/>
      <protection locked="0"/>
    </xf>
    <xf numFmtId="0" fontId="33" fillId="0" borderId="61" xfId="0" applyFont="1" applyBorder="1" applyAlignment="1" applyProtection="1">
      <alignment horizontal="center" vertical="top"/>
      <protection locked="0"/>
    </xf>
    <xf numFmtId="0" fontId="39" fillId="10" borderId="35" xfId="0" applyFont="1" applyFill="1" applyBorder="1" applyAlignment="1" applyProtection="1">
      <alignment horizontal="left" vertical="top"/>
      <protection locked="0"/>
    </xf>
    <xf numFmtId="0" fontId="39" fillId="10" borderId="4" xfId="0" applyFont="1" applyFill="1" applyBorder="1" applyAlignment="1" applyProtection="1">
      <alignment horizontal="left" vertical="top"/>
      <protection locked="0"/>
    </xf>
    <xf numFmtId="0" fontId="39" fillId="10" borderId="84" xfId="0" applyFont="1" applyFill="1" applyBorder="1" applyAlignment="1" applyProtection="1">
      <alignment horizontal="left" vertical="top"/>
      <protection locked="0"/>
    </xf>
    <xf numFmtId="0" fontId="33" fillId="12" borderId="4" xfId="0" applyFont="1" applyFill="1" applyBorder="1" applyAlignment="1" applyProtection="1">
      <alignment horizontal="left" vertical="top"/>
      <protection locked="0"/>
    </xf>
    <xf numFmtId="0" fontId="33" fillId="12" borderId="84" xfId="0" applyFont="1" applyFill="1" applyBorder="1" applyAlignment="1" applyProtection="1">
      <alignment horizontal="left" vertical="top"/>
      <protection locked="0"/>
    </xf>
    <xf numFmtId="9" fontId="33" fillId="12" borderId="50" xfId="5" applyFont="1" applyFill="1" applyBorder="1" applyAlignment="1" applyProtection="1">
      <alignment horizontal="left" vertical="top"/>
      <protection locked="0"/>
    </xf>
    <xf numFmtId="0" fontId="39" fillId="10" borderId="31" xfId="0" applyFont="1" applyFill="1" applyBorder="1" applyAlignment="1" applyProtection="1">
      <alignment horizontal="right" vertical="top"/>
      <protection locked="0"/>
    </xf>
    <xf numFmtId="0" fontId="39" fillId="10" borderId="23" xfId="0" applyFont="1" applyFill="1" applyBorder="1" applyAlignment="1" applyProtection="1">
      <alignment horizontal="right" vertical="top"/>
      <protection locked="0"/>
    </xf>
    <xf numFmtId="0" fontId="39" fillId="10" borderId="87" xfId="0" applyFont="1" applyFill="1" applyBorder="1" applyAlignment="1" applyProtection="1">
      <alignment horizontal="right" vertical="top"/>
      <protection locked="0"/>
    </xf>
    <xf numFmtId="0" fontId="39" fillId="12" borderId="45" xfId="0" applyFont="1" applyFill="1" applyBorder="1" applyAlignment="1" applyProtection="1">
      <alignment horizontal="center" vertical="top"/>
      <protection locked="0"/>
    </xf>
    <xf numFmtId="0" fontId="39" fillId="12" borderId="21" xfId="0" applyFont="1" applyFill="1" applyBorder="1" applyAlignment="1" applyProtection="1">
      <alignment horizontal="center" vertical="top"/>
      <protection locked="0"/>
    </xf>
    <xf numFmtId="0" fontId="39" fillId="12" borderId="69" xfId="0" applyFont="1" applyFill="1" applyBorder="1" applyAlignment="1" applyProtection="1">
      <alignment horizontal="center" vertical="top"/>
      <protection locked="0"/>
    </xf>
    <xf numFmtId="0" fontId="39" fillId="12" borderId="16" xfId="0" applyFont="1" applyFill="1" applyBorder="1" applyAlignment="1" applyProtection="1">
      <alignment horizontal="center" vertical="top"/>
      <protection locked="0"/>
    </xf>
    <xf numFmtId="0" fontId="39" fillId="12" borderId="19" xfId="0" applyFont="1" applyFill="1" applyBorder="1" applyAlignment="1" applyProtection="1">
      <alignment horizontal="center" vertical="top"/>
      <protection locked="0"/>
    </xf>
    <xf numFmtId="0" fontId="39" fillId="12" borderId="58" xfId="0" applyFont="1" applyFill="1" applyBorder="1" applyAlignment="1" applyProtection="1">
      <alignment horizontal="center" vertical="top"/>
      <protection locked="0"/>
    </xf>
    <xf numFmtId="164" fontId="44" fillId="19" borderId="22" xfId="0" applyNumberFormat="1" applyFont="1" applyFill="1" applyBorder="1" applyAlignment="1">
      <alignment horizontal="center" vertical="top" textRotation="90" wrapText="1"/>
    </xf>
    <xf numFmtId="164" fontId="39" fillId="0" borderId="22" xfId="0" applyNumberFormat="1" applyFont="1" applyBorder="1" applyAlignment="1">
      <alignment horizontal="center" vertical="top" wrapText="1"/>
    </xf>
    <xf numFmtId="9" fontId="30" fillId="9" borderId="62" xfId="0" applyNumberFormat="1" applyFont="1" applyFill="1" applyBorder="1" applyAlignment="1">
      <alignment horizontal="center" vertical="top" wrapText="1"/>
    </xf>
    <xf numFmtId="9" fontId="35" fillId="9" borderId="13" xfId="0" applyNumberFormat="1" applyFont="1" applyFill="1" applyBorder="1" applyAlignment="1">
      <alignment horizontal="center" vertical="top" wrapText="1"/>
    </xf>
    <xf numFmtId="9" fontId="35" fillId="9" borderId="32" xfId="0" applyNumberFormat="1" applyFont="1" applyFill="1" applyBorder="1" applyAlignment="1">
      <alignment horizontal="center" vertical="top" wrapText="1"/>
    </xf>
    <xf numFmtId="9" fontId="35" fillId="9" borderId="10" xfId="0" applyNumberFormat="1" applyFont="1" applyFill="1" applyBorder="1" applyAlignment="1">
      <alignment horizontal="center" vertical="top" wrapText="1"/>
    </xf>
    <xf numFmtId="9" fontId="35" fillId="9" borderId="22" xfId="0" applyNumberFormat="1" applyFont="1" applyFill="1" applyBorder="1" applyAlignment="1">
      <alignment horizontal="center" vertical="top" wrapText="1"/>
    </xf>
    <xf numFmtId="9" fontId="35" fillId="9" borderId="12" xfId="0" applyNumberFormat="1" applyFont="1" applyFill="1" applyBorder="1" applyAlignment="1">
      <alignment horizontal="center" vertical="top" wrapText="1"/>
    </xf>
    <xf numFmtId="9" fontId="39" fillId="9" borderId="22" xfId="0" applyNumberFormat="1" applyFont="1" applyFill="1" applyBorder="1" applyAlignment="1">
      <alignment horizontal="center" vertical="top" wrapText="1"/>
    </xf>
    <xf numFmtId="0" fontId="35" fillId="9" borderId="10" xfId="0" applyFont="1" applyFill="1" applyBorder="1" applyAlignment="1">
      <alignment horizontal="center" vertical="top" wrapText="1"/>
    </xf>
    <xf numFmtId="0" fontId="35" fillId="9" borderId="22" xfId="0" applyFont="1" applyFill="1" applyBorder="1" applyAlignment="1">
      <alignment horizontal="center" vertical="top" wrapText="1"/>
    </xf>
    <xf numFmtId="0" fontId="35" fillId="9" borderId="12" xfId="0" applyFont="1" applyFill="1" applyBorder="1" applyAlignment="1">
      <alignment horizontal="center" vertical="top" wrapText="1"/>
    </xf>
    <xf numFmtId="2" fontId="35" fillId="9" borderId="22" xfId="0" applyNumberFormat="1" applyFont="1" applyFill="1" applyBorder="1" applyAlignment="1">
      <alignment horizontal="center" vertical="top" wrapText="1"/>
    </xf>
    <xf numFmtId="9" fontId="35" fillId="9" borderId="22" xfId="5" applyFont="1" applyFill="1" applyBorder="1" applyAlignment="1" applyProtection="1">
      <alignment horizontal="center" vertical="top" wrapText="1"/>
    </xf>
    <xf numFmtId="165" fontId="39" fillId="16" borderId="35" xfId="0" applyNumberFormat="1" applyFont="1" applyFill="1" applyBorder="1" applyAlignment="1" applyProtection="1">
      <alignment horizontal="center" vertical="top" wrapText="1"/>
      <protection locked="0"/>
    </xf>
    <xf numFmtId="165" fontId="39" fillId="16" borderId="31" xfId="0" applyNumberFormat="1" applyFont="1" applyFill="1" applyBorder="1" applyAlignment="1" applyProtection="1">
      <alignment horizontal="center" vertical="top" wrapText="1"/>
      <protection locked="0"/>
    </xf>
    <xf numFmtId="0" fontId="39" fillId="9" borderId="10" xfId="0" applyFont="1" applyFill="1" applyBorder="1" applyAlignment="1">
      <alignment horizontal="center" vertical="top" wrapText="1"/>
    </xf>
    <xf numFmtId="0" fontId="39" fillId="9" borderId="22" xfId="0" applyFont="1" applyFill="1" applyBorder="1" applyAlignment="1">
      <alignment horizontal="center" vertical="top" wrapText="1"/>
    </xf>
    <xf numFmtId="0" fontId="39" fillId="9" borderId="7" xfId="0" applyFont="1" applyFill="1" applyBorder="1" applyAlignment="1">
      <alignment horizontal="center" vertical="top" wrapText="1"/>
    </xf>
    <xf numFmtId="0" fontId="39" fillId="9" borderId="13" xfId="0" applyFont="1" applyFill="1" applyBorder="1" applyAlignment="1">
      <alignment horizontal="center" vertical="top" wrapText="1"/>
    </xf>
    <xf numFmtId="0" fontId="39" fillId="9" borderId="31" xfId="0" applyFont="1" applyFill="1" applyBorder="1" applyAlignment="1">
      <alignment horizontal="center" vertical="top" wrapText="1"/>
    </xf>
    <xf numFmtId="0" fontId="39" fillId="9" borderId="32" xfId="0" applyFont="1" applyFill="1" applyBorder="1" applyAlignment="1">
      <alignment horizontal="center" vertical="top" wrapText="1"/>
    </xf>
    <xf numFmtId="2" fontId="39" fillId="9" borderId="10" xfId="0" applyNumberFormat="1" applyFont="1" applyFill="1" applyBorder="1" applyAlignment="1">
      <alignment horizontal="center" vertical="top" wrapText="1"/>
    </xf>
    <xf numFmtId="2" fontId="39" fillId="9" borderId="22" xfId="0" applyNumberFormat="1" applyFont="1" applyFill="1" applyBorder="1" applyAlignment="1">
      <alignment horizontal="center" vertical="top" wrapText="1"/>
    </xf>
    <xf numFmtId="0" fontId="39" fillId="12" borderId="52" xfId="0" applyFont="1" applyFill="1" applyBorder="1" applyAlignment="1" applyProtection="1">
      <alignment horizontal="center" vertical="top"/>
      <protection locked="0"/>
    </xf>
    <xf numFmtId="0" fontId="39" fillId="12" borderId="20" xfId="0" applyFont="1" applyFill="1" applyBorder="1" applyAlignment="1" applyProtection="1">
      <alignment horizontal="center" vertical="top"/>
      <protection locked="0"/>
    </xf>
    <xf numFmtId="0" fontId="39" fillId="12" borderId="82" xfId="0" applyFont="1" applyFill="1" applyBorder="1" applyAlignment="1" applyProtection="1">
      <alignment horizontal="center" vertical="top"/>
      <protection locked="0"/>
    </xf>
    <xf numFmtId="0" fontId="39" fillId="0" borderId="34" xfId="0" applyFont="1" applyBorder="1" applyAlignment="1">
      <alignment horizontal="center" vertical="top"/>
    </xf>
    <xf numFmtId="0" fontId="39" fillId="0" borderId="96" xfId="0" applyFont="1" applyBorder="1" applyAlignment="1">
      <alignment horizontal="center" vertical="top"/>
    </xf>
    <xf numFmtId="0" fontId="41" fillId="10" borderId="16" xfId="0" applyFont="1" applyFill="1" applyBorder="1" applyAlignment="1" applyProtection="1">
      <alignment horizontal="left" vertical="top"/>
      <protection locked="0"/>
    </xf>
    <xf numFmtId="0" fontId="41" fillId="10" borderId="19" xfId="0" applyFont="1" applyFill="1" applyBorder="1" applyAlignment="1" applyProtection="1">
      <alignment horizontal="left" vertical="top"/>
      <protection locked="0"/>
    </xf>
    <xf numFmtId="0" fontId="41" fillId="10" borderId="58" xfId="0" applyFont="1" applyFill="1" applyBorder="1" applyAlignment="1" applyProtection="1">
      <alignment horizontal="left" vertical="top"/>
      <protection locked="0"/>
    </xf>
    <xf numFmtId="0" fontId="33" fillId="10" borderId="15" xfId="0" applyFont="1" applyFill="1" applyBorder="1" applyAlignment="1">
      <alignment horizontal="left" vertical="top"/>
    </xf>
    <xf numFmtId="0" fontId="33" fillId="10" borderId="66" xfId="0" applyFont="1" applyFill="1" applyBorder="1" applyAlignment="1">
      <alignment horizontal="left" vertical="top"/>
    </xf>
    <xf numFmtId="0" fontId="39" fillId="10" borderId="65" xfId="0" applyFont="1" applyFill="1" applyBorder="1" applyAlignment="1" applyProtection="1">
      <alignment horizontal="left" vertical="top"/>
      <protection locked="0"/>
    </xf>
    <xf numFmtId="0" fontId="39" fillId="10" borderId="59" xfId="0" applyFont="1" applyFill="1" applyBorder="1" applyAlignment="1" applyProtection="1">
      <alignment horizontal="right" vertical="top"/>
      <protection locked="0"/>
    </xf>
    <xf numFmtId="0" fontId="33" fillId="12" borderId="61" xfId="0" applyFont="1" applyFill="1" applyBorder="1" applyAlignment="1" applyProtection="1">
      <alignment horizontal="left" vertical="top"/>
      <protection locked="0"/>
    </xf>
    <xf numFmtId="165" fontId="39" fillId="16" borderId="10" xfId="0" applyNumberFormat="1" applyFont="1" applyFill="1" applyBorder="1" applyAlignment="1" applyProtection="1">
      <alignment horizontal="center" vertical="top" wrapText="1"/>
      <protection locked="0"/>
    </xf>
    <xf numFmtId="165" fontId="39" fillId="16" borderId="12" xfId="0" applyNumberFormat="1" applyFont="1" applyFill="1" applyBorder="1" applyAlignment="1" applyProtection="1">
      <alignment horizontal="center" vertical="top" wrapText="1"/>
      <protection locked="0"/>
    </xf>
    <xf numFmtId="0" fontId="47" fillId="20" borderId="35" xfId="0" applyFont="1" applyFill="1" applyBorder="1" applyAlignment="1">
      <alignment horizontal="center" vertical="top" wrapText="1"/>
    </xf>
    <xf numFmtId="0" fontId="35" fillId="9" borderId="7" xfId="0" applyFont="1" applyFill="1" applyBorder="1" applyAlignment="1">
      <alignment horizontal="center" vertical="top"/>
    </xf>
    <xf numFmtId="0" fontId="35" fillId="9" borderId="13" xfId="0" applyFont="1" applyFill="1" applyBorder="1" applyAlignment="1">
      <alignment horizontal="center" vertical="top"/>
    </xf>
    <xf numFmtId="164" fontId="39" fillId="0" borderId="88" xfId="0" applyNumberFormat="1" applyFont="1" applyBorder="1" applyAlignment="1">
      <alignment horizontal="center" vertical="top" wrapText="1"/>
    </xf>
    <xf numFmtId="0" fontId="45" fillId="20" borderId="89" xfId="0" applyFont="1" applyFill="1" applyBorder="1" applyAlignment="1" applyProtection="1">
      <alignment horizontal="left" vertical="top"/>
      <protection locked="0"/>
    </xf>
    <xf numFmtId="0" fontId="45" fillId="20" borderId="90" xfId="0" applyFont="1" applyFill="1" applyBorder="1" applyAlignment="1" applyProtection="1">
      <alignment horizontal="left" vertical="top"/>
      <protection locked="0"/>
    </xf>
    <xf numFmtId="0" fontId="33" fillId="0" borderId="30" xfId="0" applyFont="1" applyBorder="1" applyAlignment="1" applyProtection="1">
      <alignment horizontal="center" vertical="top"/>
      <protection locked="0"/>
    </xf>
    <xf numFmtId="0" fontId="45" fillId="19" borderId="91" xfId="0" applyFont="1" applyFill="1" applyBorder="1" applyAlignment="1" applyProtection="1">
      <alignment horizontal="left" vertical="top"/>
      <protection locked="0"/>
    </xf>
    <xf numFmtId="0" fontId="45" fillId="19" borderId="92" xfId="0" applyFont="1" applyFill="1" applyBorder="1" applyAlignment="1" applyProtection="1">
      <alignment horizontal="left" vertical="top"/>
      <protection locked="0"/>
    </xf>
    <xf numFmtId="0" fontId="45" fillId="19" borderId="93" xfId="0" applyFont="1" applyFill="1" applyBorder="1" applyAlignment="1" applyProtection="1">
      <alignment horizontal="left" vertical="top"/>
      <protection locked="0"/>
    </xf>
    <xf numFmtId="0" fontId="30" fillId="0" borderId="45" xfId="0" applyFont="1" applyBorder="1" applyAlignment="1" applyProtection="1">
      <alignment horizontal="left" vertical="top" wrapText="1"/>
      <protection locked="0"/>
    </xf>
    <xf numFmtId="0" fontId="30" fillId="0" borderId="46" xfId="0" applyFont="1" applyBorder="1" applyAlignment="1" applyProtection="1">
      <alignment horizontal="left" vertical="top" wrapText="1"/>
      <protection locked="0"/>
    </xf>
    <xf numFmtId="0" fontId="39" fillId="0" borderId="30" xfId="0" applyFont="1" applyBorder="1" applyAlignment="1">
      <alignment horizontal="center" vertical="top"/>
    </xf>
    <xf numFmtId="1" fontId="41" fillId="0" borderId="0" xfId="0" applyNumberFormat="1" applyFont="1" applyAlignment="1" applyProtection="1">
      <alignment horizontal="left" vertical="top" wrapText="1"/>
      <protection locked="0"/>
    </xf>
    <xf numFmtId="0" fontId="52" fillId="10" borderId="1" xfId="0" applyFont="1" applyFill="1" applyBorder="1" applyAlignment="1" applyProtection="1">
      <alignment horizontal="left" vertical="top"/>
      <protection locked="0"/>
    </xf>
    <xf numFmtId="164" fontId="39" fillId="0" borderId="94" xfId="0" applyNumberFormat="1" applyFont="1" applyBorder="1" applyAlignment="1">
      <alignment horizontal="center" vertical="top" wrapText="1"/>
    </xf>
    <xf numFmtId="0" fontId="48" fillId="0" borderId="38" xfId="0" applyFont="1" applyBorder="1" applyAlignment="1" applyProtection="1">
      <alignment horizontal="center" vertical="center" textRotation="90" wrapText="1"/>
      <protection locked="0"/>
    </xf>
    <xf numFmtId="0" fontId="41" fillId="10" borderId="1" xfId="4" applyFont="1" applyFill="1" applyBorder="1" applyAlignment="1" applyProtection="1">
      <alignment horizontal="left" vertical="top"/>
      <protection locked="0"/>
    </xf>
    <xf numFmtId="0" fontId="47" fillId="17" borderId="34" xfId="4" applyFont="1" applyFill="1" applyBorder="1" applyAlignment="1">
      <alignment horizontal="center" vertical="top" wrapText="1"/>
    </xf>
    <xf numFmtId="0" fontId="47" fillId="17" borderId="30" xfId="4" applyFont="1" applyFill="1" applyBorder="1" applyAlignment="1">
      <alignment horizontal="center" vertical="top" wrapText="1"/>
    </xf>
    <xf numFmtId="0" fontId="47" fillId="17" borderId="64" xfId="4" applyFont="1" applyFill="1" applyBorder="1" applyAlignment="1">
      <alignment horizontal="center" vertical="top" wrapText="1"/>
    </xf>
    <xf numFmtId="0" fontId="45" fillId="19" borderId="0" xfId="4" applyFont="1" applyFill="1" applyAlignment="1" applyProtection="1">
      <alignment horizontal="left" vertical="top"/>
      <protection locked="0"/>
    </xf>
    <xf numFmtId="0" fontId="48" fillId="0" borderId="38" xfId="4" applyFont="1" applyBorder="1" applyAlignment="1" applyProtection="1">
      <alignment horizontal="center" vertical="center" textRotation="90" wrapText="1"/>
      <protection locked="0"/>
    </xf>
    <xf numFmtId="0" fontId="48" fillId="0" borderId="3" xfId="4" applyFont="1" applyBorder="1" applyAlignment="1" applyProtection="1">
      <alignment horizontal="center" vertical="center" textRotation="90" wrapText="1"/>
      <protection locked="0"/>
    </xf>
    <xf numFmtId="0" fontId="30" fillId="0" borderId="3" xfId="4" applyFont="1" applyBorder="1" applyAlignment="1" applyProtection="1">
      <alignment horizontal="left" vertical="top" wrapText="1"/>
      <protection locked="0"/>
    </xf>
    <xf numFmtId="0" fontId="30" fillId="0" borderId="16" xfId="4" applyFont="1" applyBorder="1" applyAlignment="1" applyProtection="1">
      <alignment horizontal="left" vertical="top" wrapText="1"/>
      <protection locked="0"/>
    </xf>
    <xf numFmtId="0" fontId="30" fillId="0" borderId="44" xfId="4" applyFont="1" applyBorder="1" applyAlignment="1" applyProtection="1">
      <alignment horizontal="left" vertical="top" wrapText="1"/>
      <protection locked="0"/>
    </xf>
    <xf numFmtId="0" fontId="30" fillId="0" borderId="1" xfId="4" applyFont="1" applyBorder="1" applyAlignment="1" applyProtection="1">
      <alignment horizontal="left" vertical="top" wrapText="1"/>
      <protection locked="0"/>
    </xf>
    <xf numFmtId="0" fontId="30" fillId="0" borderId="19" xfId="4" applyFont="1" applyBorder="1" applyAlignment="1" applyProtection="1">
      <alignment horizontal="left" vertical="top" wrapText="1"/>
      <protection locked="0"/>
    </xf>
    <xf numFmtId="0" fontId="30" fillId="0" borderId="58" xfId="4" applyFont="1" applyBorder="1" applyAlignment="1" applyProtection="1">
      <alignment horizontal="left" vertical="top" wrapText="1"/>
      <protection locked="0"/>
    </xf>
    <xf numFmtId="0" fontId="30" fillId="0" borderId="15" xfId="4" applyFont="1" applyBorder="1" applyAlignment="1" applyProtection="1">
      <alignment horizontal="left" vertical="top" wrapText="1"/>
      <protection locked="0"/>
    </xf>
    <xf numFmtId="0" fontId="30" fillId="0" borderId="70" xfId="4" applyFont="1" applyBorder="1" applyAlignment="1" applyProtection="1">
      <alignment horizontal="left" vertical="top" wrapText="1"/>
      <protection locked="0"/>
    </xf>
    <xf numFmtId="9" fontId="39" fillId="9" borderId="10" xfId="4" applyNumberFormat="1" applyFont="1" applyFill="1" applyBorder="1" applyAlignment="1">
      <alignment horizontal="center" vertical="top" wrapText="1"/>
    </xf>
    <xf numFmtId="9" fontId="39" fillId="9" borderId="12" xfId="4" applyNumberFormat="1" applyFont="1" applyFill="1" applyBorder="1" applyAlignment="1">
      <alignment horizontal="center" vertical="top" wrapText="1"/>
    </xf>
    <xf numFmtId="9" fontId="39" fillId="9" borderId="35" xfId="4" applyNumberFormat="1" applyFont="1" applyFill="1" applyBorder="1" applyAlignment="1">
      <alignment horizontal="center" vertical="top" wrapText="1"/>
    </xf>
    <xf numFmtId="9" fontId="39" fillId="9" borderId="4" xfId="4" applyNumberFormat="1" applyFont="1" applyFill="1" applyBorder="1" applyAlignment="1">
      <alignment horizontal="center" vertical="top" wrapText="1"/>
    </xf>
    <xf numFmtId="9" fontId="39" fillId="9" borderId="62" xfId="4" applyNumberFormat="1" applyFont="1" applyFill="1" applyBorder="1" applyAlignment="1">
      <alignment horizontal="center" vertical="top" wrapText="1"/>
    </xf>
    <xf numFmtId="9" fontId="39" fillId="9" borderId="31" xfId="4" applyNumberFormat="1" applyFont="1" applyFill="1" applyBorder="1" applyAlignment="1">
      <alignment horizontal="center" vertical="top" wrapText="1"/>
    </xf>
    <xf numFmtId="9" fontId="39" fillId="9" borderId="23" xfId="4" applyNumberFormat="1" applyFont="1" applyFill="1" applyBorder="1" applyAlignment="1">
      <alignment horizontal="center" vertical="top" wrapText="1"/>
    </xf>
    <xf numFmtId="9" fontId="39" fillId="9" borderId="32" xfId="4" applyNumberFormat="1" applyFont="1" applyFill="1" applyBorder="1" applyAlignment="1">
      <alignment horizontal="center" vertical="top" wrapText="1"/>
    </xf>
    <xf numFmtId="2" fontId="35" fillId="9" borderId="10" xfId="4" applyNumberFormat="1" applyFont="1" applyFill="1" applyBorder="1" applyAlignment="1">
      <alignment horizontal="center" vertical="top" wrapText="1"/>
    </xf>
    <xf numFmtId="2" fontId="35" fillId="9" borderId="12" xfId="4" applyNumberFormat="1" applyFont="1" applyFill="1" applyBorder="1" applyAlignment="1">
      <alignment horizontal="center" vertical="top" wrapText="1"/>
    </xf>
    <xf numFmtId="0" fontId="39" fillId="9" borderId="35" xfId="4" applyFont="1" applyFill="1" applyBorder="1" applyAlignment="1">
      <alignment horizontal="center" vertical="top" wrapText="1"/>
    </xf>
    <xf numFmtId="0" fontId="39" fillId="9" borderId="62" xfId="4" applyFont="1" applyFill="1" applyBorder="1" applyAlignment="1">
      <alignment horizontal="center" vertical="top" wrapText="1"/>
    </xf>
    <xf numFmtId="0" fontId="35" fillId="9" borderId="31" xfId="4" applyFont="1" applyFill="1" applyBorder="1" applyAlignment="1">
      <alignment horizontal="center" vertical="top"/>
    </xf>
    <xf numFmtId="0" fontId="35" fillId="9" borderId="32" xfId="4" applyFont="1" applyFill="1" applyBorder="1" applyAlignment="1">
      <alignment horizontal="center" vertical="top"/>
    </xf>
    <xf numFmtId="0" fontId="47" fillId="20" borderId="35" xfId="4" applyFont="1" applyFill="1" applyBorder="1" applyAlignment="1">
      <alignment horizontal="center" vertical="top"/>
    </xf>
    <xf numFmtId="0" fontId="47" fillId="20" borderId="4" xfId="4" applyFont="1" applyFill="1" applyBorder="1" applyAlignment="1">
      <alignment horizontal="center" vertical="top"/>
    </xf>
    <xf numFmtId="0" fontId="47" fillId="20" borderId="62" xfId="4" applyFont="1" applyFill="1" applyBorder="1" applyAlignment="1">
      <alignment horizontal="center" vertical="top"/>
    </xf>
    <xf numFmtId="0" fontId="47" fillId="17" borderId="34" xfId="4" applyFont="1" applyFill="1" applyBorder="1" applyAlignment="1">
      <alignment horizontal="center" vertical="top"/>
    </xf>
    <xf numFmtId="0" fontId="47" fillId="17" borderId="30" xfId="4" applyFont="1" applyFill="1" applyBorder="1" applyAlignment="1">
      <alignment horizontal="center" vertical="top"/>
    </xf>
    <xf numFmtId="0" fontId="47" fillId="17" borderId="64" xfId="4" applyFont="1" applyFill="1" applyBorder="1" applyAlignment="1">
      <alignment horizontal="center" vertical="top"/>
    </xf>
    <xf numFmtId="0" fontId="39" fillId="10" borderId="26" xfId="4" applyFont="1" applyFill="1" applyBorder="1" applyAlignment="1" applyProtection="1">
      <alignment horizontal="right" vertical="top"/>
      <protection locked="0"/>
    </xf>
    <xf numFmtId="0" fontId="45" fillId="19" borderId="33" xfId="4" applyFont="1" applyFill="1" applyBorder="1" applyAlignment="1" applyProtection="1">
      <alignment horizontal="left" vertical="top" wrapText="1"/>
      <protection locked="0"/>
    </xf>
    <xf numFmtId="0" fontId="45" fillId="19" borderId="0" xfId="4" applyFont="1" applyFill="1" applyAlignment="1" applyProtection="1">
      <alignment horizontal="left" vertical="top" wrapText="1"/>
      <protection locked="0"/>
    </xf>
    <xf numFmtId="0" fontId="45" fillId="19" borderId="41" xfId="4" applyFont="1" applyFill="1" applyBorder="1" applyAlignment="1" applyProtection="1">
      <alignment horizontal="left" vertical="top" wrapText="1"/>
      <protection locked="0"/>
    </xf>
    <xf numFmtId="0" fontId="45" fillId="19" borderId="74" xfId="4" applyFont="1" applyFill="1" applyBorder="1" applyAlignment="1" applyProtection="1">
      <alignment horizontal="left" vertical="top" wrapText="1"/>
      <protection locked="0"/>
    </xf>
    <xf numFmtId="0" fontId="45" fillId="19" borderId="75" xfId="4" applyFont="1" applyFill="1" applyBorder="1" applyAlignment="1" applyProtection="1">
      <alignment horizontal="left" vertical="top" wrapText="1"/>
      <protection locked="0"/>
    </xf>
    <xf numFmtId="0" fontId="45" fillId="19" borderId="76" xfId="4" applyFont="1" applyFill="1" applyBorder="1" applyAlignment="1" applyProtection="1">
      <alignment horizontal="left" vertical="top" wrapText="1"/>
      <protection locked="0"/>
    </xf>
    <xf numFmtId="0" fontId="39" fillId="10" borderId="21" xfId="4" applyFont="1" applyFill="1" applyBorder="1" applyAlignment="1" applyProtection="1">
      <alignment horizontal="left" vertical="top"/>
      <protection locked="0"/>
    </xf>
    <xf numFmtId="0" fontId="39" fillId="10" borderId="19" xfId="4" applyFont="1" applyFill="1" applyBorder="1" applyAlignment="1" applyProtection="1">
      <alignment horizontal="right" vertical="top"/>
      <protection locked="0"/>
    </xf>
    <xf numFmtId="0" fontId="45" fillId="20" borderId="80" xfId="4" applyFont="1" applyFill="1" applyBorder="1" applyAlignment="1" applyProtection="1">
      <alignment horizontal="left" vertical="top" wrapText="1"/>
      <protection locked="0"/>
    </xf>
    <xf numFmtId="0" fontId="45" fillId="20" borderId="4" xfId="4" applyFont="1" applyFill="1" applyBorder="1" applyAlignment="1" applyProtection="1">
      <alignment horizontal="left" vertical="top" wrapText="1"/>
      <protection locked="0"/>
    </xf>
    <xf numFmtId="0" fontId="45" fillId="20" borderId="81" xfId="4" applyFont="1" applyFill="1" applyBorder="1" applyAlignment="1" applyProtection="1">
      <alignment horizontal="left" vertical="top" wrapText="1"/>
      <protection locked="0"/>
    </xf>
    <xf numFmtId="0" fontId="45" fillId="20" borderId="33" xfId="4" applyFont="1" applyFill="1" applyBorder="1" applyAlignment="1" applyProtection="1">
      <alignment horizontal="left" vertical="top" wrapText="1"/>
      <protection locked="0"/>
    </xf>
    <xf numFmtId="0" fontId="45" fillId="20" borderId="0" xfId="4" applyFont="1" applyFill="1" applyAlignment="1" applyProtection="1">
      <alignment horizontal="left" vertical="top" wrapText="1"/>
      <protection locked="0"/>
    </xf>
    <xf numFmtId="0" fontId="45" fillId="20" borderId="41" xfId="4" applyFont="1" applyFill="1" applyBorder="1" applyAlignment="1" applyProtection="1">
      <alignment horizontal="left" vertical="top" wrapText="1"/>
      <protection locked="0"/>
    </xf>
    <xf numFmtId="0" fontId="45" fillId="10" borderId="0" xfId="4" applyFont="1" applyFill="1" applyAlignment="1" applyProtection="1">
      <alignment horizontal="left" vertical="top"/>
      <protection locked="0"/>
    </xf>
    <xf numFmtId="0" fontId="39" fillId="10" borderId="4" xfId="4" applyFont="1" applyFill="1" applyBorder="1" applyAlignment="1">
      <alignment horizontal="left" vertical="center" wrapText="1"/>
    </xf>
    <xf numFmtId="0" fontId="32" fillId="10" borderId="4" xfId="4" applyFont="1" applyFill="1" applyBorder="1" applyAlignment="1">
      <alignment horizontal="center" vertical="center" wrapText="1"/>
    </xf>
    <xf numFmtId="0" fontId="32" fillId="10" borderId="62" xfId="4" applyFont="1" applyFill="1" applyBorder="1" applyAlignment="1">
      <alignment horizontal="center" vertical="center" wrapText="1"/>
    </xf>
    <xf numFmtId="0" fontId="39" fillId="10" borderId="83" xfId="4" applyFont="1" applyFill="1" applyBorder="1" applyAlignment="1" applyProtection="1">
      <alignment horizontal="right" vertical="top"/>
      <protection locked="0"/>
    </xf>
    <xf numFmtId="0" fontId="39" fillId="10" borderId="61" xfId="4" applyFont="1" applyFill="1" applyBorder="1" applyAlignment="1" applyProtection="1">
      <alignment horizontal="right" vertical="top"/>
      <protection locked="0"/>
    </xf>
    <xf numFmtId="0" fontId="39" fillId="12" borderId="20" xfId="4" applyFont="1" applyFill="1" applyBorder="1" applyAlignment="1" applyProtection="1">
      <alignment horizontal="left" vertical="top"/>
      <protection locked="0"/>
    </xf>
    <xf numFmtId="0" fontId="39" fillId="12" borderId="82" xfId="4" applyFont="1" applyFill="1" applyBorder="1" applyAlignment="1" applyProtection="1">
      <alignment horizontal="left" vertical="top"/>
      <protection locked="0"/>
    </xf>
    <xf numFmtId="0" fontId="39" fillId="10" borderId="85" xfId="4" applyFont="1" applyFill="1" applyBorder="1" applyAlignment="1" applyProtection="1">
      <alignment horizontal="right" vertical="top"/>
      <protection locked="0"/>
    </xf>
    <xf numFmtId="0" fontId="39" fillId="10" borderId="58" xfId="4" applyFont="1" applyFill="1" applyBorder="1" applyAlignment="1" applyProtection="1">
      <alignment horizontal="right" vertical="top"/>
      <protection locked="0"/>
    </xf>
    <xf numFmtId="0" fontId="39" fillId="12" borderId="19" xfId="4" applyFont="1" applyFill="1" applyBorder="1" applyAlignment="1" applyProtection="1">
      <alignment horizontal="left" vertical="top"/>
      <protection locked="0"/>
    </xf>
    <xf numFmtId="0" fontId="39" fillId="12" borderId="58" xfId="4" applyFont="1" applyFill="1" applyBorder="1" applyAlignment="1" applyProtection="1">
      <alignment horizontal="left" vertical="top"/>
      <protection locked="0"/>
    </xf>
    <xf numFmtId="9" fontId="33" fillId="10" borderId="57" xfId="4" applyNumberFormat="1" applyFont="1" applyFill="1" applyBorder="1" applyAlignment="1">
      <alignment horizontal="left" vertical="top" wrapText="1"/>
    </xf>
    <xf numFmtId="9" fontId="33" fillId="10" borderId="55" xfId="4" applyNumberFormat="1" applyFont="1" applyFill="1" applyBorder="1" applyAlignment="1">
      <alignment horizontal="left" vertical="top" wrapText="1"/>
    </xf>
    <xf numFmtId="0" fontId="62" fillId="10" borderId="56" xfId="4" applyFont="1" applyFill="1" applyBorder="1" applyAlignment="1" applyProtection="1">
      <alignment horizontal="right" vertical="top"/>
      <protection locked="0"/>
    </xf>
    <xf numFmtId="0" fontId="62" fillId="10" borderId="40" xfId="4" applyFont="1" applyFill="1" applyBorder="1" applyAlignment="1" applyProtection="1">
      <alignment horizontal="right" vertical="top"/>
      <protection locked="0"/>
    </xf>
    <xf numFmtId="0" fontId="39" fillId="10" borderId="56" xfId="4" applyFont="1" applyFill="1" applyBorder="1" applyAlignment="1">
      <alignment horizontal="left" vertical="center" wrapText="1"/>
    </xf>
    <xf numFmtId="0" fontId="39" fillId="10" borderId="40" xfId="4" applyFont="1" applyFill="1" applyBorder="1" applyAlignment="1">
      <alignment horizontal="left" vertical="center" wrapText="1"/>
    </xf>
    <xf numFmtId="37" fontId="32" fillId="11" borderId="40" xfId="2" applyNumberFormat="1" applyFont="1" applyFill="1" applyBorder="1" applyAlignment="1" applyProtection="1">
      <alignment horizontal="center" vertical="center" wrapText="1"/>
    </xf>
    <xf numFmtId="37" fontId="32" fillId="11" borderId="29" xfId="2" applyNumberFormat="1" applyFont="1" applyFill="1" applyBorder="1" applyAlignment="1" applyProtection="1">
      <alignment horizontal="center" vertical="center" wrapText="1"/>
    </xf>
    <xf numFmtId="0" fontId="62" fillId="10" borderId="47" xfId="4" applyFont="1" applyFill="1" applyBorder="1" applyAlignment="1" applyProtection="1">
      <alignment horizontal="right" vertical="top"/>
      <protection locked="0"/>
    </xf>
    <xf numFmtId="0" fontId="62" fillId="10" borderId="1" xfId="4" applyFont="1" applyFill="1" applyBorder="1" applyAlignment="1" applyProtection="1">
      <alignment horizontal="right" vertical="top"/>
      <protection locked="0"/>
    </xf>
    <xf numFmtId="0" fontId="39" fillId="11" borderId="33" xfId="4" applyFont="1" applyFill="1" applyBorder="1" applyAlignment="1" applyProtection="1">
      <alignment horizontal="left" vertical="top" wrapText="1"/>
      <protection locked="0"/>
    </xf>
    <xf numFmtId="0" fontId="39" fillId="11" borderId="0" xfId="4" applyFont="1" applyFill="1" applyAlignment="1" applyProtection="1">
      <alignment horizontal="left" vertical="top" wrapText="1"/>
      <protection locked="0"/>
    </xf>
    <xf numFmtId="0" fontId="39" fillId="11" borderId="41" xfId="4" applyFont="1" applyFill="1" applyBorder="1" applyAlignment="1" applyProtection="1">
      <alignment horizontal="left" vertical="top" wrapText="1"/>
      <protection locked="0"/>
    </xf>
    <xf numFmtId="0" fontId="39" fillId="11" borderId="72" xfId="4" applyFont="1" applyFill="1" applyBorder="1" applyAlignment="1" applyProtection="1">
      <alignment horizontal="left" vertical="top" wrapText="1"/>
      <protection locked="0"/>
    </xf>
    <xf numFmtId="0" fontId="39" fillId="11" borderId="23" xfId="4" applyFont="1" applyFill="1" applyBorder="1" applyAlignment="1" applyProtection="1">
      <alignment horizontal="left" vertical="top" wrapText="1"/>
      <protection locked="0"/>
    </xf>
    <xf numFmtId="0" fontId="39" fillId="11" borderId="73" xfId="4" applyFont="1" applyFill="1" applyBorder="1" applyAlignment="1" applyProtection="1">
      <alignment horizontal="left" vertical="top" wrapText="1"/>
      <protection locked="0"/>
    </xf>
    <xf numFmtId="0" fontId="39" fillId="10" borderId="47" xfId="4" applyFont="1" applyFill="1" applyBorder="1" applyAlignment="1" applyProtection="1">
      <alignment horizontal="left" vertical="top"/>
      <protection locked="0"/>
    </xf>
    <xf numFmtId="0" fontId="39" fillId="10" borderId="1" xfId="4" applyFont="1" applyFill="1" applyBorder="1" applyAlignment="1" applyProtection="1">
      <alignment horizontal="left" vertical="top"/>
      <protection locked="0"/>
    </xf>
    <xf numFmtId="14" fontId="33" fillId="12" borderId="16" xfId="4" applyNumberFormat="1" applyFont="1" applyFill="1" applyBorder="1" applyAlignment="1" applyProtection="1">
      <alignment horizontal="left" vertical="top"/>
      <protection locked="0"/>
    </xf>
    <xf numFmtId="0" fontId="33" fillId="12" borderId="50" xfId="4" applyFont="1" applyFill="1" applyBorder="1" applyAlignment="1" applyProtection="1">
      <alignment horizontal="left" vertical="top"/>
      <protection locked="0"/>
    </xf>
    <xf numFmtId="0" fontId="39" fillId="10" borderId="86" xfId="4" applyFont="1" applyFill="1" applyBorder="1" applyAlignment="1" applyProtection="1">
      <alignment horizontal="left" vertical="top"/>
      <protection locked="0"/>
    </xf>
    <xf numFmtId="0" fontId="39" fillId="10" borderId="69" xfId="4" applyFont="1" applyFill="1" applyBorder="1" applyAlignment="1" applyProtection="1">
      <alignment horizontal="left" vertical="top"/>
      <protection locked="0"/>
    </xf>
    <xf numFmtId="0" fontId="39" fillId="12" borderId="21" xfId="4" applyFont="1" applyFill="1" applyBorder="1" applyAlignment="1" applyProtection="1">
      <alignment horizontal="left" vertical="top"/>
      <protection locked="0"/>
    </xf>
    <xf numFmtId="0" fontId="39" fillId="12" borderId="69" xfId="4" applyFont="1" applyFill="1" applyBorder="1" applyAlignment="1" applyProtection="1">
      <alignment horizontal="left" vertical="top"/>
      <protection locked="0"/>
    </xf>
    <xf numFmtId="0" fontId="33" fillId="12" borderId="16" xfId="4" applyFont="1" applyFill="1" applyBorder="1" applyAlignment="1" applyProtection="1">
      <alignment horizontal="left" vertical="top"/>
      <protection locked="0"/>
    </xf>
    <xf numFmtId="0" fontId="55" fillId="0" borderId="34" xfId="4" applyFont="1" applyBorder="1" applyAlignment="1" applyProtection="1">
      <alignment horizontal="right" vertical="top"/>
      <protection locked="0"/>
    </xf>
    <xf numFmtId="0" fontId="55" fillId="0" borderId="30" xfId="4" applyFont="1" applyBorder="1" applyAlignment="1" applyProtection="1">
      <alignment horizontal="right" vertical="top"/>
      <protection locked="0"/>
    </xf>
    <xf numFmtId="0" fontId="32" fillId="9" borderId="34" xfId="4" applyFont="1" applyFill="1" applyBorder="1" applyAlignment="1" applyProtection="1">
      <alignment horizontal="center" vertical="top"/>
      <protection locked="0"/>
    </xf>
    <xf numFmtId="0" fontId="32" fillId="9" borderId="30" xfId="4" applyFont="1" applyFill="1" applyBorder="1" applyAlignment="1" applyProtection="1">
      <alignment horizontal="center" vertical="top"/>
      <protection locked="0"/>
    </xf>
    <xf numFmtId="0" fontId="32" fillId="9" borderId="64" xfId="4" applyFont="1" applyFill="1" applyBorder="1" applyAlignment="1" applyProtection="1">
      <alignment horizontal="center" vertical="top"/>
      <protection locked="0"/>
    </xf>
    <xf numFmtId="0" fontId="55" fillId="4" borderId="30" xfId="4" applyFont="1" applyFill="1" applyBorder="1" applyAlignment="1" applyProtection="1">
      <alignment horizontal="left" vertical="top"/>
      <protection locked="0"/>
    </xf>
    <xf numFmtId="0" fontId="32" fillId="9" borderId="77" xfId="4" applyFont="1" applyFill="1" applyBorder="1" applyAlignment="1" applyProtection="1">
      <alignment horizontal="left" vertical="top"/>
      <protection locked="0"/>
    </xf>
    <xf numFmtId="0" fontId="32" fillId="9" borderId="78" xfId="4" applyFont="1" applyFill="1" applyBorder="1" applyAlignment="1" applyProtection="1">
      <alignment horizontal="left" vertical="top"/>
      <protection locked="0"/>
    </xf>
    <xf numFmtId="0" fontId="32" fillId="9" borderId="79" xfId="4" applyFont="1" applyFill="1" applyBorder="1" applyAlignment="1" applyProtection="1">
      <alignment horizontal="left" vertical="top"/>
      <protection locked="0"/>
    </xf>
    <xf numFmtId="0" fontId="39" fillId="10" borderId="71" xfId="4" applyFont="1" applyFill="1" applyBorder="1" applyAlignment="1" applyProtection="1">
      <alignment horizontal="left" vertical="top"/>
      <protection locked="0"/>
    </xf>
    <xf numFmtId="0" fontId="39" fillId="10" borderId="2" xfId="4" applyFont="1" applyFill="1" applyBorder="1" applyAlignment="1" applyProtection="1">
      <alignment horizontal="left" vertical="top"/>
      <protection locked="0"/>
    </xf>
    <xf numFmtId="0" fontId="33" fillId="10" borderId="45" xfId="4" applyFont="1" applyFill="1" applyBorder="1" applyAlignment="1">
      <alignment horizontal="left" vertical="top"/>
    </xf>
    <xf numFmtId="0" fontId="33" fillId="10" borderId="68" xfId="4" applyFont="1" applyFill="1" applyBorder="1" applyAlignment="1">
      <alignment horizontal="left" vertical="top"/>
    </xf>
    <xf numFmtId="0" fontId="39" fillId="10" borderId="27" xfId="4" applyFont="1" applyFill="1" applyBorder="1" applyAlignment="1" applyProtection="1">
      <alignment horizontal="left" vertical="top"/>
      <protection locked="0"/>
    </xf>
    <xf numFmtId="0" fontId="39" fillId="12" borderId="80" xfId="4" applyFont="1" applyFill="1" applyBorder="1" applyAlignment="1" applyProtection="1">
      <alignment horizontal="left" vertical="top"/>
      <protection locked="0"/>
    </xf>
    <xf numFmtId="0" fontId="39" fillId="12" borderId="4" xfId="4" applyFont="1" applyFill="1" applyBorder="1" applyAlignment="1" applyProtection="1">
      <alignment horizontal="left" vertical="top"/>
      <protection locked="0"/>
    </xf>
    <xf numFmtId="0" fontId="39" fillId="12" borderId="81" xfId="4" applyFont="1" applyFill="1" applyBorder="1" applyAlignment="1" applyProtection="1">
      <alignment horizontal="left" vertical="top"/>
      <protection locked="0"/>
    </xf>
    <xf numFmtId="0" fontId="33" fillId="12" borderId="54" xfId="0" applyFont="1" applyFill="1" applyBorder="1" applyAlignment="1" applyProtection="1">
      <alignment horizontal="left" vertical="top"/>
      <protection locked="0"/>
    </xf>
    <xf numFmtId="0" fontId="41" fillId="0" borderId="16" xfId="0" applyFont="1" applyBorder="1" applyAlignment="1" applyProtection="1">
      <alignment horizontal="left" vertical="top" wrapText="1"/>
      <protection locked="0"/>
    </xf>
    <xf numFmtId="0" fontId="41" fillId="0" borderId="19" xfId="0" applyFont="1" applyBorder="1" applyAlignment="1" applyProtection="1">
      <alignment horizontal="left" vertical="top" wrapText="1"/>
      <protection locked="0"/>
    </xf>
    <xf numFmtId="0" fontId="41" fillId="0" borderId="58" xfId="0" applyFont="1" applyBorder="1" applyAlignment="1" applyProtection="1">
      <alignment horizontal="left" vertical="top" wrapText="1"/>
      <protection locked="0"/>
    </xf>
    <xf numFmtId="0" fontId="30" fillId="0" borderId="1" xfId="4" applyFont="1" applyBorder="1" applyAlignment="1" applyProtection="1">
      <alignment horizontal="left" vertical="top"/>
      <protection locked="0"/>
    </xf>
    <xf numFmtId="0" fontId="33" fillId="10" borderId="85" xfId="4" applyFont="1" applyFill="1" applyBorder="1" applyAlignment="1" applyProtection="1">
      <alignment horizontal="right" vertical="top"/>
      <protection locked="0"/>
    </xf>
    <xf numFmtId="0" fontId="33" fillId="10" borderId="58" xfId="4" applyFont="1" applyFill="1" applyBorder="1" applyAlignment="1" applyProtection="1">
      <alignment horizontal="right" vertical="top"/>
      <protection locked="0"/>
    </xf>
    <xf numFmtId="0" fontId="39" fillId="10" borderId="49" xfId="4" applyFont="1" applyFill="1" applyBorder="1" applyAlignment="1">
      <alignment horizontal="left" vertical="center" wrapText="1"/>
    </xf>
    <xf numFmtId="0" fontId="39" fillId="10" borderId="26" xfId="4" applyFont="1" applyFill="1" applyBorder="1" applyAlignment="1">
      <alignment horizontal="left" vertical="center" wrapText="1"/>
    </xf>
    <xf numFmtId="0" fontId="39" fillId="10" borderId="31" xfId="4" applyFont="1" applyFill="1" applyBorder="1" applyAlignment="1">
      <alignment horizontal="left" vertical="center" wrapText="1"/>
    </xf>
    <xf numFmtId="0" fontId="39" fillId="10" borderId="23" xfId="4" applyFont="1" applyFill="1" applyBorder="1" applyAlignment="1">
      <alignment horizontal="left" vertical="center" wrapText="1"/>
    </xf>
    <xf numFmtId="37" fontId="55" fillId="10" borderId="57" xfId="2" applyNumberFormat="1" applyFont="1" applyFill="1" applyBorder="1" applyAlignment="1" applyProtection="1">
      <alignment horizontal="center" vertical="center" wrapText="1"/>
    </xf>
    <xf numFmtId="37" fontId="55" fillId="10" borderId="55" xfId="2" applyNumberFormat="1" applyFont="1" applyFill="1" applyBorder="1" applyAlignment="1" applyProtection="1">
      <alignment horizontal="center" vertical="center" wrapText="1"/>
    </xf>
    <xf numFmtId="37" fontId="55" fillId="10" borderId="95" xfId="2" applyNumberFormat="1" applyFont="1" applyFill="1" applyBorder="1" applyAlignment="1" applyProtection="1">
      <alignment horizontal="center" vertical="center" wrapText="1"/>
    </xf>
    <xf numFmtId="37" fontId="55" fillId="10" borderId="32" xfId="2" applyNumberFormat="1" applyFont="1" applyFill="1" applyBorder="1" applyAlignment="1" applyProtection="1">
      <alignment horizontal="center" vertical="center" wrapText="1"/>
    </xf>
    <xf numFmtId="9" fontId="33" fillId="0" borderId="16" xfId="5" applyFont="1" applyFill="1" applyBorder="1" applyAlignment="1" applyProtection="1">
      <alignment horizontal="left" vertical="top"/>
      <protection locked="0"/>
    </xf>
    <xf numFmtId="9" fontId="33" fillId="0" borderId="50" xfId="5" applyFont="1" applyFill="1" applyBorder="1" applyAlignment="1" applyProtection="1">
      <alignment horizontal="left" vertical="top"/>
      <protection locked="0"/>
    </xf>
    <xf numFmtId="0" fontId="45" fillId="10" borderId="0" xfId="4" applyFont="1" applyFill="1" applyAlignment="1" applyProtection="1">
      <alignment horizontal="left" vertical="top" wrapText="1"/>
      <protection locked="0"/>
    </xf>
    <xf numFmtId="0" fontId="41" fillId="10" borderId="16" xfId="0" applyFont="1" applyFill="1" applyBorder="1" applyAlignment="1" applyProtection="1">
      <alignment horizontal="left" vertical="top" wrapText="1"/>
      <protection locked="0"/>
    </xf>
    <xf numFmtId="0" fontId="41" fillId="10" borderId="19" xfId="0" applyFont="1" applyFill="1" applyBorder="1" applyAlignment="1" applyProtection="1">
      <alignment horizontal="left" vertical="top" wrapText="1"/>
      <protection locked="0"/>
    </xf>
    <xf numFmtId="0" fontId="41" fillId="10" borderId="58" xfId="0" applyFont="1" applyFill="1" applyBorder="1" applyAlignment="1" applyProtection="1">
      <alignment horizontal="left" vertical="top" wrapText="1"/>
      <protection locked="0"/>
    </xf>
    <xf numFmtId="0" fontId="30" fillId="0" borderId="24" xfId="0" applyFont="1" applyBorder="1" applyAlignment="1" applyProtection="1">
      <alignment horizontal="center" vertical="center" textRotation="90" wrapText="1"/>
      <protection locked="0"/>
    </xf>
  </cellXfs>
  <cellStyles count="8">
    <cellStyle name="Currency" xfId="1" builtinId="4"/>
    <cellStyle name="Currency 2" xfId="2" xr:uid="{00000000-0005-0000-0000-000001000000}"/>
    <cellStyle name="Hyperlink" xfId="3" builtinId="8"/>
    <cellStyle name="Normal" xfId="0" builtinId="0"/>
    <cellStyle name="Normal 2" xfId="4" xr:uid="{00000000-0005-0000-0000-000004000000}"/>
    <cellStyle name="Normal 3" xfId="7" xr:uid="{00000000-0005-0000-0000-000005000000}"/>
    <cellStyle name="Percent" xfId="5" builtinId="5"/>
    <cellStyle name="Percent 2" xfId="6" xr:uid="{00000000-0005-0000-0000-000007000000}"/>
  </cellStyles>
  <dxfs count="137">
    <dxf>
      <font>
        <b/>
        <i val="0"/>
        <color theme="0"/>
      </font>
      <fill>
        <patternFill>
          <bgColor rgb="FFFF0000"/>
        </patternFill>
      </fill>
    </dxf>
    <dxf>
      <font>
        <color rgb="FFFF0000"/>
      </font>
    </dxf>
    <dxf>
      <fill>
        <patternFill>
          <bgColor indexed="22"/>
        </patternFill>
      </fill>
    </dxf>
    <dxf>
      <fill>
        <patternFill>
          <bgColor theme="0" tint="-4.9989318521683403E-2"/>
        </patternFill>
      </fill>
    </dxf>
    <dxf>
      <fill>
        <patternFill>
          <bgColor theme="0" tint="-0.24994659260841701"/>
        </patternFill>
      </fill>
    </dxf>
    <dxf>
      <fill>
        <patternFill>
          <bgColor indexed="42"/>
        </patternFill>
      </fill>
    </dxf>
    <dxf>
      <font>
        <b/>
        <i val="0"/>
        <color theme="0"/>
      </font>
      <fill>
        <patternFill>
          <bgColor rgb="FFC00000"/>
        </patternFill>
      </fill>
    </dxf>
    <dxf>
      <font>
        <b/>
        <i val="0"/>
        <color theme="0"/>
      </font>
      <fill>
        <patternFill>
          <bgColor rgb="FFFF0000"/>
        </patternFill>
      </fill>
    </dxf>
    <dxf>
      <font>
        <color rgb="FFFF0000"/>
      </font>
    </dxf>
    <dxf>
      <fill>
        <patternFill>
          <bgColor indexed="22"/>
        </patternFill>
      </fill>
    </dxf>
    <dxf>
      <fill>
        <patternFill>
          <bgColor theme="0" tint="-4.9989318521683403E-2"/>
        </patternFill>
      </fill>
    </dxf>
    <dxf>
      <fill>
        <patternFill>
          <bgColor theme="0" tint="-0.24994659260841701"/>
        </patternFill>
      </fill>
    </dxf>
    <dxf>
      <fill>
        <patternFill>
          <bgColor indexed="42"/>
        </patternFill>
      </fill>
    </dxf>
    <dxf>
      <fill>
        <patternFill>
          <bgColor indexed="41"/>
        </patternFill>
      </fill>
    </dxf>
    <dxf>
      <fill>
        <patternFill>
          <bgColor indexed="41"/>
        </patternFill>
      </fill>
    </dxf>
    <dxf>
      <font>
        <b/>
        <i val="0"/>
        <color theme="0"/>
      </font>
      <fill>
        <patternFill>
          <bgColor rgb="FFC00000"/>
        </patternFill>
      </fill>
    </dxf>
    <dxf>
      <font>
        <b/>
        <i val="0"/>
        <color theme="0"/>
      </font>
      <fill>
        <patternFill>
          <bgColor rgb="FFFF0000"/>
        </patternFill>
      </fill>
    </dxf>
    <dxf>
      <font>
        <color rgb="FFFF0000"/>
      </font>
    </dxf>
    <dxf>
      <fill>
        <patternFill>
          <bgColor indexed="22"/>
        </patternFill>
      </fill>
    </dxf>
    <dxf>
      <fill>
        <patternFill>
          <bgColor theme="0" tint="-4.9989318521683403E-2"/>
        </patternFill>
      </fill>
    </dxf>
    <dxf>
      <fill>
        <patternFill>
          <bgColor theme="0" tint="-0.24994659260841701"/>
        </patternFill>
      </fill>
    </dxf>
    <dxf>
      <fill>
        <patternFill>
          <bgColor indexed="41"/>
        </patternFill>
      </fill>
    </dxf>
    <dxf>
      <fill>
        <patternFill>
          <bgColor indexed="41"/>
        </patternFill>
      </fill>
    </dxf>
    <dxf>
      <font>
        <b/>
        <i val="0"/>
        <color theme="0"/>
      </font>
      <fill>
        <patternFill>
          <bgColor rgb="FFC00000"/>
        </patternFill>
      </fill>
    </dxf>
    <dxf>
      <font>
        <b/>
        <i val="0"/>
        <color theme="0"/>
      </font>
      <fill>
        <patternFill>
          <bgColor rgb="FFFF0000"/>
        </patternFill>
      </fill>
    </dxf>
    <dxf>
      <font>
        <color rgb="FFFF0000"/>
      </font>
    </dxf>
    <dxf>
      <fill>
        <patternFill>
          <bgColor indexed="22"/>
        </patternFill>
      </fill>
    </dxf>
    <dxf>
      <fill>
        <patternFill>
          <bgColor theme="0" tint="-4.9989318521683403E-2"/>
        </patternFill>
      </fill>
    </dxf>
    <dxf>
      <fill>
        <patternFill>
          <bgColor theme="0" tint="-0.24994659260841701"/>
        </patternFill>
      </fill>
    </dxf>
    <dxf>
      <fill>
        <patternFill>
          <bgColor indexed="42"/>
        </patternFill>
      </fill>
    </dxf>
    <dxf>
      <font>
        <b/>
        <i val="0"/>
        <color theme="0"/>
      </font>
      <fill>
        <patternFill>
          <bgColor rgb="FFFF0000"/>
        </patternFill>
      </fill>
    </dxf>
    <dxf>
      <font>
        <color rgb="FFFF0000"/>
      </font>
    </dxf>
    <dxf>
      <fill>
        <patternFill>
          <bgColor indexed="22"/>
        </patternFill>
      </fill>
    </dxf>
    <dxf>
      <fill>
        <patternFill>
          <bgColor theme="0" tint="-4.9989318521683403E-2"/>
        </patternFill>
      </fill>
    </dxf>
    <dxf>
      <fill>
        <patternFill>
          <bgColor theme="0" tint="-0.24994659260841701"/>
        </patternFill>
      </fill>
    </dxf>
    <dxf>
      <fill>
        <patternFill>
          <bgColor indexed="42"/>
        </patternFill>
      </fill>
    </dxf>
    <dxf>
      <fill>
        <patternFill>
          <bgColor indexed="41"/>
        </patternFill>
      </fill>
    </dxf>
    <dxf>
      <fill>
        <patternFill>
          <bgColor indexed="41"/>
        </patternFill>
      </fill>
    </dxf>
    <dxf>
      <font>
        <b/>
        <i val="0"/>
        <color theme="0"/>
      </font>
      <fill>
        <patternFill>
          <bgColor rgb="FFC00000"/>
        </patternFill>
      </fill>
    </dxf>
    <dxf>
      <font>
        <b/>
        <i val="0"/>
        <color theme="0"/>
      </font>
      <fill>
        <patternFill>
          <bgColor rgb="FFFF0000"/>
        </patternFill>
      </fill>
    </dxf>
    <dxf>
      <font>
        <color rgb="FFFF0000"/>
      </font>
    </dxf>
    <dxf>
      <fill>
        <patternFill>
          <bgColor indexed="22"/>
        </patternFill>
      </fill>
    </dxf>
    <dxf>
      <fill>
        <patternFill>
          <bgColor theme="0" tint="-4.9989318521683403E-2"/>
        </patternFill>
      </fill>
    </dxf>
    <dxf>
      <fill>
        <patternFill>
          <bgColor theme="0" tint="-0.24994659260841701"/>
        </patternFill>
      </fill>
    </dxf>
    <dxf>
      <fill>
        <patternFill>
          <bgColor indexed="42"/>
        </patternFill>
      </fill>
    </dxf>
    <dxf>
      <font>
        <b/>
        <i val="0"/>
        <color theme="0"/>
      </font>
      <fill>
        <patternFill>
          <bgColor rgb="FFFF0000"/>
        </patternFill>
      </fill>
    </dxf>
    <dxf>
      <font>
        <color rgb="FFFF0000"/>
      </font>
    </dxf>
    <dxf>
      <fill>
        <patternFill>
          <bgColor indexed="22"/>
        </patternFill>
      </fill>
    </dxf>
    <dxf>
      <fill>
        <patternFill>
          <bgColor theme="0" tint="-4.9989318521683403E-2"/>
        </patternFill>
      </fill>
    </dxf>
    <dxf>
      <fill>
        <patternFill>
          <bgColor theme="0" tint="-0.24994659260841701"/>
        </patternFill>
      </fill>
    </dxf>
    <dxf>
      <fill>
        <patternFill>
          <bgColor indexed="42"/>
        </patternFill>
      </fill>
    </dxf>
    <dxf>
      <font>
        <b/>
        <i val="0"/>
        <color theme="0"/>
      </font>
      <fill>
        <patternFill>
          <bgColor rgb="FFC00000"/>
        </patternFill>
      </fill>
    </dxf>
    <dxf>
      <font>
        <b/>
        <i val="0"/>
        <color theme="0"/>
      </font>
      <fill>
        <patternFill>
          <bgColor rgb="FFFF0000"/>
        </patternFill>
      </fill>
    </dxf>
    <dxf>
      <font>
        <color rgb="FFFF0000"/>
      </font>
    </dxf>
    <dxf>
      <fill>
        <patternFill>
          <bgColor indexed="22"/>
        </patternFill>
      </fill>
    </dxf>
    <dxf>
      <fill>
        <patternFill>
          <bgColor theme="0" tint="-4.9989318521683403E-2"/>
        </patternFill>
      </fill>
    </dxf>
    <dxf>
      <fill>
        <patternFill>
          <bgColor theme="0" tint="-0.24994659260841701"/>
        </patternFill>
      </fill>
    </dxf>
    <dxf>
      <fill>
        <patternFill>
          <bgColor indexed="42"/>
        </patternFill>
      </fill>
    </dxf>
    <dxf>
      <font>
        <b/>
        <i val="0"/>
        <color theme="0"/>
      </font>
      <fill>
        <patternFill>
          <bgColor rgb="FFC00000"/>
        </patternFill>
      </fill>
    </dxf>
    <dxf>
      <font>
        <b/>
        <i val="0"/>
        <color theme="0"/>
      </font>
      <fill>
        <patternFill>
          <bgColor rgb="FFFF0000"/>
        </patternFill>
      </fill>
    </dxf>
    <dxf>
      <font>
        <color rgb="FFFF0000"/>
      </font>
    </dxf>
    <dxf>
      <fill>
        <patternFill>
          <bgColor indexed="22"/>
        </patternFill>
      </fill>
    </dxf>
    <dxf>
      <fill>
        <patternFill>
          <bgColor theme="0" tint="-4.9989318521683403E-2"/>
        </patternFill>
      </fill>
    </dxf>
    <dxf>
      <fill>
        <patternFill>
          <bgColor theme="0" tint="-0.24994659260841701"/>
        </patternFill>
      </fill>
    </dxf>
    <dxf>
      <fill>
        <patternFill>
          <bgColor indexed="42"/>
        </patternFill>
      </fill>
    </dxf>
    <dxf>
      <font>
        <b/>
        <i val="0"/>
        <color theme="0"/>
      </font>
      <fill>
        <patternFill>
          <bgColor rgb="FFC00000"/>
        </patternFill>
      </fill>
    </dxf>
    <dxf>
      <font>
        <b/>
        <i val="0"/>
        <color theme="0"/>
      </font>
      <fill>
        <patternFill>
          <bgColor rgb="FFFF0000"/>
        </patternFill>
      </fill>
    </dxf>
    <dxf>
      <font>
        <color rgb="FFFF0000"/>
      </font>
    </dxf>
    <dxf>
      <fill>
        <patternFill>
          <bgColor indexed="22"/>
        </patternFill>
      </fill>
    </dxf>
    <dxf>
      <fill>
        <patternFill>
          <bgColor theme="0" tint="-4.9989318521683403E-2"/>
        </patternFill>
      </fill>
    </dxf>
    <dxf>
      <fill>
        <patternFill>
          <bgColor theme="0" tint="-0.24994659260841701"/>
        </patternFill>
      </fill>
    </dxf>
    <dxf>
      <fill>
        <patternFill>
          <bgColor indexed="42"/>
        </patternFill>
      </fill>
    </dxf>
    <dxf>
      <font>
        <b/>
        <i val="0"/>
        <color theme="0"/>
      </font>
      <fill>
        <patternFill>
          <bgColor rgb="FFC00000"/>
        </patternFill>
      </fill>
    </dxf>
    <dxf>
      <font>
        <b/>
        <i val="0"/>
        <color theme="0"/>
      </font>
      <fill>
        <patternFill>
          <bgColor rgb="FFFF0000"/>
        </patternFill>
      </fill>
    </dxf>
    <dxf>
      <font>
        <color rgb="FFFF0000"/>
      </font>
    </dxf>
    <dxf>
      <fill>
        <patternFill>
          <bgColor indexed="22"/>
        </patternFill>
      </fill>
    </dxf>
    <dxf>
      <fill>
        <patternFill>
          <bgColor theme="0" tint="-4.9989318521683403E-2"/>
        </patternFill>
      </fill>
    </dxf>
    <dxf>
      <fill>
        <patternFill>
          <bgColor theme="0" tint="-0.24994659260841701"/>
        </patternFill>
      </fill>
    </dxf>
    <dxf>
      <fill>
        <patternFill>
          <bgColor indexed="42"/>
        </patternFill>
      </fill>
    </dxf>
    <dxf>
      <font>
        <b/>
        <i val="0"/>
        <color theme="0"/>
      </font>
      <fill>
        <patternFill>
          <bgColor rgb="FFC00000"/>
        </patternFill>
      </fill>
    </dxf>
    <dxf>
      <font>
        <b/>
        <i val="0"/>
        <color theme="0"/>
      </font>
      <fill>
        <patternFill>
          <bgColor rgb="FFFF0000"/>
        </patternFill>
      </fill>
    </dxf>
    <dxf>
      <font>
        <color rgb="FFFF0000"/>
      </font>
    </dxf>
    <dxf>
      <fill>
        <patternFill>
          <bgColor theme="0" tint="-0.24994659260841701"/>
        </patternFill>
      </fill>
    </dxf>
    <dxf>
      <fill>
        <patternFill>
          <bgColor indexed="22"/>
        </patternFill>
      </fill>
    </dxf>
    <dxf>
      <fill>
        <patternFill>
          <bgColor theme="0" tint="-4.9989318521683403E-2"/>
        </patternFill>
      </fill>
    </dxf>
    <dxf>
      <fill>
        <patternFill>
          <bgColor indexed="41"/>
        </patternFill>
      </fill>
    </dxf>
    <dxf>
      <fill>
        <patternFill>
          <bgColor indexed="41"/>
        </patternFill>
      </fill>
    </dxf>
    <dxf>
      <font>
        <b/>
        <i val="0"/>
        <color theme="0"/>
      </font>
      <fill>
        <patternFill>
          <bgColor rgb="FFC00000"/>
        </patternFill>
      </fill>
    </dxf>
    <dxf>
      <font>
        <b/>
        <i val="0"/>
        <color theme="0"/>
      </font>
      <fill>
        <patternFill>
          <bgColor rgb="FFFF0000"/>
        </patternFill>
      </fill>
    </dxf>
    <dxf>
      <font>
        <color rgb="FFFF0000"/>
      </font>
    </dxf>
    <dxf>
      <fill>
        <patternFill>
          <bgColor indexed="22"/>
        </patternFill>
      </fill>
    </dxf>
    <dxf>
      <fill>
        <patternFill>
          <bgColor theme="0" tint="-4.9989318521683403E-2"/>
        </patternFill>
      </fill>
    </dxf>
    <dxf>
      <fill>
        <patternFill>
          <bgColor theme="0" tint="-0.24994659260841701"/>
        </patternFill>
      </fill>
    </dxf>
    <dxf>
      <fill>
        <patternFill>
          <bgColor indexed="42"/>
        </patternFill>
      </fill>
    </dxf>
    <dxf>
      <font>
        <b/>
        <i val="0"/>
        <color theme="0"/>
      </font>
      <fill>
        <patternFill>
          <bgColor rgb="FFC00000"/>
        </patternFill>
      </fill>
    </dxf>
    <dxf>
      <font>
        <b/>
        <i val="0"/>
        <color theme="0"/>
      </font>
      <fill>
        <patternFill>
          <bgColor rgb="FFFF0000"/>
        </patternFill>
      </fill>
    </dxf>
    <dxf>
      <font>
        <color rgb="FFFF0000"/>
      </font>
    </dxf>
    <dxf>
      <fill>
        <patternFill>
          <bgColor indexed="22"/>
        </patternFill>
      </fill>
    </dxf>
    <dxf>
      <fill>
        <patternFill>
          <bgColor theme="0" tint="-4.9989318521683403E-2"/>
        </patternFill>
      </fill>
    </dxf>
    <dxf>
      <fill>
        <patternFill>
          <bgColor theme="0" tint="-0.24994659260841701"/>
        </patternFill>
      </fill>
    </dxf>
    <dxf>
      <fill>
        <patternFill>
          <bgColor indexed="42"/>
        </patternFill>
      </fill>
    </dxf>
    <dxf>
      <font>
        <b/>
        <i val="0"/>
        <color theme="0"/>
      </font>
      <fill>
        <patternFill>
          <bgColor rgb="FFC00000"/>
        </patternFill>
      </fill>
    </dxf>
    <dxf>
      <font>
        <b/>
        <i val="0"/>
        <color theme="0"/>
      </font>
      <fill>
        <patternFill>
          <bgColor rgb="FFFF0000"/>
        </patternFill>
      </fill>
    </dxf>
    <dxf>
      <font>
        <color rgb="FFFF0000"/>
      </font>
    </dxf>
    <dxf>
      <fill>
        <patternFill>
          <bgColor indexed="22"/>
        </patternFill>
      </fill>
    </dxf>
    <dxf>
      <fill>
        <patternFill>
          <bgColor theme="0" tint="-4.9989318521683403E-2"/>
        </patternFill>
      </fill>
    </dxf>
    <dxf>
      <fill>
        <patternFill>
          <bgColor theme="0" tint="-0.24994659260841701"/>
        </patternFill>
      </fill>
    </dxf>
    <dxf>
      <fill>
        <patternFill>
          <bgColor indexed="42"/>
        </patternFill>
      </fill>
    </dxf>
    <dxf>
      <fill>
        <patternFill>
          <bgColor indexed="41"/>
        </patternFill>
      </fill>
    </dxf>
    <dxf>
      <fill>
        <patternFill>
          <bgColor indexed="41"/>
        </patternFill>
      </fill>
    </dxf>
    <dxf>
      <font>
        <b/>
        <i val="0"/>
        <color theme="0"/>
      </font>
      <fill>
        <patternFill>
          <bgColor rgb="FFC00000"/>
        </patternFill>
      </fill>
    </dxf>
    <dxf>
      <font>
        <b/>
        <i val="0"/>
        <color theme="0"/>
      </font>
      <fill>
        <patternFill>
          <bgColor rgb="FFFF0000"/>
        </patternFill>
      </fill>
    </dxf>
    <dxf>
      <font>
        <color rgb="FFFF0000"/>
      </font>
    </dxf>
    <dxf>
      <fill>
        <patternFill>
          <bgColor indexed="22"/>
        </patternFill>
      </fill>
    </dxf>
    <dxf>
      <fill>
        <patternFill>
          <bgColor theme="0" tint="-4.9989318521683403E-2"/>
        </patternFill>
      </fill>
    </dxf>
    <dxf>
      <fill>
        <patternFill>
          <bgColor theme="0" tint="-0.24994659260841701"/>
        </patternFill>
      </fill>
    </dxf>
    <dxf>
      <fill>
        <patternFill>
          <bgColor indexed="42"/>
        </patternFill>
      </fill>
    </dxf>
    <dxf>
      <fill>
        <patternFill>
          <bgColor indexed="41"/>
        </patternFill>
      </fill>
    </dxf>
    <dxf>
      <fill>
        <patternFill>
          <bgColor indexed="41"/>
        </patternFill>
      </fill>
    </dxf>
    <dxf>
      <font>
        <b/>
        <i val="0"/>
        <color theme="0"/>
      </font>
      <fill>
        <patternFill>
          <bgColor rgb="FFC00000"/>
        </patternFill>
      </fill>
    </dxf>
    <dxf>
      <font>
        <color rgb="FFFF0000"/>
      </font>
    </dxf>
    <dxf>
      <fill>
        <patternFill>
          <bgColor indexed="22"/>
        </patternFill>
      </fill>
    </dxf>
    <dxf>
      <fill>
        <patternFill>
          <bgColor indexed="42"/>
        </patternFill>
      </fill>
    </dxf>
    <dxf>
      <fill>
        <patternFill>
          <bgColor indexed="41"/>
        </patternFill>
      </fill>
    </dxf>
    <dxf>
      <fill>
        <patternFill>
          <bgColor indexed="41"/>
        </patternFill>
      </fill>
    </dxf>
    <dxf>
      <font>
        <b/>
        <i val="0"/>
        <color theme="0"/>
      </font>
      <fill>
        <patternFill>
          <bgColor rgb="FFC00000"/>
        </patternFill>
      </fill>
    </dxf>
    <dxf>
      <fill>
        <patternFill>
          <bgColor theme="0" tint="-4.9989318521683403E-2"/>
        </patternFill>
      </fill>
    </dxf>
    <dxf>
      <fill>
        <patternFill>
          <bgColor theme="0" tint="-4.9989318521683403E-2"/>
        </patternFill>
      </fill>
    </dxf>
    <dxf>
      <fill>
        <patternFill>
          <bgColor indexed="22"/>
        </patternFill>
      </fill>
    </dxf>
    <dxf>
      <fill>
        <patternFill>
          <bgColor indexed="41"/>
        </patternFill>
      </fill>
    </dxf>
    <dxf>
      <fill>
        <patternFill>
          <bgColor indexed="41"/>
        </patternFill>
      </fill>
    </dxf>
    <dxf>
      <font>
        <b/>
        <i val="0"/>
        <color theme="0"/>
      </font>
      <fill>
        <patternFill>
          <bgColor rgb="FFC00000"/>
        </patternFill>
      </fill>
    </dxf>
    <dxf>
      <font>
        <color rgb="FFFF0000"/>
      </font>
    </dxf>
    <dxf>
      <fill>
        <patternFill>
          <bgColor indexed="22"/>
        </patternFill>
      </fill>
    </dxf>
    <dxf>
      <fill>
        <patternFill>
          <bgColor theme="0" tint="-0.24994659260841701"/>
        </patternFill>
      </fill>
    </dxf>
    <dxf>
      <font>
        <b/>
        <i val="0"/>
        <color theme="0"/>
      </font>
      <fill>
        <patternFill>
          <bgColor rgb="FFC00000"/>
        </patternFill>
      </fill>
    </dxf>
    <dxf>
      <fill>
        <patternFill>
          <bgColor theme="0" tint="-4.9989318521683403E-2"/>
        </patternFill>
      </fill>
    </dxf>
  </dxfs>
  <tableStyles count="0" defaultTableStyle="TableStyleMedium9" defaultPivotStyle="PivotStyleLight16"/>
  <colors>
    <mruColors>
      <color rgb="FFF9F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sharedStrings" Target="sharedString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0" Type="http://schemas.openxmlformats.org/officeDocument/2006/relationships/worksheet" Target="worksheets/sheet20.xml"/><Relationship Id="rId41" Type="http://schemas.microsoft.com/office/2017/10/relationships/person" Target="persons/perso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0</xdr:col>
      <xdr:colOff>352425</xdr:colOff>
      <xdr:row>0</xdr:row>
      <xdr:rowOff>174624</xdr:rowOff>
    </xdr:from>
    <xdr:to>
      <xdr:col>0</xdr:col>
      <xdr:colOff>4911725</xdr:colOff>
      <xdr:row>14</xdr:row>
      <xdr:rowOff>301987</xdr:rowOff>
    </xdr:to>
    <xdr:sp macro="" textlink="">
      <xdr:nvSpPr>
        <xdr:cNvPr id="2" name="Left Arrow 2">
          <a:extLst>
            <a:ext uri="{FF2B5EF4-FFF2-40B4-BE49-F238E27FC236}">
              <a16:creationId xmlns:a16="http://schemas.microsoft.com/office/drawing/2014/main" id="{0F63810D-8B83-41DC-A6FB-AC4FE4D41BCA}"/>
            </a:ext>
          </a:extLst>
        </xdr:cNvPr>
        <xdr:cNvSpPr/>
      </xdr:nvSpPr>
      <xdr:spPr bwMode="auto">
        <a:xfrm rot="10800000">
          <a:off x="352425" y="174624"/>
          <a:ext cx="4559300" cy="3061063"/>
        </a:xfrm>
        <a:prstGeom prst="leftArrow">
          <a:avLst/>
        </a:prstGeom>
        <a:solidFill>
          <a:srgbClr val="FFFFFF"/>
        </a:solidFill>
        <a:ln w="9525" cap="flat" cmpd="sng" algn="ctr">
          <a:solidFill>
            <a:srgbClr val="C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srgbClr val="FF0000"/>
              </a:solidFill>
              <a:effectLst/>
              <a:uLnTx/>
              <a:uFillTx/>
            </a:rPr>
            <a:t> 	</a:t>
          </a:r>
          <a:r>
            <a:rPr kumimoji="0" lang="en-US" sz="1600" b="1" i="0" u="none" strike="noStrike" kern="0" cap="none" spc="0" normalizeH="0" baseline="0" noProof="0">
              <a:ln>
                <a:noFill/>
              </a:ln>
              <a:solidFill>
                <a:sysClr val="windowText" lastClr="000000"/>
              </a:solidFill>
              <a:effectLst/>
              <a:uLnTx/>
              <a:uFillTx/>
            </a:rPr>
            <a:t>Case information: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noProof="0">
              <a:ln>
                <a:noFill/>
              </a:ln>
              <a:solidFill>
                <a:sysClr val="windowText" lastClr="000000"/>
              </a:solidFill>
              <a:effectLst/>
              <a:uLnTx/>
              <a:uFillTx/>
            </a:rPr>
            <a:t>	-Violation and disposition date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noProof="0">
              <a:ln>
                <a:noFill/>
              </a:ln>
              <a:solidFill>
                <a:sysClr val="windowText" lastClr="000000"/>
              </a:solidFill>
              <a:effectLst/>
              <a:uLnTx/>
              <a:uFillTx/>
            </a:rPr>
            <a:t>	-Violation code, description, type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noProof="0">
              <a:ln>
                <a:noFill/>
              </a:ln>
              <a:solidFill>
                <a:sysClr val="windowText" lastClr="000000"/>
              </a:solidFill>
              <a:effectLst/>
              <a:uLnTx/>
              <a:uFillTx/>
            </a:rPr>
            <a:t>	-Disposition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noProof="0">
              <a:ln>
                <a:noFill/>
              </a:ln>
              <a:solidFill>
                <a:sysClr val="windowText" lastClr="000000"/>
              </a:solidFill>
              <a:effectLst/>
              <a:uLnTx/>
              <a:uFillTx/>
            </a:rPr>
            <a:t>	-Arresting agency</a:t>
          </a:r>
        </a:p>
      </xdr:txBody>
    </xdr:sp>
    <xdr:clientData/>
  </xdr:twoCellAnchor>
  <xdr:twoCellAnchor>
    <xdr:from>
      <xdr:col>0</xdr:col>
      <xdr:colOff>752475</xdr:colOff>
      <xdr:row>29</xdr:row>
      <xdr:rowOff>28575</xdr:rowOff>
    </xdr:from>
    <xdr:to>
      <xdr:col>0</xdr:col>
      <xdr:colOff>5179579</xdr:colOff>
      <xdr:row>39</xdr:row>
      <xdr:rowOff>47489</xdr:rowOff>
    </xdr:to>
    <xdr:sp macro="" textlink="">
      <xdr:nvSpPr>
        <xdr:cNvPr id="3" name="Left Arrow 2">
          <a:extLst>
            <a:ext uri="{FF2B5EF4-FFF2-40B4-BE49-F238E27FC236}">
              <a16:creationId xmlns:a16="http://schemas.microsoft.com/office/drawing/2014/main" id="{F2153EC6-0E76-4B7A-8C81-944CB3079A3D}"/>
            </a:ext>
          </a:extLst>
        </xdr:cNvPr>
        <xdr:cNvSpPr/>
      </xdr:nvSpPr>
      <xdr:spPr bwMode="auto">
        <a:xfrm rot="10800000">
          <a:off x="752475" y="6000750"/>
          <a:ext cx="4427104" cy="1866764"/>
        </a:xfrm>
        <a:prstGeom prst="leftArrow">
          <a:avLst/>
        </a:prstGeom>
        <a:solidFill>
          <a:srgbClr val="FFFFFF"/>
        </a:solidFill>
        <a:ln w="9525" cap="flat" cmpd="sng" algn="ctr">
          <a:solidFill>
            <a:schemeClr val="bg1">
              <a:lumMod val="50000"/>
            </a:schemeClr>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srgbClr val="FF0000"/>
              </a:solidFill>
              <a:effectLst/>
              <a:uLnTx/>
              <a:uFillTx/>
            </a:rPr>
            <a:t> 	</a:t>
          </a:r>
          <a:r>
            <a:rPr kumimoji="0" lang="en-US" sz="1400" b="1" i="0" u="none" strike="noStrike" kern="0" cap="none" spc="0" normalizeH="0" baseline="0" noProof="0">
              <a:ln>
                <a:noFill/>
              </a:ln>
              <a:solidFill>
                <a:sysClr val="windowText" lastClr="000000"/>
              </a:solidFill>
              <a:effectLst/>
              <a:uLnTx/>
              <a:uFillTx/>
            </a:rPr>
            <a:t>Standard and case specific fees: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sysClr val="windowText" lastClr="000000"/>
              </a:solidFill>
              <a:effectLst/>
              <a:uLnTx/>
              <a:uFillTx/>
            </a:rPr>
            <a:t>	-Criminal Conviction Assessment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sysClr val="windowText" lastClr="000000"/>
              </a:solidFill>
              <a:effectLst/>
              <a:uLnTx/>
              <a:uFillTx/>
            </a:rPr>
            <a:t>	-Court Operations Assessment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sysClr val="windowText" lastClr="000000"/>
              </a:solidFill>
              <a:effectLst/>
              <a:uLnTx/>
              <a:uFillTx/>
            </a:rPr>
            <a:t>	</a:t>
          </a:r>
        </a:p>
      </xdr:txBody>
    </xdr:sp>
    <xdr:clientData/>
  </xdr:twoCellAnchor>
  <xdr:twoCellAnchor>
    <xdr:from>
      <xdr:col>21</xdr:col>
      <xdr:colOff>92075</xdr:colOff>
      <xdr:row>0</xdr:row>
      <xdr:rowOff>41274</xdr:rowOff>
    </xdr:from>
    <xdr:to>
      <xdr:col>28</xdr:col>
      <xdr:colOff>238123</xdr:colOff>
      <xdr:row>10</xdr:row>
      <xdr:rowOff>238124</xdr:rowOff>
    </xdr:to>
    <xdr:sp macro="" textlink="">
      <xdr:nvSpPr>
        <xdr:cNvPr id="4" name="Left Arrow 2">
          <a:extLst>
            <a:ext uri="{FF2B5EF4-FFF2-40B4-BE49-F238E27FC236}">
              <a16:creationId xmlns:a16="http://schemas.microsoft.com/office/drawing/2014/main" id="{105C8D16-68E0-4DBE-BCB0-7E6BE9605C5C}"/>
            </a:ext>
          </a:extLst>
        </xdr:cNvPr>
        <xdr:cNvSpPr/>
      </xdr:nvSpPr>
      <xdr:spPr bwMode="auto">
        <a:xfrm>
          <a:off x="14284325" y="41274"/>
          <a:ext cx="4413248" cy="2282825"/>
        </a:xfrm>
        <a:prstGeom prst="leftArrow">
          <a:avLst/>
        </a:prstGeom>
        <a:solidFill>
          <a:srgbClr val="FFFFFF"/>
        </a:solidFill>
        <a:ln w="9525"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0" rIns="0" bIns="0" rtlCol="0" anchor="t" upright="1"/>
        <a:lstStyle/>
        <a:p>
          <a:pPr algn="l"/>
          <a:r>
            <a:rPr lang="en-US" sz="2000" b="1">
              <a:solidFill>
                <a:sysClr val="windowText" lastClr="000000"/>
              </a:solidFill>
            </a:rPr>
            <a:t>	Case information:</a:t>
          </a:r>
        </a:p>
        <a:p>
          <a:pPr algn="l"/>
          <a:r>
            <a:rPr lang="en-US" sz="2000">
              <a:solidFill>
                <a:sysClr val="windowText" lastClr="000000"/>
              </a:solidFill>
            </a:rPr>
            <a:t>	</a:t>
          </a:r>
          <a:r>
            <a:rPr lang="en-US" sz="2000" b="0">
              <a:solidFill>
                <a:sysClr val="windowText" lastClr="000000"/>
              </a:solidFill>
            </a:rPr>
            <a:t>- </a:t>
          </a:r>
          <a:r>
            <a:rPr lang="en-US" sz="1500" b="0">
              <a:solidFill>
                <a:sysClr val="windowText" lastClr="000000"/>
              </a:solidFill>
            </a:rPr>
            <a:t>Base</a:t>
          </a:r>
          <a:r>
            <a:rPr lang="en-US" sz="1500" b="0" baseline="0">
              <a:solidFill>
                <a:sysClr val="windowText" lastClr="000000"/>
              </a:solidFill>
            </a:rPr>
            <a:t> Fine</a:t>
          </a:r>
        </a:p>
        <a:p>
          <a:pPr algn="l"/>
          <a:r>
            <a:rPr lang="en-US" sz="1500" b="0" baseline="0">
              <a:solidFill>
                <a:sysClr val="windowText" lastClr="000000"/>
              </a:solidFill>
            </a:rPr>
            <a:t>	- Enhancements </a:t>
          </a:r>
        </a:p>
        <a:p>
          <a:pPr algn="l"/>
          <a:r>
            <a:rPr lang="en-US" sz="1500" b="0" baseline="0">
              <a:solidFill>
                <a:sysClr val="windowText" lastClr="000000"/>
              </a:solidFill>
            </a:rPr>
            <a:t>	- Priors </a:t>
          </a:r>
          <a:endParaRPr lang="en-US" sz="1500" b="0">
            <a:solidFill>
              <a:sysClr val="windowText" lastClr="000000"/>
            </a:solidFill>
          </a:endParaRPr>
        </a:p>
      </xdr:txBody>
    </xdr:sp>
    <xdr:clientData/>
  </xdr:twoCellAnchor>
  <xdr:twoCellAnchor>
    <xdr:from>
      <xdr:col>0</xdr:col>
      <xdr:colOff>114298</xdr:colOff>
      <xdr:row>13</xdr:row>
      <xdr:rowOff>165095</xdr:rowOff>
    </xdr:from>
    <xdr:to>
      <xdr:col>0</xdr:col>
      <xdr:colOff>5143500</xdr:colOff>
      <xdr:row>23</xdr:row>
      <xdr:rowOff>38098</xdr:rowOff>
    </xdr:to>
    <xdr:sp macro="" textlink="">
      <xdr:nvSpPr>
        <xdr:cNvPr id="6" name="Left Arrow 2">
          <a:extLst>
            <a:ext uri="{FF2B5EF4-FFF2-40B4-BE49-F238E27FC236}">
              <a16:creationId xmlns:a16="http://schemas.microsoft.com/office/drawing/2014/main" id="{005CD348-CC4F-4B36-9702-D1AAE0E6192E}"/>
            </a:ext>
          </a:extLst>
        </xdr:cNvPr>
        <xdr:cNvSpPr/>
      </xdr:nvSpPr>
      <xdr:spPr bwMode="auto">
        <a:xfrm rot="10800000">
          <a:off x="114298" y="2860670"/>
          <a:ext cx="5029202" cy="2025653"/>
        </a:xfrm>
        <a:prstGeom prst="leftArrow">
          <a:avLst/>
        </a:prstGeom>
        <a:solidFill>
          <a:srgbClr val="FFFFFF"/>
        </a:solidFill>
        <a:ln w="9525" cap="flat" cmpd="sng" algn="ctr">
          <a:solidFill>
            <a:schemeClr val="tx2"/>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srgbClr val="FF0000"/>
              </a:solidFill>
              <a:effectLst/>
              <a:uLnTx/>
              <a:uFillTx/>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2400" b="1" i="0" u="none" strike="noStrike" kern="0" cap="none" spc="0" normalizeH="0" baseline="0" noProof="0">
              <a:ln>
                <a:noFill/>
              </a:ln>
              <a:solidFill>
                <a:sysClr val="windowText" lastClr="000000"/>
              </a:solidFill>
              <a:effectLst/>
              <a:uLnTx/>
              <a:uFillTx/>
            </a:rPr>
            <a:t>	</a:t>
          </a:r>
          <a:r>
            <a:rPr kumimoji="0" lang="en-US" sz="1800" b="1" i="0" u="none" strike="noStrike" kern="0" cap="none" spc="0" normalizeH="0" baseline="0" noProof="0">
              <a:ln>
                <a:noFill/>
              </a:ln>
              <a:solidFill>
                <a:sysClr val="windowText" lastClr="000000"/>
              </a:solidFill>
              <a:effectLst/>
              <a:uLnTx/>
              <a:uFillTx/>
            </a:rPr>
            <a:t>Basic (standard) Distributions: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sysClr val="windowText" lastClr="000000"/>
              </a:solidFill>
              <a:effectLst/>
              <a:uLnTx/>
              <a:uFillTx/>
            </a:rPr>
            <a:t>	Penal Code § 1463.001</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88900</xdr:colOff>
          <xdr:row>0</xdr:row>
          <xdr:rowOff>0</xdr:rowOff>
        </xdr:from>
        <xdr:to>
          <xdr:col>3</xdr:col>
          <xdr:colOff>127000</xdr:colOff>
          <xdr:row>1</xdr:row>
          <xdr:rowOff>31750</xdr:rowOff>
        </xdr:to>
        <xdr:sp macro="" textlink="">
          <xdr:nvSpPr>
            <xdr:cNvPr id="176129" name="Button 1" hidden="1">
              <a:extLst>
                <a:ext uri="{63B3BB69-23CF-44E3-9099-C40C66FF867C}">
                  <a14:compatExt spid="_x0000_s176129"/>
                </a:ext>
                <a:ext uri="{FF2B5EF4-FFF2-40B4-BE49-F238E27FC236}">
                  <a16:creationId xmlns:a16="http://schemas.microsoft.com/office/drawing/2014/main" id="{00000000-0008-0000-1900-000001B002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To ISSUE SUMMARY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13</xdr:row>
          <xdr:rowOff>527050</xdr:rowOff>
        </xdr:from>
        <xdr:to>
          <xdr:col>0</xdr:col>
          <xdr:colOff>279400</xdr:colOff>
          <xdr:row>14</xdr:row>
          <xdr:rowOff>222250</xdr:rowOff>
        </xdr:to>
        <xdr:sp macro="" textlink="">
          <xdr:nvSpPr>
            <xdr:cNvPr id="176130" name="Button 2" hidden="1">
              <a:extLst>
                <a:ext uri="{63B3BB69-23CF-44E3-9099-C40C66FF867C}">
                  <a14:compatExt spid="_x0000_s176130"/>
                </a:ext>
                <a:ext uri="{FF2B5EF4-FFF2-40B4-BE49-F238E27FC236}">
                  <a16:creationId xmlns:a16="http://schemas.microsoft.com/office/drawing/2014/main" id="{00000000-0008-0000-1900-000002B002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US" sz="800" b="0" i="0" u="none" strike="noStrike" baseline="0">
                  <a:solidFill>
                    <a:srgbClr val="000000"/>
                  </a:solidFill>
                  <a:latin typeface="Arial"/>
                  <a:cs typeface="Arial"/>
                </a:rPr>
                <a:t>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222250</xdr:rowOff>
        </xdr:from>
        <xdr:to>
          <xdr:col>0</xdr:col>
          <xdr:colOff>266700</xdr:colOff>
          <xdr:row>13</xdr:row>
          <xdr:rowOff>552450</xdr:rowOff>
        </xdr:to>
        <xdr:sp macro="" textlink="">
          <xdr:nvSpPr>
            <xdr:cNvPr id="176131" name="Button 3" hidden="1">
              <a:extLst>
                <a:ext uri="{63B3BB69-23CF-44E3-9099-C40C66FF867C}">
                  <a14:compatExt spid="_x0000_s176131"/>
                </a:ext>
                <a:ext uri="{FF2B5EF4-FFF2-40B4-BE49-F238E27FC236}">
                  <a16:creationId xmlns:a16="http://schemas.microsoft.com/office/drawing/2014/main" id="{00000000-0008-0000-1900-000003B002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US" sz="800" b="0" i="0" u="none" strike="noStrike" baseline="0">
                  <a:solidFill>
                    <a:srgbClr val="000000"/>
                  </a:solidFill>
                  <a:latin typeface="Arial"/>
                  <a:cs typeface="Arial"/>
                </a:rPr>
                <a:t>Y - Def</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88900</xdr:colOff>
          <xdr:row>0</xdr:row>
          <xdr:rowOff>0</xdr:rowOff>
        </xdr:from>
        <xdr:to>
          <xdr:col>2</xdr:col>
          <xdr:colOff>1028700</xdr:colOff>
          <xdr:row>1</xdr:row>
          <xdr:rowOff>31750</xdr:rowOff>
        </xdr:to>
        <xdr:sp macro="" textlink="">
          <xdr:nvSpPr>
            <xdr:cNvPr id="220161" name="Button 1" hidden="1">
              <a:extLst>
                <a:ext uri="{63B3BB69-23CF-44E3-9099-C40C66FF867C}">
                  <a14:compatExt spid="_x0000_s220161"/>
                </a:ext>
                <a:ext uri="{FF2B5EF4-FFF2-40B4-BE49-F238E27FC236}">
                  <a16:creationId xmlns:a16="http://schemas.microsoft.com/office/drawing/2014/main" id="{00000000-0008-0000-1A00-0000015C03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To ISSUE SUMMARY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13</xdr:row>
          <xdr:rowOff>527050</xdr:rowOff>
        </xdr:from>
        <xdr:to>
          <xdr:col>0</xdr:col>
          <xdr:colOff>279400</xdr:colOff>
          <xdr:row>14</xdr:row>
          <xdr:rowOff>222250</xdr:rowOff>
        </xdr:to>
        <xdr:sp macro="" textlink="">
          <xdr:nvSpPr>
            <xdr:cNvPr id="220162" name="Button 2" hidden="1">
              <a:extLst>
                <a:ext uri="{63B3BB69-23CF-44E3-9099-C40C66FF867C}">
                  <a14:compatExt spid="_x0000_s220162"/>
                </a:ext>
                <a:ext uri="{FF2B5EF4-FFF2-40B4-BE49-F238E27FC236}">
                  <a16:creationId xmlns:a16="http://schemas.microsoft.com/office/drawing/2014/main" id="{00000000-0008-0000-1A00-0000025C03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US" sz="800" b="0" i="0" u="none" strike="noStrike" baseline="0">
                  <a:solidFill>
                    <a:srgbClr val="000000"/>
                  </a:solidFill>
                  <a:latin typeface="Arial"/>
                  <a:cs typeface="Arial"/>
                </a:rPr>
                <a:t>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222250</xdr:rowOff>
        </xdr:from>
        <xdr:to>
          <xdr:col>0</xdr:col>
          <xdr:colOff>266700</xdr:colOff>
          <xdr:row>13</xdr:row>
          <xdr:rowOff>552450</xdr:rowOff>
        </xdr:to>
        <xdr:sp macro="" textlink="">
          <xdr:nvSpPr>
            <xdr:cNvPr id="220163" name="Button 3" hidden="1">
              <a:extLst>
                <a:ext uri="{63B3BB69-23CF-44E3-9099-C40C66FF867C}">
                  <a14:compatExt spid="_x0000_s220163"/>
                </a:ext>
                <a:ext uri="{FF2B5EF4-FFF2-40B4-BE49-F238E27FC236}">
                  <a16:creationId xmlns:a16="http://schemas.microsoft.com/office/drawing/2014/main" id="{00000000-0008-0000-1A00-0000035C03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US" sz="800" b="0" i="0" u="none" strike="noStrike" baseline="0">
                  <a:solidFill>
                    <a:srgbClr val="000000"/>
                  </a:solidFill>
                  <a:latin typeface="Arial"/>
                  <a:cs typeface="Arial"/>
                </a:rPr>
                <a:t>Y - Def</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88900</xdr:colOff>
          <xdr:row>0</xdr:row>
          <xdr:rowOff>0</xdr:rowOff>
        </xdr:from>
        <xdr:to>
          <xdr:col>2</xdr:col>
          <xdr:colOff>1028700</xdr:colOff>
          <xdr:row>1</xdr:row>
          <xdr:rowOff>31750</xdr:rowOff>
        </xdr:to>
        <xdr:sp macro="" textlink="">
          <xdr:nvSpPr>
            <xdr:cNvPr id="244737" name="Button 1" hidden="1">
              <a:extLst>
                <a:ext uri="{63B3BB69-23CF-44E3-9099-C40C66FF867C}">
                  <a14:compatExt spid="_x0000_s244737"/>
                </a:ext>
                <a:ext uri="{FF2B5EF4-FFF2-40B4-BE49-F238E27FC236}">
                  <a16:creationId xmlns:a16="http://schemas.microsoft.com/office/drawing/2014/main" id="{00000000-0008-0000-1B00-000001BC03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To ISSUE SUMMARY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13</xdr:row>
          <xdr:rowOff>527050</xdr:rowOff>
        </xdr:from>
        <xdr:to>
          <xdr:col>0</xdr:col>
          <xdr:colOff>279400</xdr:colOff>
          <xdr:row>14</xdr:row>
          <xdr:rowOff>222250</xdr:rowOff>
        </xdr:to>
        <xdr:sp macro="" textlink="">
          <xdr:nvSpPr>
            <xdr:cNvPr id="244738" name="Button 2" hidden="1">
              <a:extLst>
                <a:ext uri="{63B3BB69-23CF-44E3-9099-C40C66FF867C}">
                  <a14:compatExt spid="_x0000_s244738"/>
                </a:ext>
                <a:ext uri="{FF2B5EF4-FFF2-40B4-BE49-F238E27FC236}">
                  <a16:creationId xmlns:a16="http://schemas.microsoft.com/office/drawing/2014/main" id="{00000000-0008-0000-1B00-000002BC03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US" sz="800" b="0" i="0" u="none" strike="noStrike" baseline="0">
                  <a:solidFill>
                    <a:srgbClr val="000000"/>
                  </a:solidFill>
                  <a:latin typeface="Arial"/>
                  <a:cs typeface="Arial"/>
                </a:rPr>
                <a:t>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222250</xdr:rowOff>
        </xdr:from>
        <xdr:to>
          <xdr:col>0</xdr:col>
          <xdr:colOff>266700</xdr:colOff>
          <xdr:row>13</xdr:row>
          <xdr:rowOff>552450</xdr:rowOff>
        </xdr:to>
        <xdr:sp macro="" textlink="">
          <xdr:nvSpPr>
            <xdr:cNvPr id="244739" name="Button 3" hidden="1">
              <a:extLst>
                <a:ext uri="{63B3BB69-23CF-44E3-9099-C40C66FF867C}">
                  <a14:compatExt spid="_x0000_s244739"/>
                </a:ext>
                <a:ext uri="{FF2B5EF4-FFF2-40B4-BE49-F238E27FC236}">
                  <a16:creationId xmlns:a16="http://schemas.microsoft.com/office/drawing/2014/main" id="{00000000-0008-0000-1B00-000003BC03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US" sz="800" b="0" i="0" u="none" strike="noStrike" baseline="0">
                  <a:solidFill>
                    <a:srgbClr val="000000"/>
                  </a:solidFill>
                  <a:latin typeface="Arial"/>
                  <a:cs typeface="Arial"/>
                </a:rPr>
                <a:t>Y - Def</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88900</xdr:colOff>
          <xdr:row>0</xdr:row>
          <xdr:rowOff>0</xdr:rowOff>
        </xdr:from>
        <xdr:to>
          <xdr:col>2</xdr:col>
          <xdr:colOff>1028700</xdr:colOff>
          <xdr:row>1</xdr:row>
          <xdr:rowOff>31750</xdr:rowOff>
        </xdr:to>
        <xdr:sp macro="" textlink="">
          <xdr:nvSpPr>
            <xdr:cNvPr id="180225" name="Button 1" hidden="1">
              <a:extLst>
                <a:ext uri="{63B3BB69-23CF-44E3-9099-C40C66FF867C}">
                  <a14:compatExt spid="_x0000_s180225"/>
                </a:ext>
                <a:ext uri="{FF2B5EF4-FFF2-40B4-BE49-F238E27FC236}">
                  <a16:creationId xmlns:a16="http://schemas.microsoft.com/office/drawing/2014/main" id="{00000000-0008-0000-1C00-000001C002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To ISSUE SUMMARY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13</xdr:row>
          <xdr:rowOff>527050</xdr:rowOff>
        </xdr:from>
        <xdr:to>
          <xdr:col>0</xdr:col>
          <xdr:colOff>279400</xdr:colOff>
          <xdr:row>14</xdr:row>
          <xdr:rowOff>222250</xdr:rowOff>
        </xdr:to>
        <xdr:sp macro="" textlink="">
          <xdr:nvSpPr>
            <xdr:cNvPr id="180226" name="Button 2" hidden="1">
              <a:extLst>
                <a:ext uri="{63B3BB69-23CF-44E3-9099-C40C66FF867C}">
                  <a14:compatExt spid="_x0000_s180226"/>
                </a:ext>
                <a:ext uri="{FF2B5EF4-FFF2-40B4-BE49-F238E27FC236}">
                  <a16:creationId xmlns:a16="http://schemas.microsoft.com/office/drawing/2014/main" id="{00000000-0008-0000-1C00-000002C002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US" sz="800" b="0" i="0" u="none" strike="noStrike" baseline="0">
                  <a:solidFill>
                    <a:srgbClr val="000000"/>
                  </a:solidFill>
                  <a:latin typeface="Arial"/>
                  <a:cs typeface="Arial"/>
                </a:rPr>
                <a:t>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222250</xdr:rowOff>
        </xdr:from>
        <xdr:to>
          <xdr:col>0</xdr:col>
          <xdr:colOff>266700</xdr:colOff>
          <xdr:row>13</xdr:row>
          <xdr:rowOff>552450</xdr:rowOff>
        </xdr:to>
        <xdr:sp macro="" textlink="">
          <xdr:nvSpPr>
            <xdr:cNvPr id="180227" name="Button 3" hidden="1">
              <a:extLst>
                <a:ext uri="{63B3BB69-23CF-44E3-9099-C40C66FF867C}">
                  <a14:compatExt spid="_x0000_s180227"/>
                </a:ext>
                <a:ext uri="{FF2B5EF4-FFF2-40B4-BE49-F238E27FC236}">
                  <a16:creationId xmlns:a16="http://schemas.microsoft.com/office/drawing/2014/main" id="{00000000-0008-0000-1C00-000003C002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US" sz="800" b="0" i="0" u="none" strike="noStrike" baseline="0">
                  <a:solidFill>
                    <a:srgbClr val="000000"/>
                  </a:solidFill>
                  <a:latin typeface="Arial"/>
                  <a:cs typeface="Arial"/>
                </a:rPr>
                <a:t>Y - Def</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88900</xdr:colOff>
          <xdr:row>0</xdr:row>
          <xdr:rowOff>0</xdr:rowOff>
        </xdr:from>
        <xdr:to>
          <xdr:col>3</xdr:col>
          <xdr:colOff>171450</xdr:colOff>
          <xdr:row>1</xdr:row>
          <xdr:rowOff>31750</xdr:rowOff>
        </xdr:to>
        <xdr:sp macro="" textlink="">
          <xdr:nvSpPr>
            <xdr:cNvPr id="188417" name="Button 1" hidden="1">
              <a:extLst>
                <a:ext uri="{63B3BB69-23CF-44E3-9099-C40C66FF867C}">
                  <a14:compatExt spid="_x0000_s188417"/>
                </a:ext>
                <a:ext uri="{FF2B5EF4-FFF2-40B4-BE49-F238E27FC236}">
                  <a16:creationId xmlns:a16="http://schemas.microsoft.com/office/drawing/2014/main" id="{00000000-0008-0000-1D00-000001E002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To ISSUE SUMMARY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13</xdr:row>
          <xdr:rowOff>527050</xdr:rowOff>
        </xdr:from>
        <xdr:to>
          <xdr:col>0</xdr:col>
          <xdr:colOff>279400</xdr:colOff>
          <xdr:row>14</xdr:row>
          <xdr:rowOff>222250</xdr:rowOff>
        </xdr:to>
        <xdr:sp macro="" textlink="">
          <xdr:nvSpPr>
            <xdr:cNvPr id="188418" name="Button 2" hidden="1">
              <a:extLst>
                <a:ext uri="{63B3BB69-23CF-44E3-9099-C40C66FF867C}">
                  <a14:compatExt spid="_x0000_s188418"/>
                </a:ext>
                <a:ext uri="{FF2B5EF4-FFF2-40B4-BE49-F238E27FC236}">
                  <a16:creationId xmlns:a16="http://schemas.microsoft.com/office/drawing/2014/main" id="{00000000-0008-0000-1D00-000002E002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US" sz="800" b="0" i="0" u="none" strike="noStrike" baseline="0">
                  <a:solidFill>
                    <a:srgbClr val="000000"/>
                  </a:solidFill>
                  <a:latin typeface="Arial"/>
                  <a:cs typeface="Arial"/>
                </a:rPr>
                <a:t>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222250</xdr:rowOff>
        </xdr:from>
        <xdr:to>
          <xdr:col>0</xdr:col>
          <xdr:colOff>266700</xdr:colOff>
          <xdr:row>13</xdr:row>
          <xdr:rowOff>552450</xdr:rowOff>
        </xdr:to>
        <xdr:sp macro="" textlink="">
          <xdr:nvSpPr>
            <xdr:cNvPr id="188419" name="Button 3" hidden="1">
              <a:extLst>
                <a:ext uri="{63B3BB69-23CF-44E3-9099-C40C66FF867C}">
                  <a14:compatExt spid="_x0000_s188419"/>
                </a:ext>
                <a:ext uri="{FF2B5EF4-FFF2-40B4-BE49-F238E27FC236}">
                  <a16:creationId xmlns:a16="http://schemas.microsoft.com/office/drawing/2014/main" id="{00000000-0008-0000-1D00-000003E002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US" sz="800" b="0" i="0" u="none" strike="noStrike" baseline="0">
                  <a:solidFill>
                    <a:srgbClr val="000000"/>
                  </a:solidFill>
                  <a:latin typeface="Arial"/>
                  <a:cs typeface="Arial"/>
                </a:rPr>
                <a:t>Y - Def</a:t>
              </a:r>
            </a:p>
          </xdr:txBody>
        </xdr:sp>
        <xdr:clientData fPrintsWithSheet="0"/>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88900</xdr:colOff>
          <xdr:row>0</xdr:row>
          <xdr:rowOff>0</xdr:rowOff>
        </xdr:from>
        <xdr:to>
          <xdr:col>3</xdr:col>
          <xdr:colOff>127000</xdr:colOff>
          <xdr:row>1</xdr:row>
          <xdr:rowOff>31750</xdr:rowOff>
        </xdr:to>
        <xdr:sp macro="" textlink="">
          <xdr:nvSpPr>
            <xdr:cNvPr id="289793" name="Button 1" hidden="1">
              <a:extLst>
                <a:ext uri="{63B3BB69-23CF-44E3-9099-C40C66FF867C}">
                  <a14:compatExt spid="_x0000_s289793"/>
                </a:ext>
                <a:ext uri="{FF2B5EF4-FFF2-40B4-BE49-F238E27FC236}">
                  <a16:creationId xmlns:a16="http://schemas.microsoft.com/office/drawing/2014/main" id="{00000000-0008-0000-1E00-0000016C04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To ISSUE SUMMARY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13</xdr:row>
          <xdr:rowOff>527050</xdr:rowOff>
        </xdr:from>
        <xdr:to>
          <xdr:col>0</xdr:col>
          <xdr:colOff>279400</xdr:colOff>
          <xdr:row>14</xdr:row>
          <xdr:rowOff>222250</xdr:rowOff>
        </xdr:to>
        <xdr:sp macro="" textlink="">
          <xdr:nvSpPr>
            <xdr:cNvPr id="289794" name="Button 2" hidden="1">
              <a:extLst>
                <a:ext uri="{63B3BB69-23CF-44E3-9099-C40C66FF867C}">
                  <a14:compatExt spid="_x0000_s289794"/>
                </a:ext>
                <a:ext uri="{FF2B5EF4-FFF2-40B4-BE49-F238E27FC236}">
                  <a16:creationId xmlns:a16="http://schemas.microsoft.com/office/drawing/2014/main" id="{00000000-0008-0000-1E00-0000026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US" sz="800" b="0" i="0" u="none" strike="noStrike" baseline="0">
                  <a:solidFill>
                    <a:srgbClr val="000000"/>
                  </a:solidFill>
                  <a:latin typeface="Arial"/>
                  <a:cs typeface="Arial"/>
                </a:rPr>
                <a:t>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222250</xdr:rowOff>
        </xdr:from>
        <xdr:to>
          <xdr:col>0</xdr:col>
          <xdr:colOff>266700</xdr:colOff>
          <xdr:row>13</xdr:row>
          <xdr:rowOff>552450</xdr:rowOff>
        </xdr:to>
        <xdr:sp macro="" textlink="">
          <xdr:nvSpPr>
            <xdr:cNvPr id="289795" name="Button 3" hidden="1">
              <a:extLst>
                <a:ext uri="{63B3BB69-23CF-44E3-9099-C40C66FF867C}">
                  <a14:compatExt spid="_x0000_s289795"/>
                </a:ext>
                <a:ext uri="{FF2B5EF4-FFF2-40B4-BE49-F238E27FC236}">
                  <a16:creationId xmlns:a16="http://schemas.microsoft.com/office/drawing/2014/main" id="{00000000-0008-0000-1E00-0000036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US" sz="800" b="0" i="0" u="none" strike="noStrike" baseline="0">
                  <a:solidFill>
                    <a:srgbClr val="000000"/>
                  </a:solidFill>
                  <a:latin typeface="Arial"/>
                  <a:cs typeface="Arial"/>
                </a:rPr>
                <a:t>Y - Def</a:t>
              </a:r>
            </a:p>
          </xdr:txBody>
        </xdr:sp>
        <xdr:clientData fPrintsWithSheet="0"/>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88900</xdr:colOff>
          <xdr:row>0</xdr:row>
          <xdr:rowOff>0</xdr:rowOff>
        </xdr:from>
        <xdr:to>
          <xdr:col>2</xdr:col>
          <xdr:colOff>1028700</xdr:colOff>
          <xdr:row>1</xdr:row>
          <xdr:rowOff>31750</xdr:rowOff>
        </xdr:to>
        <xdr:sp macro="" textlink="">
          <xdr:nvSpPr>
            <xdr:cNvPr id="189441" name="Button 1" hidden="1">
              <a:extLst>
                <a:ext uri="{63B3BB69-23CF-44E3-9099-C40C66FF867C}">
                  <a14:compatExt spid="_x0000_s189441"/>
                </a:ext>
                <a:ext uri="{FF2B5EF4-FFF2-40B4-BE49-F238E27FC236}">
                  <a16:creationId xmlns:a16="http://schemas.microsoft.com/office/drawing/2014/main" id="{00000000-0008-0000-1F00-000001E402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To ISSUE SUMMARY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13</xdr:row>
          <xdr:rowOff>527050</xdr:rowOff>
        </xdr:from>
        <xdr:to>
          <xdr:col>0</xdr:col>
          <xdr:colOff>279400</xdr:colOff>
          <xdr:row>14</xdr:row>
          <xdr:rowOff>222250</xdr:rowOff>
        </xdr:to>
        <xdr:sp macro="" textlink="">
          <xdr:nvSpPr>
            <xdr:cNvPr id="189442" name="Button 2" hidden="1">
              <a:extLst>
                <a:ext uri="{63B3BB69-23CF-44E3-9099-C40C66FF867C}">
                  <a14:compatExt spid="_x0000_s189442"/>
                </a:ext>
                <a:ext uri="{FF2B5EF4-FFF2-40B4-BE49-F238E27FC236}">
                  <a16:creationId xmlns:a16="http://schemas.microsoft.com/office/drawing/2014/main" id="{00000000-0008-0000-1F00-000002E402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US" sz="800" b="0" i="0" u="none" strike="noStrike" baseline="0">
                  <a:solidFill>
                    <a:srgbClr val="000000"/>
                  </a:solidFill>
                  <a:latin typeface="Arial"/>
                  <a:cs typeface="Arial"/>
                </a:rPr>
                <a:t>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222250</xdr:rowOff>
        </xdr:from>
        <xdr:to>
          <xdr:col>0</xdr:col>
          <xdr:colOff>266700</xdr:colOff>
          <xdr:row>13</xdr:row>
          <xdr:rowOff>552450</xdr:rowOff>
        </xdr:to>
        <xdr:sp macro="" textlink="">
          <xdr:nvSpPr>
            <xdr:cNvPr id="189443" name="Button 3" hidden="1">
              <a:extLst>
                <a:ext uri="{63B3BB69-23CF-44E3-9099-C40C66FF867C}">
                  <a14:compatExt spid="_x0000_s189443"/>
                </a:ext>
                <a:ext uri="{FF2B5EF4-FFF2-40B4-BE49-F238E27FC236}">
                  <a16:creationId xmlns:a16="http://schemas.microsoft.com/office/drawing/2014/main" id="{00000000-0008-0000-1F00-000003E402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US" sz="800" b="0" i="0" u="none" strike="noStrike" baseline="0">
                  <a:solidFill>
                    <a:srgbClr val="000000"/>
                  </a:solidFill>
                  <a:latin typeface="Arial"/>
                  <a:cs typeface="Arial"/>
                </a:rPr>
                <a:t>Y - Def</a:t>
              </a:r>
            </a:p>
          </xdr:txBody>
        </xdr:sp>
        <xdr:clientData fPrintsWithSheet="0"/>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88900</xdr:colOff>
          <xdr:row>0</xdr:row>
          <xdr:rowOff>0</xdr:rowOff>
        </xdr:from>
        <xdr:to>
          <xdr:col>3</xdr:col>
          <xdr:colOff>127000</xdr:colOff>
          <xdr:row>1</xdr:row>
          <xdr:rowOff>31750</xdr:rowOff>
        </xdr:to>
        <xdr:sp macro="" textlink="">
          <xdr:nvSpPr>
            <xdr:cNvPr id="356353" name="Button 1" hidden="1">
              <a:extLst>
                <a:ext uri="{63B3BB69-23CF-44E3-9099-C40C66FF867C}">
                  <a14:compatExt spid="_x0000_s356353"/>
                </a:ext>
                <a:ext uri="{FF2B5EF4-FFF2-40B4-BE49-F238E27FC236}">
                  <a16:creationId xmlns:a16="http://schemas.microsoft.com/office/drawing/2014/main" id="{00000000-0008-0000-2000-0000017005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To ISSUE SUMMARY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13</xdr:row>
          <xdr:rowOff>527050</xdr:rowOff>
        </xdr:from>
        <xdr:to>
          <xdr:col>0</xdr:col>
          <xdr:colOff>279400</xdr:colOff>
          <xdr:row>14</xdr:row>
          <xdr:rowOff>222250</xdr:rowOff>
        </xdr:to>
        <xdr:sp macro="" textlink="">
          <xdr:nvSpPr>
            <xdr:cNvPr id="356354" name="Button 2" hidden="1">
              <a:extLst>
                <a:ext uri="{63B3BB69-23CF-44E3-9099-C40C66FF867C}">
                  <a14:compatExt spid="_x0000_s356354"/>
                </a:ext>
                <a:ext uri="{FF2B5EF4-FFF2-40B4-BE49-F238E27FC236}">
                  <a16:creationId xmlns:a16="http://schemas.microsoft.com/office/drawing/2014/main" id="{00000000-0008-0000-2000-0000027005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US" sz="800" b="0" i="0" u="none" strike="noStrike" baseline="0">
                  <a:solidFill>
                    <a:srgbClr val="000000"/>
                  </a:solidFill>
                  <a:latin typeface="Arial"/>
                  <a:cs typeface="Arial"/>
                </a:rPr>
                <a:t>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222250</xdr:rowOff>
        </xdr:from>
        <xdr:to>
          <xdr:col>0</xdr:col>
          <xdr:colOff>266700</xdr:colOff>
          <xdr:row>13</xdr:row>
          <xdr:rowOff>552450</xdr:rowOff>
        </xdr:to>
        <xdr:sp macro="" textlink="">
          <xdr:nvSpPr>
            <xdr:cNvPr id="356355" name="Button 3" hidden="1">
              <a:extLst>
                <a:ext uri="{63B3BB69-23CF-44E3-9099-C40C66FF867C}">
                  <a14:compatExt spid="_x0000_s356355"/>
                </a:ext>
                <a:ext uri="{FF2B5EF4-FFF2-40B4-BE49-F238E27FC236}">
                  <a16:creationId xmlns:a16="http://schemas.microsoft.com/office/drawing/2014/main" id="{00000000-0008-0000-2000-0000037005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US" sz="800" b="0" i="0" u="none" strike="noStrike" baseline="0">
                  <a:solidFill>
                    <a:srgbClr val="000000"/>
                  </a:solidFill>
                  <a:latin typeface="Arial"/>
                  <a:cs typeface="Arial"/>
                </a:rPr>
                <a:t>Y - Def</a:t>
              </a:r>
            </a:p>
          </xdr:txBody>
        </xdr:sp>
        <xdr:clientData fPrintsWithSheet="0"/>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88900</xdr:colOff>
          <xdr:row>0</xdr:row>
          <xdr:rowOff>0</xdr:rowOff>
        </xdr:from>
        <xdr:to>
          <xdr:col>3</xdr:col>
          <xdr:colOff>127000</xdr:colOff>
          <xdr:row>1</xdr:row>
          <xdr:rowOff>31750</xdr:rowOff>
        </xdr:to>
        <xdr:sp macro="" textlink="">
          <xdr:nvSpPr>
            <xdr:cNvPr id="355329" name="Button 1" hidden="1">
              <a:extLst>
                <a:ext uri="{63B3BB69-23CF-44E3-9099-C40C66FF867C}">
                  <a14:compatExt spid="_x0000_s355329"/>
                </a:ext>
                <a:ext uri="{FF2B5EF4-FFF2-40B4-BE49-F238E27FC236}">
                  <a16:creationId xmlns:a16="http://schemas.microsoft.com/office/drawing/2014/main" id="{00000000-0008-0000-2100-0000016C05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To ISSUE SUMMARY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13</xdr:row>
          <xdr:rowOff>527050</xdr:rowOff>
        </xdr:from>
        <xdr:to>
          <xdr:col>0</xdr:col>
          <xdr:colOff>279400</xdr:colOff>
          <xdr:row>14</xdr:row>
          <xdr:rowOff>222250</xdr:rowOff>
        </xdr:to>
        <xdr:sp macro="" textlink="">
          <xdr:nvSpPr>
            <xdr:cNvPr id="355330" name="Button 2" hidden="1">
              <a:extLst>
                <a:ext uri="{63B3BB69-23CF-44E3-9099-C40C66FF867C}">
                  <a14:compatExt spid="_x0000_s355330"/>
                </a:ext>
                <a:ext uri="{FF2B5EF4-FFF2-40B4-BE49-F238E27FC236}">
                  <a16:creationId xmlns:a16="http://schemas.microsoft.com/office/drawing/2014/main" id="{00000000-0008-0000-2100-0000026C05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US" sz="800" b="0" i="0" u="none" strike="noStrike" baseline="0">
                  <a:solidFill>
                    <a:srgbClr val="000000"/>
                  </a:solidFill>
                  <a:latin typeface="Arial"/>
                  <a:cs typeface="Arial"/>
                </a:rPr>
                <a:t>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222250</xdr:rowOff>
        </xdr:from>
        <xdr:to>
          <xdr:col>0</xdr:col>
          <xdr:colOff>266700</xdr:colOff>
          <xdr:row>13</xdr:row>
          <xdr:rowOff>552450</xdr:rowOff>
        </xdr:to>
        <xdr:sp macro="" textlink="">
          <xdr:nvSpPr>
            <xdr:cNvPr id="355331" name="Button 3" hidden="1">
              <a:extLst>
                <a:ext uri="{63B3BB69-23CF-44E3-9099-C40C66FF867C}">
                  <a14:compatExt spid="_x0000_s355331"/>
                </a:ext>
                <a:ext uri="{FF2B5EF4-FFF2-40B4-BE49-F238E27FC236}">
                  <a16:creationId xmlns:a16="http://schemas.microsoft.com/office/drawing/2014/main" id="{00000000-0008-0000-2100-0000036C05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US" sz="800" b="0" i="0" u="none" strike="noStrike" baseline="0">
                  <a:solidFill>
                    <a:srgbClr val="000000"/>
                  </a:solidFill>
                  <a:latin typeface="Arial"/>
                  <a:cs typeface="Arial"/>
                </a:rPr>
                <a:t>Y - Def</a:t>
              </a:r>
            </a:p>
          </xdr:txBody>
        </xdr:sp>
        <xdr:clientData fPrintsWithSheet="0"/>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88900</xdr:colOff>
          <xdr:row>0</xdr:row>
          <xdr:rowOff>0</xdr:rowOff>
        </xdr:from>
        <xdr:to>
          <xdr:col>3</xdr:col>
          <xdr:colOff>127000</xdr:colOff>
          <xdr:row>1</xdr:row>
          <xdr:rowOff>31750</xdr:rowOff>
        </xdr:to>
        <xdr:sp macro="" textlink="">
          <xdr:nvSpPr>
            <xdr:cNvPr id="263169" name="Button 1" hidden="1">
              <a:extLst>
                <a:ext uri="{63B3BB69-23CF-44E3-9099-C40C66FF867C}">
                  <a14:compatExt spid="_x0000_s263169"/>
                </a:ext>
                <a:ext uri="{FF2B5EF4-FFF2-40B4-BE49-F238E27FC236}">
                  <a16:creationId xmlns:a16="http://schemas.microsoft.com/office/drawing/2014/main" id="{00000000-0008-0000-2200-0000010404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To ISSUE SUMMARY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13</xdr:row>
          <xdr:rowOff>527050</xdr:rowOff>
        </xdr:from>
        <xdr:to>
          <xdr:col>0</xdr:col>
          <xdr:colOff>279400</xdr:colOff>
          <xdr:row>14</xdr:row>
          <xdr:rowOff>222250</xdr:rowOff>
        </xdr:to>
        <xdr:sp macro="" textlink="">
          <xdr:nvSpPr>
            <xdr:cNvPr id="263170" name="Button 2" hidden="1">
              <a:extLst>
                <a:ext uri="{63B3BB69-23CF-44E3-9099-C40C66FF867C}">
                  <a14:compatExt spid="_x0000_s263170"/>
                </a:ext>
                <a:ext uri="{FF2B5EF4-FFF2-40B4-BE49-F238E27FC236}">
                  <a16:creationId xmlns:a16="http://schemas.microsoft.com/office/drawing/2014/main" id="{00000000-0008-0000-2200-0000020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US" sz="800" b="0" i="0" u="none" strike="noStrike" baseline="0">
                  <a:solidFill>
                    <a:srgbClr val="000000"/>
                  </a:solidFill>
                  <a:latin typeface="Arial"/>
                  <a:cs typeface="Arial"/>
                </a:rPr>
                <a:t>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222250</xdr:rowOff>
        </xdr:from>
        <xdr:to>
          <xdr:col>0</xdr:col>
          <xdr:colOff>266700</xdr:colOff>
          <xdr:row>13</xdr:row>
          <xdr:rowOff>552450</xdr:rowOff>
        </xdr:to>
        <xdr:sp macro="" textlink="">
          <xdr:nvSpPr>
            <xdr:cNvPr id="263171" name="Button 3" hidden="1">
              <a:extLst>
                <a:ext uri="{63B3BB69-23CF-44E3-9099-C40C66FF867C}">
                  <a14:compatExt spid="_x0000_s263171"/>
                </a:ext>
                <a:ext uri="{FF2B5EF4-FFF2-40B4-BE49-F238E27FC236}">
                  <a16:creationId xmlns:a16="http://schemas.microsoft.com/office/drawing/2014/main" id="{00000000-0008-0000-2200-0000030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US" sz="800" b="0" i="0" u="none" strike="noStrike" baseline="0">
                  <a:solidFill>
                    <a:srgbClr val="000000"/>
                  </a:solidFill>
                  <a:latin typeface="Arial"/>
                  <a:cs typeface="Arial"/>
                </a:rPr>
                <a:t>Y - Def</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14</xdr:col>
      <xdr:colOff>44451</xdr:colOff>
      <xdr:row>6</xdr:row>
      <xdr:rowOff>172509</xdr:rowOff>
    </xdr:from>
    <xdr:to>
      <xdr:col>23</xdr:col>
      <xdr:colOff>35984</xdr:colOff>
      <xdr:row>16</xdr:row>
      <xdr:rowOff>6350</xdr:rowOff>
    </xdr:to>
    <xdr:sp macro="" textlink="">
      <xdr:nvSpPr>
        <xdr:cNvPr id="3" name="Left Arrow 2">
          <a:extLst>
            <a:ext uri="{FF2B5EF4-FFF2-40B4-BE49-F238E27FC236}">
              <a16:creationId xmlns:a16="http://schemas.microsoft.com/office/drawing/2014/main" id="{00000000-0008-0000-0D00-000003000000}"/>
            </a:ext>
          </a:extLst>
        </xdr:cNvPr>
        <xdr:cNvSpPr/>
      </xdr:nvSpPr>
      <xdr:spPr bwMode="auto">
        <a:xfrm>
          <a:off x="16395701" y="1304926"/>
          <a:ext cx="5685366" cy="2003424"/>
        </a:xfrm>
        <a:prstGeom prst="leftArrow">
          <a:avLst/>
        </a:prstGeom>
        <a:solidFill>
          <a:srgbClr val="FFFFFF"/>
        </a:solidFill>
        <a:ln w="9525"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0" rIns="0" bIns="0" rtlCol="0" anchor="ctr" upright="1"/>
        <a:lstStyle/>
        <a:p>
          <a:pPr algn="l"/>
          <a:r>
            <a:rPr lang="en-US" sz="2000" b="1">
              <a:solidFill>
                <a:sysClr val="windowText" lastClr="000000"/>
              </a:solidFill>
            </a:rPr>
            <a:t>	</a:t>
          </a:r>
          <a:r>
            <a:rPr lang="en-US" sz="2000" b="1">
              <a:solidFill>
                <a:srgbClr val="C00000"/>
              </a:solidFill>
            </a:rPr>
            <a:t>Local penalty</a:t>
          </a:r>
          <a:r>
            <a:rPr lang="en-US" sz="2000" b="1" baseline="0">
              <a:solidFill>
                <a:srgbClr val="C00000"/>
              </a:solidFill>
            </a:rPr>
            <a:t> assessment:  	</a:t>
          </a:r>
          <a:r>
            <a:rPr lang="en-US" sz="2000" b="0" baseline="0">
              <a:solidFill>
                <a:sysClr val="windowText" lastClr="000000"/>
              </a:solidFill>
            </a:rPr>
            <a:t>Government Code § 76000</a:t>
          </a:r>
          <a:endParaRPr lang="en-US" sz="2000" b="0">
            <a:solidFill>
              <a:sysClr val="windowText" lastClr="000000"/>
            </a:solidFill>
          </a:endParaRPr>
        </a:p>
      </xdr:txBody>
    </xdr:sp>
    <xdr:clientData/>
  </xdr:twoCellAnchor>
  <xdr:twoCellAnchor>
    <xdr:from>
      <xdr:col>0</xdr:col>
      <xdr:colOff>84239</xdr:colOff>
      <xdr:row>14</xdr:row>
      <xdr:rowOff>94573</xdr:rowOff>
    </xdr:from>
    <xdr:to>
      <xdr:col>0</xdr:col>
      <xdr:colOff>4656667</xdr:colOff>
      <xdr:row>23</xdr:row>
      <xdr:rowOff>30195</xdr:rowOff>
    </xdr:to>
    <xdr:sp macro="" textlink="">
      <xdr:nvSpPr>
        <xdr:cNvPr id="5" name="Left Arrow 2">
          <a:extLst>
            <a:ext uri="{FF2B5EF4-FFF2-40B4-BE49-F238E27FC236}">
              <a16:creationId xmlns:a16="http://schemas.microsoft.com/office/drawing/2014/main" id="{00000000-0008-0000-0D00-000005000000}"/>
            </a:ext>
          </a:extLst>
        </xdr:cNvPr>
        <xdr:cNvSpPr/>
      </xdr:nvSpPr>
      <xdr:spPr bwMode="auto">
        <a:xfrm rot="10800000">
          <a:off x="84239" y="2920323"/>
          <a:ext cx="4572428" cy="1861789"/>
        </a:xfrm>
        <a:prstGeom prst="leftArrow">
          <a:avLst/>
        </a:prstGeom>
        <a:solidFill>
          <a:srgbClr val="FFFFFF"/>
        </a:solidFill>
        <a:ln w="9525" cap="flat" cmpd="sng" algn="ctr">
          <a:solidFill>
            <a:schemeClr val="tx2"/>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srgbClr val="FF0000"/>
              </a:solidFill>
              <a:effectLst/>
              <a:uLnTx/>
              <a:uFillTx/>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2400" b="1" i="0" u="none" strike="noStrike" kern="0" cap="none" spc="0" normalizeH="0" baseline="0" noProof="0">
              <a:ln>
                <a:noFill/>
              </a:ln>
              <a:solidFill>
                <a:srgbClr val="C00000"/>
              </a:solidFill>
              <a:effectLst/>
              <a:uLnTx/>
              <a:uFillTx/>
            </a:rPr>
            <a:t>	Special Distributions:	</a:t>
          </a:r>
        </a:p>
      </xdr:txBody>
    </xdr:sp>
    <xdr:clientData/>
  </xdr:twoCellAnchor>
  <xdr:twoCellAnchor>
    <xdr:from>
      <xdr:col>0</xdr:col>
      <xdr:colOff>190500</xdr:colOff>
      <xdr:row>32</xdr:row>
      <xdr:rowOff>102860</xdr:rowOff>
    </xdr:from>
    <xdr:to>
      <xdr:col>0</xdr:col>
      <xdr:colOff>4617604</xdr:colOff>
      <xdr:row>43</xdr:row>
      <xdr:rowOff>42332</xdr:rowOff>
    </xdr:to>
    <xdr:sp macro="" textlink="">
      <xdr:nvSpPr>
        <xdr:cNvPr id="7" name="Left Arrow 2">
          <a:extLst>
            <a:ext uri="{FF2B5EF4-FFF2-40B4-BE49-F238E27FC236}">
              <a16:creationId xmlns:a16="http://schemas.microsoft.com/office/drawing/2014/main" id="{00000000-0008-0000-0D00-000007000000}"/>
            </a:ext>
          </a:extLst>
        </xdr:cNvPr>
        <xdr:cNvSpPr/>
      </xdr:nvSpPr>
      <xdr:spPr bwMode="auto">
        <a:xfrm rot="10800000">
          <a:off x="190500" y="6664527"/>
          <a:ext cx="4427104" cy="2045555"/>
        </a:xfrm>
        <a:prstGeom prst="leftArrow">
          <a:avLst/>
        </a:prstGeom>
        <a:solidFill>
          <a:srgbClr val="FFFFFF"/>
        </a:solidFill>
        <a:ln w="9525" cap="flat" cmpd="sng" algn="ctr">
          <a:solidFill>
            <a:schemeClr val="bg1">
              <a:lumMod val="50000"/>
            </a:schemeClr>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srgbClr val="FF0000"/>
              </a:solidFill>
              <a:effectLst/>
              <a:uLnTx/>
              <a:uFillTx/>
            </a:rPr>
            <a:t> 	</a:t>
          </a:r>
          <a:r>
            <a:rPr kumimoji="0" lang="en-US" sz="1600" b="1" i="0" u="none" strike="noStrike" kern="0" cap="none" spc="0" normalizeH="0" baseline="0" noProof="0">
              <a:ln>
                <a:noFill/>
              </a:ln>
              <a:solidFill>
                <a:srgbClr val="C00000"/>
              </a:solidFill>
              <a:effectLst/>
              <a:uLnTx/>
              <a:uFillTx/>
            </a:rPr>
            <a:t>Fees specific to TVS disposition: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sysClr val="windowText" lastClr="000000"/>
              </a:solidFill>
              <a:effectLst/>
              <a:uLnTx/>
              <a:uFillTx/>
            </a:rPr>
            <a:t>	-Traffic School Fee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sysClr val="windowText" lastClr="000000"/>
              </a:solidFill>
              <a:effectLst/>
              <a:uLnTx/>
              <a:uFillTx/>
            </a:rPr>
            <a:t>	- Additional administrative fee (court)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sysClr val="windowText" lastClr="000000"/>
              </a:solidFill>
              <a:effectLst/>
              <a:uLnTx/>
              <a:uFillTx/>
            </a:rPr>
            <a:t>	- Additional DMV administrative fee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sysClr val="windowText" lastClr="000000"/>
              </a:solidFill>
              <a:effectLst/>
              <a:uLnTx/>
              <a:uFillTx/>
            </a:rPr>
            <a:t>l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31750</xdr:colOff>
          <xdr:row>0</xdr:row>
          <xdr:rowOff>0</xdr:rowOff>
        </xdr:from>
        <xdr:to>
          <xdr:col>2</xdr:col>
          <xdr:colOff>838200</xdr:colOff>
          <xdr:row>1</xdr:row>
          <xdr:rowOff>31750</xdr:rowOff>
        </xdr:to>
        <xdr:sp macro="" textlink="">
          <xdr:nvSpPr>
            <xdr:cNvPr id="28678" name="Button 6" hidden="1">
              <a:extLst>
                <a:ext uri="{63B3BB69-23CF-44E3-9099-C40C66FF867C}">
                  <a14:compatExt spid="_x0000_s28678"/>
                </a:ext>
                <a:ext uri="{FF2B5EF4-FFF2-40B4-BE49-F238E27FC236}">
                  <a16:creationId xmlns:a16="http://schemas.microsoft.com/office/drawing/2014/main" id="{00000000-0008-0000-1100-0000067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To ISSUE SUMMARY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13</xdr:row>
          <xdr:rowOff>527050</xdr:rowOff>
        </xdr:from>
        <xdr:to>
          <xdr:col>0</xdr:col>
          <xdr:colOff>279400</xdr:colOff>
          <xdr:row>14</xdr:row>
          <xdr:rowOff>222250</xdr:rowOff>
        </xdr:to>
        <xdr:sp macro="" textlink="">
          <xdr:nvSpPr>
            <xdr:cNvPr id="28695" name="Button 23" hidden="1">
              <a:extLst>
                <a:ext uri="{63B3BB69-23CF-44E3-9099-C40C66FF867C}">
                  <a14:compatExt spid="_x0000_s28695"/>
                </a:ext>
                <a:ext uri="{FF2B5EF4-FFF2-40B4-BE49-F238E27FC236}">
                  <a16:creationId xmlns:a16="http://schemas.microsoft.com/office/drawing/2014/main" id="{00000000-0008-0000-1100-00001770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US" sz="800" b="0" i="0" u="none" strike="noStrike" baseline="0">
                  <a:solidFill>
                    <a:srgbClr val="000000"/>
                  </a:solidFill>
                  <a:latin typeface="Arial"/>
                  <a:cs typeface="Arial"/>
                </a:rPr>
                <a:t>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222250</xdr:rowOff>
        </xdr:from>
        <xdr:to>
          <xdr:col>0</xdr:col>
          <xdr:colOff>260350</xdr:colOff>
          <xdr:row>13</xdr:row>
          <xdr:rowOff>546100</xdr:rowOff>
        </xdr:to>
        <xdr:sp macro="" textlink="">
          <xdr:nvSpPr>
            <xdr:cNvPr id="28696" name="Button 24" hidden="1">
              <a:extLst>
                <a:ext uri="{63B3BB69-23CF-44E3-9099-C40C66FF867C}">
                  <a14:compatExt spid="_x0000_s28696"/>
                </a:ext>
                <a:ext uri="{FF2B5EF4-FFF2-40B4-BE49-F238E27FC236}">
                  <a16:creationId xmlns:a16="http://schemas.microsoft.com/office/drawing/2014/main" id="{00000000-0008-0000-1100-00001870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US" sz="800" b="0" i="0" u="none" strike="noStrike" baseline="0">
                  <a:solidFill>
                    <a:srgbClr val="000000"/>
                  </a:solidFill>
                  <a:latin typeface="Arial"/>
                  <a:cs typeface="Arial"/>
                </a:rPr>
                <a:t>Y - DEF</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88900</xdr:colOff>
          <xdr:row>0</xdr:row>
          <xdr:rowOff>0</xdr:rowOff>
        </xdr:from>
        <xdr:to>
          <xdr:col>3</xdr:col>
          <xdr:colOff>127000</xdr:colOff>
          <xdr:row>1</xdr:row>
          <xdr:rowOff>31750</xdr:rowOff>
        </xdr:to>
        <xdr:sp macro="" textlink="">
          <xdr:nvSpPr>
            <xdr:cNvPr id="335873" name="Button 1" hidden="1">
              <a:extLst>
                <a:ext uri="{63B3BB69-23CF-44E3-9099-C40C66FF867C}">
                  <a14:compatExt spid="_x0000_s335873"/>
                </a:ext>
                <a:ext uri="{FF2B5EF4-FFF2-40B4-BE49-F238E27FC236}">
                  <a16:creationId xmlns:a16="http://schemas.microsoft.com/office/drawing/2014/main" id="{00000000-0008-0000-1200-0000012005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To ISSUE SUMMARY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13</xdr:row>
          <xdr:rowOff>527050</xdr:rowOff>
        </xdr:from>
        <xdr:to>
          <xdr:col>0</xdr:col>
          <xdr:colOff>279400</xdr:colOff>
          <xdr:row>14</xdr:row>
          <xdr:rowOff>222250</xdr:rowOff>
        </xdr:to>
        <xdr:sp macro="" textlink="">
          <xdr:nvSpPr>
            <xdr:cNvPr id="335874" name="Button 2" hidden="1">
              <a:extLst>
                <a:ext uri="{63B3BB69-23CF-44E3-9099-C40C66FF867C}">
                  <a14:compatExt spid="_x0000_s335874"/>
                </a:ext>
                <a:ext uri="{FF2B5EF4-FFF2-40B4-BE49-F238E27FC236}">
                  <a16:creationId xmlns:a16="http://schemas.microsoft.com/office/drawing/2014/main" id="{00000000-0008-0000-1200-0000022005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US" sz="800" b="0" i="0" u="none" strike="noStrike" baseline="0">
                  <a:solidFill>
                    <a:srgbClr val="000000"/>
                  </a:solidFill>
                  <a:latin typeface="Arial"/>
                  <a:cs typeface="Arial"/>
                </a:rPr>
                <a:t>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222250</xdr:rowOff>
        </xdr:from>
        <xdr:to>
          <xdr:col>0</xdr:col>
          <xdr:colOff>266700</xdr:colOff>
          <xdr:row>13</xdr:row>
          <xdr:rowOff>552450</xdr:rowOff>
        </xdr:to>
        <xdr:sp macro="" textlink="">
          <xdr:nvSpPr>
            <xdr:cNvPr id="335875" name="Button 3" hidden="1">
              <a:extLst>
                <a:ext uri="{63B3BB69-23CF-44E3-9099-C40C66FF867C}">
                  <a14:compatExt spid="_x0000_s335875"/>
                </a:ext>
                <a:ext uri="{FF2B5EF4-FFF2-40B4-BE49-F238E27FC236}">
                  <a16:creationId xmlns:a16="http://schemas.microsoft.com/office/drawing/2014/main" id="{00000000-0008-0000-1200-0000032005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US" sz="800" b="0" i="0" u="none" strike="noStrike" baseline="0">
                  <a:solidFill>
                    <a:srgbClr val="000000"/>
                  </a:solidFill>
                  <a:latin typeface="Arial"/>
                  <a:cs typeface="Arial"/>
                </a:rPr>
                <a:t>Y - Def</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88900</xdr:colOff>
          <xdr:row>0</xdr:row>
          <xdr:rowOff>0</xdr:rowOff>
        </xdr:from>
        <xdr:to>
          <xdr:col>3</xdr:col>
          <xdr:colOff>127000</xdr:colOff>
          <xdr:row>1</xdr:row>
          <xdr:rowOff>31750</xdr:rowOff>
        </xdr:to>
        <xdr:sp macro="" textlink="">
          <xdr:nvSpPr>
            <xdr:cNvPr id="155649" name="Button 1" hidden="1">
              <a:extLst>
                <a:ext uri="{63B3BB69-23CF-44E3-9099-C40C66FF867C}">
                  <a14:compatExt spid="_x0000_s155649"/>
                </a:ext>
                <a:ext uri="{FF2B5EF4-FFF2-40B4-BE49-F238E27FC236}">
                  <a16:creationId xmlns:a16="http://schemas.microsoft.com/office/drawing/2014/main" id="{00000000-0008-0000-1300-0000016002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To ISSUE SUMMARY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13</xdr:row>
          <xdr:rowOff>527050</xdr:rowOff>
        </xdr:from>
        <xdr:to>
          <xdr:col>0</xdr:col>
          <xdr:colOff>279400</xdr:colOff>
          <xdr:row>14</xdr:row>
          <xdr:rowOff>222250</xdr:rowOff>
        </xdr:to>
        <xdr:sp macro="" textlink="">
          <xdr:nvSpPr>
            <xdr:cNvPr id="155650" name="Button 2" hidden="1">
              <a:extLst>
                <a:ext uri="{63B3BB69-23CF-44E3-9099-C40C66FF867C}">
                  <a14:compatExt spid="_x0000_s155650"/>
                </a:ext>
                <a:ext uri="{FF2B5EF4-FFF2-40B4-BE49-F238E27FC236}">
                  <a16:creationId xmlns:a16="http://schemas.microsoft.com/office/drawing/2014/main" id="{00000000-0008-0000-1300-0000026002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US" sz="800" b="0" i="0" u="none" strike="noStrike" baseline="0">
                  <a:solidFill>
                    <a:srgbClr val="000000"/>
                  </a:solidFill>
                  <a:latin typeface="Arial"/>
                  <a:cs typeface="Arial"/>
                </a:rPr>
                <a:t>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222250</xdr:rowOff>
        </xdr:from>
        <xdr:to>
          <xdr:col>0</xdr:col>
          <xdr:colOff>266700</xdr:colOff>
          <xdr:row>13</xdr:row>
          <xdr:rowOff>552450</xdr:rowOff>
        </xdr:to>
        <xdr:sp macro="" textlink="">
          <xdr:nvSpPr>
            <xdr:cNvPr id="155651" name="Button 3" hidden="1">
              <a:extLst>
                <a:ext uri="{63B3BB69-23CF-44E3-9099-C40C66FF867C}">
                  <a14:compatExt spid="_x0000_s155651"/>
                </a:ext>
                <a:ext uri="{FF2B5EF4-FFF2-40B4-BE49-F238E27FC236}">
                  <a16:creationId xmlns:a16="http://schemas.microsoft.com/office/drawing/2014/main" id="{00000000-0008-0000-1300-0000036002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US" sz="800" b="0" i="0" u="none" strike="noStrike" baseline="0">
                  <a:solidFill>
                    <a:srgbClr val="000000"/>
                  </a:solidFill>
                  <a:latin typeface="Arial"/>
                  <a:cs typeface="Arial"/>
                </a:rPr>
                <a:t>Y - Def</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88900</xdr:colOff>
          <xdr:row>0</xdr:row>
          <xdr:rowOff>0</xdr:rowOff>
        </xdr:from>
        <xdr:to>
          <xdr:col>3</xdr:col>
          <xdr:colOff>127000</xdr:colOff>
          <xdr:row>1</xdr:row>
          <xdr:rowOff>31750</xdr:rowOff>
        </xdr:to>
        <xdr:sp macro="" textlink="">
          <xdr:nvSpPr>
            <xdr:cNvPr id="157697" name="Button 1" hidden="1">
              <a:extLst>
                <a:ext uri="{63B3BB69-23CF-44E3-9099-C40C66FF867C}">
                  <a14:compatExt spid="_x0000_s157697"/>
                </a:ext>
                <a:ext uri="{FF2B5EF4-FFF2-40B4-BE49-F238E27FC236}">
                  <a16:creationId xmlns:a16="http://schemas.microsoft.com/office/drawing/2014/main" id="{00000000-0008-0000-1400-0000016802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To ISSUE SUMMARY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13</xdr:row>
          <xdr:rowOff>527050</xdr:rowOff>
        </xdr:from>
        <xdr:to>
          <xdr:col>0</xdr:col>
          <xdr:colOff>279400</xdr:colOff>
          <xdr:row>14</xdr:row>
          <xdr:rowOff>222250</xdr:rowOff>
        </xdr:to>
        <xdr:sp macro="" textlink="">
          <xdr:nvSpPr>
            <xdr:cNvPr id="157698" name="Button 2" hidden="1">
              <a:extLst>
                <a:ext uri="{63B3BB69-23CF-44E3-9099-C40C66FF867C}">
                  <a14:compatExt spid="_x0000_s157698"/>
                </a:ext>
                <a:ext uri="{FF2B5EF4-FFF2-40B4-BE49-F238E27FC236}">
                  <a16:creationId xmlns:a16="http://schemas.microsoft.com/office/drawing/2014/main" id="{00000000-0008-0000-1400-0000026802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US" sz="800" b="0" i="0" u="none" strike="noStrike" baseline="0">
                  <a:solidFill>
                    <a:srgbClr val="000000"/>
                  </a:solidFill>
                  <a:latin typeface="Arial"/>
                  <a:cs typeface="Arial"/>
                </a:rPr>
                <a:t>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222250</xdr:rowOff>
        </xdr:from>
        <xdr:to>
          <xdr:col>0</xdr:col>
          <xdr:colOff>266700</xdr:colOff>
          <xdr:row>13</xdr:row>
          <xdr:rowOff>552450</xdr:rowOff>
        </xdr:to>
        <xdr:sp macro="" textlink="">
          <xdr:nvSpPr>
            <xdr:cNvPr id="157699" name="Button 3" hidden="1">
              <a:extLst>
                <a:ext uri="{63B3BB69-23CF-44E3-9099-C40C66FF867C}">
                  <a14:compatExt spid="_x0000_s157699"/>
                </a:ext>
                <a:ext uri="{FF2B5EF4-FFF2-40B4-BE49-F238E27FC236}">
                  <a16:creationId xmlns:a16="http://schemas.microsoft.com/office/drawing/2014/main" id="{00000000-0008-0000-1400-0000036802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US" sz="800" b="0" i="0" u="none" strike="noStrike" baseline="0">
                  <a:solidFill>
                    <a:srgbClr val="000000"/>
                  </a:solidFill>
                  <a:latin typeface="Arial"/>
                  <a:cs typeface="Arial"/>
                </a:rPr>
                <a:t>Y - Def</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88900</xdr:colOff>
          <xdr:row>0</xdr:row>
          <xdr:rowOff>0</xdr:rowOff>
        </xdr:from>
        <xdr:to>
          <xdr:col>3</xdr:col>
          <xdr:colOff>127000</xdr:colOff>
          <xdr:row>1</xdr:row>
          <xdr:rowOff>31750</xdr:rowOff>
        </xdr:to>
        <xdr:sp macro="" textlink="">
          <xdr:nvSpPr>
            <xdr:cNvPr id="217089" name="Button 1" hidden="1">
              <a:extLst>
                <a:ext uri="{63B3BB69-23CF-44E3-9099-C40C66FF867C}">
                  <a14:compatExt spid="_x0000_s217089"/>
                </a:ext>
                <a:ext uri="{FF2B5EF4-FFF2-40B4-BE49-F238E27FC236}">
                  <a16:creationId xmlns:a16="http://schemas.microsoft.com/office/drawing/2014/main" id="{00000000-0008-0000-1500-0000015003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To ISSUE SUMMARY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13</xdr:row>
          <xdr:rowOff>527050</xdr:rowOff>
        </xdr:from>
        <xdr:to>
          <xdr:col>0</xdr:col>
          <xdr:colOff>279400</xdr:colOff>
          <xdr:row>15</xdr:row>
          <xdr:rowOff>203200</xdr:rowOff>
        </xdr:to>
        <xdr:sp macro="" textlink="">
          <xdr:nvSpPr>
            <xdr:cNvPr id="217090" name="Button 2" hidden="1">
              <a:extLst>
                <a:ext uri="{63B3BB69-23CF-44E3-9099-C40C66FF867C}">
                  <a14:compatExt spid="_x0000_s217090"/>
                </a:ext>
                <a:ext uri="{FF2B5EF4-FFF2-40B4-BE49-F238E27FC236}">
                  <a16:creationId xmlns:a16="http://schemas.microsoft.com/office/drawing/2014/main" id="{00000000-0008-0000-1500-0000025003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US" sz="800" b="0" i="0" u="none" strike="noStrike" baseline="0">
                  <a:solidFill>
                    <a:srgbClr val="000000"/>
                  </a:solidFill>
                  <a:latin typeface="Arial"/>
                  <a:cs typeface="Arial"/>
                </a:rPr>
                <a:t>N-Def</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222250</xdr:rowOff>
        </xdr:from>
        <xdr:to>
          <xdr:col>0</xdr:col>
          <xdr:colOff>266700</xdr:colOff>
          <xdr:row>13</xdr:row>
          <xdr:rowOff>438150</xdr:rowOff>
        </xdr:to>
        <xdr:sp macro="" textlink="">
          <xdr:nvSpPr>
            <xdr:cNvPr id="217091" name="Button 3" hidden="1">
              <a:extLst>
                <a:ext uri="{63B3BB69-23CF-44E3-9099-C40C66FF867C}">
                  <a14:compatExt spid="_x0000_s217091"/>
                </a:ext>
                <a:ext uri="{FF2B5EF4-FFF2-40B4-BE49-F238E27FC236}">
                  <a16:creationId xmlns:a16="http://schemas.microsoft.com/office/drawing/2014/main" id="{00000000-0008-0000-1500-0000035003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US" sz="800" b="0" i="0" u="none" strike="noStrike" baseline="0">
                  <a:solidFill>
                    <a:srgbClr val="000000"/>
                  </a:solidFill>
                  <a:latin typeface="Arial"/>
                  <a:cs typeface="Arial"/>
                </a:rPr>
                <a:t>Y </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31750</xdr:colOff>
          <xdr:row>0</xdr:row>
          <xdr:rowOff>95250</xdr:rowOff>
        </xdr:from>
        <xdr:to>
          <xdr:col>3</xdr:col>
          <xdr:colOff>146050</xdr:colOff>
          <xdr:row>1</xdr:row>
          <xdr:rowOff>50800</xdr:rowOff>
        </xdr:to>
        <xdr:sp macro="" textlink="">
          <xdr:nvSpPr>
            <xdr:cNvPr id="111617" name="Button 1" hidden="1">
              <a:extLst>
                <a:ext uri="{63B3BB69-23CF-44E3-9099-C40C66FF867C}">
                  <a14:compatExt spid="_x0000_s111617"/>
                </a:ext>
                <a:ext uri="{FF2B5EF4-FFF2-40B4-BE49-F238E27FC236}">
                  <a16:creationId xmlns:a16="http://schemas.microsoft.com/office/drawing/2014/main" id="{00000000-0008-0000-1700-000001B401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To ISSUE SUMMARY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13</xdr:row>
          <xdr:rowOff>266700</xdr:rowOff>
        </xdr:from>
        <xdr:to>
          <xdr:col>1</xdr:col>
          <xdr:colOff>0</xdr:colOff>
          <xdr:row>14</xdr:row>
          <xdr:rowOff>12700</xdr:rowOff>
        </xdr:to>
        <xdr:sp macro="" textlink="">
          <xdr:nvSpPr>
            <xdr:cNvPr id="111618" name="Button 2" hidden="1">
              <a:extLst>
                <a:ext uri="{63B3BB69-23CF-44E3-9099-C40C66FF867C}">
                  <a14:compatExt spid="_x0000_s111618"/>
                </a:ext>
                <a:ext uri="{FF2B5EF4-FFF2-40B4-BE49-F238E27FC236}">
                  <a16:creationId xmlns:a16="http://schemas.microsoft.com/office/drawing/2014/main" id="{00000000-0008-0000-1700-000002B401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US" sz="800" b="0" i="0" u="none" strike="noStrike" baseline="0">
                  <a:solidFill>
                    <a:srgbClr val="000000"/>
                  </a:solidFill>
                  <a:latin typeface="Arial"/>
                  <a:cs typeface="Arial"/>
                </a:rPr>
                <a:t>N-DEF</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13</xdr:row>
          <xdr:rowOff>641350</xdr:rowOff>
        </xdr:from>
        <xdr:to>
          <xdr:col>0</xdr:col>
          <xdr:colOff>279400</xdr:colOff>
          <xdr:row>15</xdr:row>
          <xdr:rowOff>50800</xdr:rowOff>
        </xdr:to>
        <xdr:sp macro="" textlink="">
          <xdr:nvSpPr>
            <xdr:cNvPr id="111619" name="Button 3" hidden="1">
              <a:extLst>
                <a:ext uri="{63B3BB69-23CF-44E3-9099-C40C66FF867C}">
                  <a14:compatExt spid="_x0000_s111619"/>
                </a:ext>
                <a:ext uri="{FF2B5EF4-FFF2-40B4-BE49-F238E27FC236}">
                  <a16:creationId xmlns:a16="http://schemas.microsoft.com/office/drawing/2014/main" id="{00000000-0008-0000-1700-000003B401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US" sz="800" b="0" i="0" u="none" strike="noStrike" baseline="0">
                  <a:solidFill>
                    <a:srgbClr val="000000"/>
                  </a:solidFill>
                  <a:latin typeface="Arial"/>
                  <a:cs typeface="Arial"/>
                </a:rPr>
                <a:t>Y </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88900</xdr:colOff>
          <xdr:row>0</xdr:row>
          <xdr:rowOff>0</xdr:rowOff>
        </xdr:from>
        <xdr:to>
          <xdr:col>3</xdr:col>
          <xdr:colOff>127000</xdr:colOff>
          <xdr:row>1</xdr:row>
          <xdr:rowOff>31750</xdr:rowOff>
        </xdr:to>
        <xdr:sp macro="" textlink="">
          <xdr:nvSpPr>
            <xdr:cNvPr id="317441" name="Button 1" hidden="1">
              <a:extLst>
                <a:ext uri="{63B3BB69-23CF-44E3-9099-C40C66FF867C}">
                  <a14:compatExt spid="_x0000_s317441"/>
                </a:ext>
                <a:ext uri="{FF2B5EF4-FFF2-40B4-BE49-F238E27FC236}">
                  <a16:creationId xmlns:a16="http://schemas.microsoft.com/office/drawing/2014/main" id="{00000000-0008-0000-1800-000001D804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To ISSUE SUMMARY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13</xdr:row>
          <xdr:rowOff>527050</xdr:rowOff>
        </xdr:from>
        <xdr:to>
          <xdr:col>0</xdr:col>
          <xdr:colOff>279400</xdr:colOff>
          <xdr:row>14</xdr:row>
          <xdr:rowOff>222250</xdr:rowOff>
        </xdr:to>
        <xdr:sp macro="" textlink="">
          <xdr:nvSpPr>
            <xdr:cNvPr id="317442" name="Button 2" hidden="1">
              <a:extLst>
                <a:ext uri="{63B3BB69-23CF-44E3-9099-C40C66FF867C}">
                  <a14:compatExt spid="_x0000_s317442"/>
                </a:ext>
                <a:ext uri="{FF2B5EF4-FFF2-40B4-BE49-F238E27FC236}">
                  <a16:creationId xmlns:a16="http://schemas.microsoft.com/office/drawing/2014/main" id="{00000000-0008-0000-1800-000002D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US" sz="800" b="0" i="0" u="none" strike="noStrike" baseline="0">
                  <a:solidFill>
                    <a:srgbClr val="000000"/>
                  </a:solidFill>
                  <a:latin typeface="Arial"/>
                  <a:cs typeface="Arial"/>
                </a:rPr>
                <a:t>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222250</xdr:rowOff>
        </xdr:from>
        <xdr:to>
          <xdr:col>0</xdr:col>
          <xdr:colOff>266700</xdr:colOff>
          <xdr:row>13</xdr:row>
          <xdr:rowOff>552450</xdr:rowOff>
        </xdr:to>
        <xdr:sp macro="" textlink="">
          <xdr:nvSpPr>
            <xdr:cNvPr id="317443" name="Button 3" hidden="1">
              <a:extLst>
                <a:ext uri="{63B3BB69-23CF-44E3-9099-C40C66FF867C}">
                  <a14:compatExt spid="_x0000_s317443"/>
                </a:ext>
                <a:ext uri="{FF2B5EF4-FFF2-40B4-BE49-F238E27FC236}">
                  <a16:creationId xmlns:a16="http://schemas.microsoft.com/office/drawing/2014/main" id="{00000000-0008-0000-1800-000003D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US" sz="800" b="0" i="0" u="none" strike="noStrike" baseline="0">
                  <a:solidFill>
                    <a:srgbClr val="000000"/>
                  </a:solidFill>
                  <a:latin typeface="Arial"/>
                  <a:cs typeface="Arial"/>
                </a:rPr>
                <a:t>Y - Def</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OCSVRFS03\Documents%20and%20Settings\rmendoza\Desktop\SAN%20JOAQUIN%20Audit%20'10\Workpapers\B-11\B-11%20Testing%20Worksheets_San%20Joaquin%202010%20(Autosave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lira\Desktop\Stuff%202\DistributionWorksheets%202018%20Training%20W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 List"/>
      <sheetName val="2009 UPDATE"/>
      <sheetName val="2010 UPDATE"/>
      <sheetName val="TEST SUMMARY"/>
      <sheetName val="Sheet1"/>
      <sheetName val="Section"/>
      <sheetName val="Acct Mapping"/>
      <sheetName val="NOTES"/>
      <sheetName val="Pmt Plan"/>
      <sheetName val="1-DUI (ALT)"/>
      <sheetName val="1-DUI"/>
      <sheetName val="2-DUI"/>
      <sheetName val="3-RD"/>
      <sheetName val="4-RRBF"/>
      <sheetName val="5-RRTS"/>
      <sheetName val="6-RLBF"/>
      <sheetName val="6-RLBF (2)"/>
      <sheetName val="7-RLTS"/>
      <sheetName val="8-RLTS (No 30%)"/>
      <sheetName val="9-SpBF"/>
      <sheetName val="10-SpTS"/>
      <sheetName val="11-CSBF"/>
      <sheetName val="12-CSTS"/>
      <sheetName val="13-UC"/>
      <sheetName val="14-POC"/>
      <sheetName val="15-POI"/>
      <sheetName val="16-DV"/>
      <sheetName val="17-HS"/>
      <sheetName val="18-HS (w AIDS Prg)"/>
      <sheetName val="19-FG"/>
      <sheetName val="6-RLBF (ALL)"/>
      <sheetName val="6-RLBF (Ct.1)"/>
      <sheetName val="6-RLBF (Ct.2 &amp; 3)"/>
      <sheetName val="Sheet2"/>
      <sheetName val="Sheet3"/>
      <sheetName val="6-RLBF (3)"/>
    </sheetNames>
    <sheetDataSet>
      <sheetData sheetId="0">
        <row r="1">
          <cell r="A1" t="str">
            <v>TOP-DOWN   (B-C)</v>
          </cell>
        </row>
        <row r="2">
          <cell r="A2" t="str">
            <v>BASE-UP   (B-A)</v>
          </cell>
        </row>
      </sheetData>
      <sheetData sheetId="1"/>
      <sheetData sheetId="2"/>
      <sheetData sheetId="3"/>
      <sheetData sheetId="4">
        <row r="1">
          <cell r="D1" t="str">
            <v>SELECT COURT NAME</v>
          </cell>
        </row>
        <row r="2">
          <cell r="D2" t="str">
            <v>Superior Court of Alameda County</v>
          </cell>
        </row>
        <row r="3">
          <cell r="D3" t="str">
            <v>Superior Court of Alpine County</v>
          </cell>
        </row>
        <row r="4">
          <cell r="D4" t="str">
            <v>Superior Court of Amador County</v>
          </cell>
        </row>
        <row r="5">
          <cell r="D5" t="str">
            <v>Superior Court of Butte County</v>
          </cell>
        </row>
        <row r="6">
          <cell r="D6" t="str">
            <v>Superior Court of Claveras County</v>
          </cell>
        </row>
        <row r="7">
          <cell r="D7" t="str">
            <v>Superior Court of Colusa County</v>
          </cell>
        </row>
        <row r="8">
          <cell r="D8" t="str">
            <v>Superior Court of Contra Costa County</v>
          </cell>
        </row>
        <row r="9">
          <cell r="D9" t="str">
            <v>Superior Court of Del Norte County</v>
          </cell>
        </row>
        <row r="10">
          <cell r="D10" t="str">
            <v>Superior Court of El Dorado County</v>
          </cell>
        </row>
        <row r="11">
          <cell r="D11" t="str">
            <v>Superior Court of Fresno County</v>
          </cell>
        </row>
        <row r="12">
          <cell r="D12" t="str">
            <v>Superior Court of Glenn County</v>
          </cell>
        </row>
        <row r="13">
          <cell r="D13" t="str">
            <v>Superior Court of Humboldt County</v>
          </cell>
        </row>
        <row r="14">
          <cell r="D14" t="str">
            <v>Superior Court of Imperial County</v>
          </cell>
        </row>
        <row r="15">
          <cell r="D15" t="str">
            <v>Superior Court of Inyo County</v>
          </cell>
        </row>
        <row r="16">
          <cell r="D16" t="str">
            <v>Superior Court of Kern County</v>
          </cell>
        </row>
        <row r="17">
          <cell r="D17" t="str">
            <v>Superior Court of Kings County</v>
          </cell>
        </row>
        <row r="18">
          <cell r="D18" t="str">
            <v>Superior Court of Lake County</v>
          </cell>
        </row>
        <row r="19">
          <cell r="D19" t="str">
            <v>Superior Court of Lassen County</v>
          </cell>
        </row>
        <row r="20">
          <cell r="D20" t="str">
            <v>Superior Court of Los Angeles County</v>
          </cell>
        </row>
        <row r="21">
          <cell r="D21" t="str">
            <v>Superior Court of Madera County</v>
          </cell>
        </row>
        <row r="22">
          <cell r="D22" t="str">
            <v>Superior Court of Marin County</v>
          </cell>
        </row>
        <row r="23">
          <cell r="D23" t="str">
            <v>Superior Court of Mariposa County</v>
          </cell>
        </row>
        <row r="24">
          <cell r="D24" t="str">
            <v>Superior Court of Mendocino County</v>
          </cell>
        </row>
        <row r="25">
          <cell r="D25" t="str">
            <v>Superior Court of Merced County</v>
          </cell>
        </row>
        <row r="26">
          <cell r="D26" t="str">
            <v>Superior Court of Modoc County</v>
          </cell>
        </row>
        <row r="27">
          <cell r="D27" t="str">
            <v>Superior Court of Mono County</v>
          </cell>
        </row>
        <row r="28">
          <cell r="D28" t="str">
            <v>Superior Court of Monterey County</v>
          </cell>
        </row>
        <row r="29">
          <cell r="D29" t="str">
            <v>Superior Court of Napa County</v>
          </cell>
        </row>
        <row r="30">
          <cell r="D30" t="str">
            <v>Superior Court of Nevada County</v>
          </cell>
        </row>
        <row r="31">
          <cell r="D31" t="str">
            <v>Superior Court of Orange County</v>
          </cell>
        </row>
        <row r="32">
          <cell r="D32" t="str">
            <v>Superior Court of Plumas County</v>
          </cell>
        </row>
        <row r="33">
          <cell r="D33" t="str">
            <v>Superior Court of Placer County</v>
          </cell>
        </row>
        <row r="34">
          <cell r="D34" t="str">
            <v>Superior Court of Riverside County</v>
          </cell>
        </row>
        <row r="35">
          <cell r="D35" t="str">
            <v>Superior Court of Sacramento County</v>
          </cell>
        </row>
        <row r="36">
          <cell r="D36" t="str">
            <v>Superior Court of San Benito County</v>
          </cell>
        </row>
        <row r="37">
          <cell r="D37" t="str">
            <v>Superior Court of San Bernardino County</v>
          </cell>
        </row>
        <row r="38">
          <cell r="D38" t="str">
            <v>Superior Court of San Diego County</v>
          </cell>
        </row>
        <row r="39">
          <cell r="D39" t="str">
            <v>Superior Court of San Francisco County</v>
          </cell>
        </row>
        <row r="40">
          <cell r="D40" t="str">
            <v>Superior Court of San Joaquin County</v>
          </cell>
        </row>
        <row r="41">
          <cell r="D41" t="str">
            <v>Superior Court of San Luis Obispo County</v>
          </cell>
        </row>
        <row r="42">
          <cell r="D42" t="str">
            <v>Superior Court of San Mateo County</v>
          </cell>
        </row>
        <row r="43">
          <cell r="D43" t="str">
            <v>Superior Court of Santa Barbara County</v>
          </cell>
        </row>
        <row r="44">
          <cell r="D44" t="str">
            <v>Superior Court of Santa Clara County</v>
          </cell>
        </row>
        <row r="45">
          <cell r="D45" t="str">
            <v>Superior Court of Santa Cruz County</v>
          </cell>
        </row>
        <row r="46">
          <cell r="D46" t="str">
            <v>Superior Court of Shasta County</v>
          </cell>
        </row>
        <row r="47">
          <cell r="D47" t="str">
            <v>Superior Court of Sierra County</v>
          </cell>
        </row>
        <row r="48">
          <cell r="D48" t="str">
            <v>Superior Court of Siskiyou County</v>
          </cell>
        </row>
        <row r="49">
          <cell r="D49" t="str">
            <v>Superior Court of Solano County</v>
          </cell>
        </row>
        <row r="50">
          <cell r="D50" t="str">
            <v>Superior Court of Sonoma County</v>
          </cell>
        </row>
        <row r="51">
          <cell r="D51" t="str">
            <v>Superior Court of Stanislaus County</v>
          </cell>
        </row>
        <row r="52">
          <cell r="D52" t="str">
            <v>Superior Court of Sutter County</v>
          </cell>
        </row>
        <row r="53">
          <cell r="D53" t="str">
            <v>Superior Court of Tehama County</v>
          </cell>
        </row>
        <row r="54">
          <cell r="D54" t="str">
            <v>Superior Court of Trinity County</v>
          </cell>
        </row>
        <row r="55">
          <cell r="D55" t="str">
            <v>Superior Court of Tulare County</v>
          </cell>
        </row>
        <row r="56">
          <cell r="D56" t="str">
            <v>Superior Court of Tuolumne County</v>
          </cell>
        </row>
        <row r="57">
          <cell r="D57" t="str">
            <v>Superior Court of Ventura County</v>
          </cell>
        </row>
        <row r="58">
          <cell r="D58" t="str">
            <v>Superior Court of Yolo County</v>
          </cell>
        </row>
        <row r="59">
          <cell r="D59" t="str">
            <v>Superior Court of Yuba County</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 List"/>
      <sheetName val="2009 UPDATE"/>
      <sheetName val="Cover Page"/>
      <sheetName val="Worksheets Included"/>
      <sheetName val="2014 UPDATE"/>
      <sheetName val="2013 UPDATE"/>
      <sheetName val="2012 UPDATE"/>
      <sheetName val="2011 UPDATE"/>
      <sheetName val="2010 UPDATE"/>
      <sheetName val="Local Penalties"/>
      <sheetName val="TEST SUMMARY"/>
      <sheetName val="Sheet1"/>
      <sheetName val="Section"/>
      <sheetName val="Acct Mapping"/>
      <sheetName val="Pmt Plan Tmpl"/>
      <sheetName val="1-DUI (ALT)"/>
      <sheetName val="1-DUI (Reduce Base)"/>
      <sheetName val="3-RD (Reduce Base)"/>
      <sheetName val="4-RRBF"/>
      <sheetName val="5-RRTS (BF &amp; No 2%)"/>
      <sheetName val="7-RLTS"/>
      <sheetName val="8-RLBF (No 30%)"/>
      <sheetName val="9-SpBF"/>
      <sheetName val="Speeding BF"/>
      <sheetName val="Reckless Driving "/>
      <sheetName val="DUI"/>
      <sheetName val="POI"/>
      <sheetName val="H&amp;S"/>
      <sheetName val="Juvenile MV"/>
      <sheetName val="Speeding TS"/>
      <sheetName val="Red Light BF"/>
      <sheetName val="Red Light BF (No 30%)"/>
      <sheetName val="Red Light TS"/>
      <sheetName val="RailRoad TS"/>
      <sheetName val="Child Seat TS"/>
      <sheetName val="H&amp;S PC1463.23"/>
      <sheetName val="11-CSBF"/>
      <sheetName val="12-CSTS (BF &amp; 2%)"/>
      <sheetName val="13-UC"/>
      <sheetName val="14-POC"/>
      <sheetName val="15-POI (Base Reduce)"/>
      <sheetName val="16-DV"/>
      <sheetName val="17-HS (Enhance Base)"/>
      <sheetName val="18-HS (Enh-Red Base)"/>
      <sheetName val="19-FG"/>
    </sheetNames>
    <sheetDataSet>
      <sheetData sheetId="0">
        <row r="12">
          <cell r="A12" t="str">
            <v>Yes</v>
          </cell>
        </row>
        <row r="13">
          <cell r="A13" t="str">
            <v>No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leginfo.legislature.ca.gov/faces/codes_displaySection.xhtml?sectionNum=42007.&amp;lawCode=VEH" TargetMode="External"/><Relationship Id="rId1" Type="http://schemas.openxmlformats.org/officeDocument/2006/relationships/hyperlink" Target="http://leginfo.legislature.ca.gov/faces/codes_displaySection.xhtml?sectionNum=1463.002.&amp;lawCode=PEN" TargetMode="External"/><Relationship Id="rId4"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drawing" Target="../drawings/drawing3.xml"/><Relationship Id="rId7" Type="http://schemas.openxmlformats.org/officeDocument/2006/relationships/ctrlProp" Target="../ctrlProps/ctrlProp3.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4.v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omments" Target="../comments5.xml"/><Relationship Id="rId2" Type="http://schemas.openxmlformats.org/officeDocument/2006/relationships/drawing" Target="../drawings/drawing4.xml"/><Relationship Id="rId1" Type="http://schemas.openxmlformats.org/officeDocument/2006/relationships/printerSettings" Target="../printerSettings/printerSettings17.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omments" Target="../comments6.xml"/><Relationship Id="rId2" Type="http://schemas.openxmlformats.org/officeDocument/2006/relationships/drawing" Target="../drawings/drawing5.xml"/><Relationship Id="rId1" Type="http://schemas.openxmlformats.org/officeDocument/2006/relationships/printerSettings" Target="../printerSettings/printerSettings18.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omments" Target="../comments7.xml"/><Relationship Id="rId2" Type="http://schemas.openxmlformats.org/officeDocument/2006/relationships/drawing" Target="../drawings/drawing6.xml"/><Relationship Id="rId1" Type="http://schemas.openxmlformats.org/officeDocument/2006/relationships/printerSettings" Target="../printerSettings/printerSettings19.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comments" Target="../comments8.xml"/><Relationship Id="rId2" Type="http://schemas.openxmlformats.org/officeDocument/2006/relationships/drawing" Target="../drawings/drawing7.xml"/><Relationship Id="rId1" Type="http://schemas.openxmlformats.org/officeDocument/2006/relationships/printerSettings" Target="../printerSettings/printerSettings20.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9.vml"/><Relationship Id="rId7" Type="http://schemas.openxmlformats.org/officeDocument/2006/relationships/comments" Target="../comments9.xml"/><Relationship Id="rId2" Type="http://schemas.openxmlformats.org/officeDocument/2006/relationships/drawing" Target="../drawings/drawing8.xml"/><Relationship Id="rId1" Type="http://schemas.openxmlformats.org/officeDocument/2006/relationships/printerSettings" Target="../printerSettings/printerSettings21.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0.vml"/><Relationship Id="rId7" Type="http://schemas.openxmlformats.org/officeDocument/2006/relationships/comments" Target="../comments10.xml"/><Relationship Id="rId2" Type="http://schemas.openxmlformats.org/officeDocument/2006/relationships/drawing" Target="../drawings/drawing9.xml"/><Relationship Id="rId1" Type="http://schemas.openxmlformats.org/officeDocument/2006/relationships/printerSettings" Target="../printerSettings/printerSettings22.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1.vml"/><Relationship Id="rId7" Type="http://schemas.openxmlformats.org/officeDocument/2006/relationships/comments" Target="../comments11.xml"/><Relationship Id="rId2" Type="http://schemas.openxmlformats.org/officeDocument/2006/relationships/drawing" Target="../drawings/drawing10.xml"/><Relationship Id="rId1" Type="http://schemas.openxmlformats.org/officeDocument/2006/relationships/printerSettings" Target="../printerSettings/printerSettings23.bin"/><Relationship Id="rId6" Type="http://schemas.openxmlformats.org/officeDocument/2006/relationships/ctrlProp" Target="../ctrlProps/ctrlProp24.xml"/><Relationship Id="rId5" Type="http://schemas.openxmlformats.org/officeDocument/2006/relationships/ctrlProp" Target="../ctrlProps/ctrlProp23.xml"/><Relationship Id="rId4" Type="http://schemas.openxmlformats.org/officeDocument/2006/relationships/ctrlProp" Target="../ctrlProps/ctrlProp22.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2.vml"/><Relationship Id="rId7" Type="http://schemas.openxmlformats.org/officeDocument/2006/relationships/comments" Target="../comments12.xml"/><Relationship Id="rId2" Type="http://schemas.openxmlformats.org/officeDocument/2006/relationships/drawing" Target="../drawings/drawing11.xml"/><Relationship Id="rId1" Type="http://schemas.openxmlformats.org/officeDocument/2006/relationships/printerSettings" Target="../printerSettings/printerSettings24.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13.vml"/><Relationship Id="rId7" Type="http://schemas.openxmlformats.org/officeDocument/2006/relationships/comments" Target="../comments13.xml"/><Relationship Id="rId2" Type="http://schemas.openxmlformats.org/officeDocument/2006/relationships/drawing" Target="../drawings/drawing12.xml"/><Relationship Id="rId1" Type="http://schemas.openxmlformats.org/officeDocument/2006/relationships/printerSettings" Target="../printerSettings/printerSettings25.bin"/><Relationship Id="rId6" Type="http://schemas.openxmlformats.org/officeDocument/2006/relationships/ctrlProp" Target="../ctrlProps/ctrlProp30.xml"/><Relationship Id="rId5" Type="http://schemas.openxmlformats.org/officeDocument/2006/relationships/ctrlProp" Target="../ctrlProps/ctrlProp29.xml"/><Relationship Id="rId4" Type="http://schemas.openxmlformats.org/officeDocument/2006/relationships/ctrlProp" Target="../ctrlProps/ctrlProp28.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14.vml"/><Relationship Id="rId7" Type="http://schemas.openxmlformats.org/officeDocument/2006/relationships/comments" Target="../comments14.xml"/><Relationship Id="rId2" Type="http://schemas.openxmlformats.org/officeDocument/2006/relationships/drawing" Target="../drawings/drawing13.xml"/><Relationship Id="rId1" Type="http://schemas.openxmlformats.org/officeDocument/2006/relationships/printerSettings" Target="../printerSettings/printerSettings26.bin"/><Relationship Id="rId6" Type="http://schemas.openxmlformats.org/officeDocument/2006/relationships/ctrlProp" Target="../ctrlProps/ctrlProp33.xml"/><Relationship Id="rId5" Type="http://schemas.openxmlformats.org/officeDocument/2006/relationships/ctrlProp" Target="../ctrlProps/ctrlProp32.xml"/><Relationship Id="rId4" Type="http://schemas.openxmlformats.org/officeDocument/2006/relationships/ctrlProp" Target="../ctrlProps/ctrlProp3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27.bin"/><Relationship Id="rId6" Type="http://schemas.openxmlformats.org/officeDocument/2006/relationships/ctrlProp" Target="../ctrlProps/ctrlProp36.xml"/><Relationship Id="rId5" Type="http://schemas.openxmlformats.org/officeDocument/2006/relationships/ctrlProp" Target="../ctrlProps/ctrlProp35.xml"/><Relationship Id="rId4" Type="http://schemas.openxmlformats.org/officeDocument/2006/relationships/ctrlProp" Target="../ctrlProps/ctrlProp34.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16.vml"/><Relationship Id="rId7" Type="http://schemas.openxmlformats.org/officeDocument/2006/relationships/comments" Target="../comments15.xml"/><Relationship Id="rId2" Type="http://schemas.openxmlformats.org/officeDocument/2006/relationships/drawing" Target="../drawings/drawing15.xml"/><Relationship Id="rId1" Type="http://schemas.openxmlformats.org/officeDocument/2006/relationships/printerSettings" Target="../printerSettings/printerSettings28.bin"/><Relationship Id="rId6" Type="http://schemas.openxmlformats.org/officeDocument/2006/relationships/ctrlProp" Target="../ctrlProps/ctrlProp39.xml"/><Relationship Id="rId5" Type="http://schemas.openxmlformats.org/officeDocument/2006/relationships/ctrlProp" Target="../ctrlProps/ctrlProp38.xml"/><Relationship Id="rId4" Type="http://schemas.openxmlformats.org/officeDocument/2006/relationships/ctrlProp" Target="../ctrlProps/ctrlProp37.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17.vml"/><Relationship Id="rId7" Type="http://schemas.openxmlformats.org/officeDocument/2006/relationships/comments" Target="../comments16.xml"/><Relationship Id="rId2" Type="http://schemas.openxmlformats.org/officeDocument/2006/relationships/drawing" Target="../drawings/drawing16.xml"/><Relationship Id="rId1" Type="http://schemas.openxmlformats.org/officeDocument/2006/relationships/printerSettings" Target="../printerSettings/printerSettings29.bin"/><Relationship Id="rId6" Type="http://schemas.openxmlformats.org/officeDocument/2006/relationships/ctrlProp" Target="../ctrlProps/ctrlProp42.xml"/><Relationship Id="rId5" Type="http://schemas.openxmlformats.org/officeDocument/2006/relationships/ctrlProp" Target="../ctrlProps/ctrlProp41.xml"/><Relationship Id="rId4" Type="http://schemas.openxmlformats.org/officeDocument/2006/relationships/ctrlProp" Target="../ctrlProps/ctrlProp40.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18.vml"/><Relationship Id="rId7" Type="http://schemas.openxmlformats.org/officeDocument/2006/relationships/comments" Target="../comments17.xml"/><Relationship Id="rId2" Type="http://schemas.openxmlformats.org/officeDocument/2006/relationships/drawing" Target="../drawings/drawing17.xml"/><Relationship Id="rId1" Type="http://schemas.openxmlformats.org/officeDocument/2006/relationships/printerSettings" Target="../printerSettings/printerSettings30.bin"/><Relationship Id="rId6" Type="http://schemas.openxmlformats.org/officeDocument/2006/relationships/ctrlProp" Target="../ctrlProps/ctrlProp45.xml"/><Relationship Id="rId5" Type="http://schemas.openxmlformats.org/officeDocument/2006/relationships/ctrlProp" Target="../ctrlProps/ctrlProp44.xml"/><Relationship Id="rId4" Type="http://schemas.openxmlformats.org/officeDocument/2006/relationships/ctrlProp" Target="../ctrlProps/ctrlProp43.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19.vml"/><Relationship Id="rId7" Type="http://schemas.openxmlformats.org/officeDocument/2006/relationships/comments" Target="../comments18.xml"/><Relationship Id="rId2" Type="http://schemas.openxmlformats.org/officeDocument/2006/relationships/drawing" Target="../drawings/drawing18.xml"/><Relationship Id="rId1" Type="http://schemas.openxmlformats.org/officeDocument/2006/relationships/printerSettings" Target="../printerSettings/printerSettings31.bin"/><Relationship Id="rId6" Type="http://schemas.openxmlformats.org/officeDocument/2006/relationships/ctrlProp" Target="../ctrlProps/ctrlProp48.xml"/><Relationship Id="rId5" Type="http://schemas.openxmlformats.org/officeDocument/2006/relationships/ctrlProp" Target="../ctrlProps/ctrlProp47.xml"/><Relationship Id="rId4" Type="http://schemas.openxmlformats.org/officeDocument/2006/relationships/ctrlProp" Target="../ctrlProps/ctrlProp46.x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20.vml"/><Relationship Id="rId7" Type="http://schemas.openxmlformats.org/officeDocument/2006/relationships/comments" Target="../comments19.xml"/><Relationship Id="rId2" Type="http://schemas.openxmlformats.org/officeDocument/2006/relationships/drawing" Target="../drawings/drawing19.xml"/><Relationship Id="rId1" Type="http://schemas.openxmlformats.org/officeDocument/2006/relationships/printerSettings" Target="../printerSettings/printerSettings32.bin"/><Relationship Id="rId6" Type="http://schemas.openxmlformats.org/officeDocument/2006/relationships/ctrlProp" Target="../ctrlProps/ctrlProp51.xml"/><Relationship Id="rId5" Type="http://schemas.openxmlformats.org/officeDocument/2006/relationships/ctrlProp" Target="../ctrlProps/ctrlProp50.xml"/><Relationship Id="rId4" Type="http://schemas.openxmlformats.org/officeDocument/2006/relationships/ctrlProp" Target="../ctrlProps/ctrlProp4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A13"/>
  <sheetViews>
    <sheetView workbookViewId="0">
      <selection activeCell="A12" sqref="A12:A13"/>
    </sheetView>
  </sheetViews>
  <sheetFormatPr defaultRowHeight="12.5" x14ac:dyDescent="0.25"/>
  <cols>
    <col min="1" max="1" width="18.453125" customWidth="1"/>
  </cols>
  <sheetData>
    <row r="1" spans="1:1" x14ac:dyDescent="0.25">
      <c r="A1" s="221" t="s">
        <v>301</v>
      </c>
    </row>
    <row r="2" spans="1:1" x14ac:dyDescent="0.25">
      <c r="A2" s="221" t="s">
        <v>300</v>
      </c>
    </row>
    <row r="4" spans="1:1" x14ac:dyDescent="0.25">
      <c r="A4" s="36" t="s">
        <v>436</v>
      </c>
    </row>
    <row r="5" spans="1:1" x14ac:dyDescent="0.25">
      <c r="A5" s="36" t="s">
        <v>437</v>
      </c>
    </row>
    <row r="6" spans="1:1" x14ac:dyDescent="0.25">
      <c r="A6" s="36" t="s">
        <v>442</v>
      </c>
    </row>
    <row r="8" spans="1:1" x14ac:dyDescent="0.25">
      <c r="A8" s="36" t="s">
        <v>436</v>
      </c>
    </row>
    <row r="9" spans="1:1" x14ac:dyDescent="0.25">
      <c r="A9" s="36" t="s">
        <v>437</v>
      </c>
    </row>
    <row r="10" spans="1:1" x14ac:dyDescent="0.25">
      <c r="A10" s="36" t="s">
        <v>443</v>
      </c>
    </row>
    <row r="12" spans="1:1" x14ac:dyDescent="0.25">
      <c r="A12" s="36" t="s">
        <v>436</v>
      </c>
    </row>
    <row r="13" spans="1:1" x14ac:dyDescent="0.25">
      <c r="A13" s="36" t="s">
        <v>437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9FBBB"/>
  </sheetPr>
  <dimension ref="A1:B78"/>
  <sheetViews>
    <sheetView zoomScaleNormal="100" zoomScaleSheetLayoutView="80" workbookViewId="0">
      <selection activeCell="E53" sqref="E53"/>
    </sheetView>
  </sheetViews>
  <sheetFormatPr defaultRowHeight="12.5" x14ac:dyDescent="0.25"/>
  <cols>
    <col min="1" max="1" width="51.7265625" bestFit="1" customWidth="1"/>
    <col min="2" max="2" width="18.54296875" bestFit="1" customWidth="1"/>
    <col min="5" max="5" width="15.54296875" bestFit="1" customWidth="1"/>
  </cols>
  <sheetData>
    <row r="1" spans="1:2" s="636" customFormat="1" ht="18" thickBot="1" x14ac:dyDescent="0.4">
      <c r="A1" s="646" t="s">
        <v>567</v>
      </c>
      <c r="B1" s="650" t="s">
        <v>144</v>
      </c>
    </row>
    <row r="3" spans="1:2" ht="17.5" x14ac:dyDescent="0.35">
      <c r="A3" s="799" t="s">
        <v>569</v>
      </c>
      <c r="B3" s="799"/>
    </row>
    <row r="4" spans="1:2" ht="13" thickBot="1" x14ac:dyDescent="0.3"/>
    <row r="5" spans="1:2" s="635" customFormat="1" ht="31" x14ac:dyDescent="0.35">
      <c r="A5" s="647" t="s">
        <v>570</v>
      </c>
      <c r="B5" s="651" t="s">
        <v>436</v>
      </c>
    </row>
    <row r="6" spans="1:2" s="635" customFormat="1" ht="31.5" thickBot="1" x14ac:dyDescent="0.4">
      <c r="A6" s="648" t="s">
        <v>571</v>
      </c>
      <c r="B6" s="652" t="s">
        <v>436</v>
      </c>
    </row>
    <row r="7" spans="1:2" ht="13" thickBot="1" x14ac:dyDescent="0.3"/>
    <row r="8" spans="1:2" s="17" customFormat="1" ht="37.5" customHeight="1" thickBot="1" x14ac:dyDescent="0.4">
      <c r="A8" s="649" t="str">
        <f>"GC 76000 Local Penalties for " &amp;B1&amp; " County"</f>
        <v>GC 76000 Local Penalties for Sacramento County</v>
      </c>
      <c r="B8" s="653">
        <f>IF(AND(B5="Yes", B6="Yes"), VLOOKUP(B1,A12:B69,2), 7)</f>
        <v>5</v>
      </c>
    </row>
    <row r="9" spans="1:2" s="17" customFormat="1" ht="15.5" hidden="1" x14ac:dyDescent="0.35">
      <c r="A9" s="662"/>
      <c r="B9" s="663"/>
    </row>
    <row r="10" spans="1:2" ht="13" hidden="1" thickBot="1" x14ac:dyDescent="0.3"/>
    <row r="11" spans="1:2" hidden="1" x14ac:dyDescent="0.25">
      <c r="A11" s="658" t="s">
        <v>562</v>
      </c>
      <c r="B11" s="655" t="s">
        <v>572</v>
      </c>
    </row>
    <row r="12" spans="1:2" hidden="1" x14ac:dyDescent="0.25">
      <c r="A12" s="656" t="s">
        <v>111</v>
      </c>
      <c r="B12" s="659">
        <v>5</v>
      </c>
    </row>
    <row r="13" spans="1:2" hidden="1" x14ac:dyDescent="0.25">
      <c r="A13" s="656" t="s">
        <v>112</v>
      </c>
      <c r="B13" s="659">
        <v>5</v>
      </c>
    </row>
    <row r="14" spans="1:2" hidden="1" x14ac:dyDescent="0.25">
      <c r="A14" s="656" t="s">
        <v>113</v>
      </c>
      <c r="B14" s="659">
        <v>5</v>
      </c>
    </row>
    <row r="15" spans="1:2" hidden="1" x14ac:dyDescent="0.25">
      <c r="A15" s="656" t="s">
        <v>114</v>
      </c>
      <c r="B15" s="659">
        <v>7</v>
      </c>
    </row>
    <row r="16" spans="1:2" hidden="1" x14ac:dyDescent="0.25">
      <c r="A16" s="656" t="s">
        <v>558</v>
      </c>
      <c r="B16" s="659">
        <v>3</v>
      </c>
    </row>
    <row r="17" spans="1:2" hidden="1" x14ac:dyDescent="0.25">
      <c r="A17" s="656" t="s">
        <v>116</v>
      </c>
      <c r="B17" s="659">
        <v>6</v>
      </c>
    </row>
    <row r="18" spans="1:2" hidden="1" x14ac:dyDescent="0.25">
      <c r="A18" s="656" t="s">
        <v>117</v>
      </c>
      <c r="B18" s="659">
        <v>5</v>
      </c>
    </row>
    <row r="19" spans="1:2" hidden="1" x14ac:dyDescent="0.25">
      <c r="A19" s="656" t="s">
        <v>118</v>
      </c>
      <c r="B19" s="659">
        <v>7</v>
      </c>
    </row>
    <row r="20" spans="1:2" hidden="1" x14ac:dyDescent="0.25">
      <c r="A20" s="656" t="s">
        <v>119</v>
      </c>
      <c r="B20" s="659">
        <v>5</v>
      </c>
    </row>
    <row r="21" spans="1:2" hidden="1" x14ac:dyDescent="0.25">
      <c r="A21" s="656" t="s">
        <v>120</v>
      </c>
      <c r="B21" s="659">
        <v>7</v>
      </c>
    </row>
    <row r="22" spans="1:2" hidden="1" x14ac:dyDescent="0.25">
      <c r="A22" s="656" t="s">
        <v>121</v>
      </c>
      <c r="B22" s="659">
        <v>4</v>
      </c>
    </row>
    <row r="23" spans="1:2" hidden="1" x14ac:dyDescent="0.25">
      <c r="A23" s="656" t="s">
        <v>122</v>
      </c>
      <c r="B23" s="659">
        <v>5</v>
      </c>
    </row>
    <row r="24" spans="1:2" hidden="1" x14ac:dyDescent="0.25">
      <c r="A24" s="656" t="s">
        <v>123</v>
      </c>
      <c r="B24" s="659">
        <v>6</v>
      </c>
    </row>
    <row r="25" spans="1:2" hidden="1" x14ac:dyDescent="0.25">
      <c r="A25" s="656" t="s">
        <v>124</v>
      </c>
      <c r="B25" s="659">
        <v>4</v>
      </c>
    </row>
    <row r="26" spans="1:2" hidden="1" x14ac:dyDescent="0.25">
      <c r="A26" s="656" t="s">
        <v>125</v>
      </c>
      <c r="B26" s="659">
        <v>7</v>
      </c>
    </row>
    <row r="27" spans="1:2" hidden="1" x14ac:dyDescent="0.25">
      <c r="A27" s="656" t="s">
        <v>126</v>
      </c>
      <c r="B27" s="659">
        <v>7</v>
      </c>
    </row>
    <row r="28" spans="1:2" hidden="1" x14ac:dyDescent="0.25">
      <c r="A28" s="656" t="s">
        <v>127</v>
      </c>
      <c r="B28" s="659">
        <v>7</v>
      </c>
    </row>
    <row r="29" spans="1:2" hidden="1" x14ac:dyDescent="0.25">
      <c r="A29" s="656" t="s">
        <v>128</v>
      </c>
      <c r="B29" s="659">
        <v>2</v>
      </c>
    </row>
    <row r="30" spans="1:2" hidden="1" x14ac:dyDescent="0.25">
      <c r="A30" s="656" t="s">
        <v>129</v>
      </c>
      <c r="B30" s="659">
        <v>5</v>
      </c>
    </row>
    <row r="31" spans="1:2" ht="13.5" hidden="1" x14ac:dyDescent="0.3">
      <c r="A31" s="656" t="s">
        <v>130</v>
      </c>
      <c r="B31" s="660">
        <v>7</v>
      </c>
    </row>
    <row r="32" spans="1:2" hidden="1" x14ac:dyDescent="0.25">
      <c r="A32" s="656" t="s">
        <v>131</v>
      </c>
      <c r="B32" s="659">
        <v>5</v>
      </c>
    </row>
    <row r="33" spans="1:2" hidden="1" x14ac:dyDescent="0.25">
      <c r="A33" s="656" t="s">
        <v>132</v>
      </c>
      <c r="B33" s="659">
        <v>2.5</v>
      </c>
    </row>
    <row r="34" spans="1:2" hidden="1" x14ac:dyDescent="0.25">
      <c r="A34" s="656" t="s">
        <v>133</v>
      </c>
      <c r="B34" s="659">
        <v>7</v>
      </c>
    </row>
    <row r="35" spans="1:2" hidden="1" x14ac:dyDescent="0.25">
      <c r="A35" s="656" t="s">
        <v>134</v>
      </c>
      <c r="B35" s="659">
        <v>4.75</v>
      </c>
    </row>
    <row r="36" spans="1:2" hidden="1" x14ac:dyDescent="0.25">
      <c r="A36" s="656" t="s">
        <v>135</v>
      </c>
      <c r="B36" s="659">
        <v>3.5</v>
      </c>
    </row>
    <row r="37" spans="1:2" hidden="1" x14ac:dyDescent="0.25">
      <c r="A37" s="656" t="s">
        <v>136</v>
      </c>
      <c r="B37" s="659">
        <v>4</v>
      </c>
    </row>
    <row r="38" spans="1:2" hidden="1" x14ac:dyDescent="0.25">
      <c r="A38" s="656" t="s">
        <v>137</v>
      </c>
      <c r="B38" s="659">
        <v>5</v>
      </c>
    </row>
    <row r="39" spans="1:2" hidden="1" x14ac:dyDescent="0.25">
      <c r="A39" s="656" t="s">
        <v>138</v>
      </c>
      <c r="B39" s="659">
        <v>3</v>
      </c>
    </row>
    <row r="40" spans="1:2" hidden="1" x14ac:dyDescent="0.25">
      <c r="A40" s="656" t="s">
        <v>139</v>
      </c>
      <c r="B40" s="659">
        <v>4.75</v>
      </c>
    </row>
    <row r="41" spans="1:2" hidden="1" x14ac:dyDescent="0.25">
      <c r="A41" s="656" t="s">
        <v>140</v>
      </c>
      <c r="B41" s="659">
        <v>5.29</v>
      </c>
    </row>
    <row r="42" spans="1:2" x14ac:dyDescent="0.25">
      <c r="A42" s="656" t="s">
        <v>142</v>
      </c>
      <c r="B42" s="659">
        <v>4.75</v>
      </c>
    </row>
    <row r="43" spans="1:2" x14ac:dyDescent="0.25">
      <c r="A43" s="656" t="s">
        <v>141</v>
      </c>
      <c r="B43" s="659">
        <v>7</v>
      </c>
    </row>
    <row r="44" spans="1:2" x14ac:dyDescent="0.25">
      <c r="A44" s="656" t="s">
        <v>143</v>
      </c>
      <c r="B44" s="659">
        <v>4.5999999999999996</v>
      </c>
    </row>
    <row r="45" spans="1:2" x14ac:dyDescent="0.25">
      <c r="A45" s="656" t="s">
        <v>144</v>
      </c>
      <c r="B45" s="659">
        <v>5</v>
      </c>
    </row>
    <row r="46" spans="1:2" x14ac:dyDescent="0.25">
      <c r="A46" s="656" t="s">
        <v>145</v>
      </c>
      <c r="B46" s="659">
        <v>5</v>
      </c>
    </row>
    <row r="47" spans="1:2" x14ac:dyDescent="0.25">
      <c r="A47" s="656" t="s">
        <v>146</v>
      </c>
      <c r="B47" s="659">
        <v>5</v>
      </c>
    </row>
    <row r="48" spans="1:2" x14ac:dyDescent="0.25">
      <c r="A48" s="656" t="s">
        <v>147</v>
      </c>
      <c r="B48" s="659">
        <v>7</v>
      </c>
    </row>
    <row r="49" spans="1:2" x14ac:dyDescent="0.25">
      <c r="A49" s="656" t="s">
        <v>148</v>
      </c>
      <c r="B49" s="659">
        <v>6.99</v>
      </c>
    </row>
    <row r="50" spans="1:2" x14ac:dyDescent="0.25">
      <c r="A50" s="656" t="s">
        <v>149</v>
      </c>
      <c r="B50" s="659">
        <v>3.75</v>
      </c>
    </row>
    <row r="51" spans="1:2" x14ac:dyDescent="0.25">
      <c r="A51" s="656" t="s">
        <v>150</v>
      </c>
      <c r="B51" s="659">
        <v>5</v>
      </c>
    </row>
    <row r="52" spans="1:2" x14ac:dyDescent="0.25">
      <c r="A52" s="656" t="s">
        <v>151</v>
      </c>
      <c r="B52" s="659">
        <v>4.75</v>
      </c>
    </row>
    <row r="53" spans="1:2" x14ac:dyDescent="0.25">
      <c r="A53" s="656" t="s">
        <v>152</v>
      </c>
      <c r="B53" s="659">
        <v>3.5</v>
      </c>
    </row>
    <row r="54" spans="1:2" x14ac:dyDescent="0.25">
      <c r="A54" s="656" t="s">
        <v>153</v>
      </c>
      <c r="B54" s="659">
        <v>5.5</v>
      </c>
    </row>
    <row r="55" spans="1:2" x14ac:dyDescent="0.25">
      <c r="A55" s="656" t="s">
        <v>154</v>
      </c>
      <c r="B55" s="659">
        <v>7</v>
      </c>
    </row>
    <row r="56" spans="1:2" x14ac:dyDescent="0.25">
      <c r="A56" s="656" t="s">
        <v>155</v>
      </c>
      <c r="B56" s="659">
        <v>3.5</v>
      </c>
    </row>
    <row r="57" spans="1:2" x14ac:dyDescent="0.25">
      <c r="A57" s="656" t="s">
        <v>156</v>
      </c>
      <c r="B57" s="659">
        <v>7</v>
      </c>
    </row>
    <row r="58" spans="1:2" x14ac:dyDescent="0.25">
      <c r="A58" s="656" t="s">
        <v>157</v>
      </c>
      <c r="B58" s="659">
        <v>5</v>
      </c>
    </row>
    <row r="59" spans="1:2" x14ac:dyDescent="0.25">
      <c r="A59" s="656" t="s">
        <v>158</v>
      </c>
      <c r="B59" s="659">
        <v>5</v>
      </c>
    </row>
    <row r="60" spans="1:2" x14ac:dyDescent="0.25">
      <c r="A60" s="656" t="s">
        <v>159</v>
      </c>
      <c r="B60" s="659">
        <v>5</v>
      </c>
    </row>
    <row r="61" spans="1:2" x14ac:dyDescent="0.25">
      <c r="A61" s="656" t="s">
        <v>160</v>
      </c>
      <c r="B61" s="659">
        <v>5</v>
      </c>
    </row>
    <row r="62" spans="1:2" x14ac:dyDescent="0.25">
      <c r="A62" s="656" t="s">
        <v>161</v>
      </c>
      <c r="B62" s="659">
        <v>6</v>
      </c>
    </row>
    <row r="63" spans="1:2" x14ac:dyDescent="0.25">
      <c r="A63" s="656" t="s">
        <v>162</v>
      </c>
      <c r="B63" s="659">
        <v>7</v>
      </c>
    </row>
    <row r="64" spans="1:2" x14ac:dyDescent="0.25">
      <c r="A64" s="656" t="s">
        <v>163</v>
      </c>
      <c r="B64" s="659">
        <v>4.5</v>
      </c>
    </row>
    <row r="65" spans="1:2" x14ac:dyDescent="0.25">
      <c r="A65" s="656" t="s">
        <v>164</v>
      </c>
      <c r="B65" s="659">
        <v>5</v>
      </c>
    </row>
    <row r="66" spans="1:2" x14ac:dyDescent="0.25">
      <c r="A66" s="656" t="s">
        <v>165</v>
      </c>
      <c r="B66" s="659">
        <v>7</v>
      </c>
    </row>
    <row r="67" spans="1:2" x14ac:dyDescent="0.25">
      <c r="A67" s="656" t="s">
        <v>166</v>
      </c>
      <c r="B67" s="659">
        <v>5</v>
      </c>
    </row>
    <row r="68" spans="1:2" x14ac:dyDescent="0.25">
      <c r="A68" s="656" t="s">
        <v>167</v>
      </c>
      <c r="B68" s="659">
        <v>7</v>
      </c>
    </row>
    <row r="69" spans="1:2" ht="13" thickBot="1" x14ac:dyDescent="0.3">
      <c r="A69" s="657" t="s">
        <v>168</v>
      </c>
      <c r="B69" s="661">
        <v>3</v>
      </c>
    </row>
    <row r="74" spans="1:2" hidden="1" x14ac:dyDescent="0.25"/>
    <row r="75" spans="1:2" hidden="1" x14ac:dyDescent="0.25">
      <c r="A75" s="654" t="s">
        <v>566</v>
      </c>
    </row>
    <row r="76" spans="1:2" hidden="1" x14ac:dyDescent="0.25">
      <c r="A76" s="654" t="s">
        <v>436</v>
      </c>
    </row>
    <row r="77" spans="1:2" hidden="1" x14ac:dyDescent="0.25">
      <c r="A77" s="654" t="s">
        <v>437</v>
      </c>
    </row>
    <row r="78" spans="1:2" hidden="1" x14ac:dyDescent="0.25"/>
  </sheetData>
  <mergeCells count="1">
    <mergeCell ref="A3:B3"/>
  </mergeCells>
  <dataValidations count="2">
    <dataValidation type="list" allowBlank="1" showInputMessage="1" showErrorMessage="1" sqref="B5:B6" xr:uid="{00000000-0002-0000-0900-000000000000}">
      <formula1>$A$76:$A$77</formula1>
    </dataValidation>
    <dataValidation type="list" allowBlank="1" showInputMessage="1" showErrorMessage="1" sqref="B1" xr:uid="{00000000-0002-0000-0900-000001000000}">
      <formula1>Counties</formula1>
    </dataValidation>
  </dataValidations>
  <pageMargins left="0.7" right="0.7" top="0.75" bottom="0.75" header="0.3" footer="0.3"/>
  <pageSetup scale="72" orientation="portrait" r:id="rId1"/>
  <rowBreaks count="1" manualBreakCount="1">
    <brk id="71"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294AC-8FCB-489C-8F01-C89C293E95C0}">
  <sheetPr>
    <tabColor theme="6"/>
  </sheetPr>
  <dimension ref="B1:U40"/>
  <sheetViews>
    <sheetView showGridLines="0" tabSelected="1" zoomScale="90" zoomScaleNormal="90" workbookViewId="0">
      <selection activeCell="A47" sqref="A47"/>
    </sheetView>
  </sheetViews>
  <sheetFormatPr defaultRowHeight="18.5" x14ac:dyDescent="0.25"/>
  <cols>
    <col min="1" max="1" width="75.1796875" customWidth="1"/>
    <col min="2" max="2" width="4.26953125" style="87" customWidth="1"/>
    <col min="3" max="3" width="6.7265625" style="87" customWidth="1"/>
    <col min="4" max="4" width="13.54296875" style="87" customWidth="1"/>
    <col min="5" max="5" width="12" style="87" customWidth="1"/>
    <col min="6" max="6" width="11.26953125" style="88" customWidth="1"/>
    <col min="7" max="7" width="18" style="121" customWidth="1"/>
    <col min="8" max="8" width="9.1796875" style="46" customWidth="1"/>
    <col min="9" max="9" width="29.453125" style="46" hidden="1" customWidth="1"/>
    <col min="10" max="10" width="11.26953125" style="46" customWidth="1"/>
    <col min="11" max="11" width="6" style="46" customWidth="1"/>
    <col min="12" max="12" width="10.81640625" style="92" customWidth="1"/>
    <col min="13" max="13" width="1.7265625" style="89" customWidth="1"/>
    <col min="14" max="14" width="15.26953125" style="46" customWidth="1"/>
    <col min="15" max="15" width="7.81640625" style="46" hidden="1" customWidth="1"/>
    <col min="16" max="16" width="12.453125" style="46" customWidth="1"/>
    <col min="17" max="17" width="10.81640625" style="89" hidden="1" customWidth="1"/>
    <col min="18" max="18" width="5.7265625" style="89" hidden="1" customWidth="1"/>
    <col min="19" max="19" width="10.7265625" style="89" hidden="1" customWidth="1"/>
    <col min="20" max="20" width="1.81640625" style="50" hidden="1" customWidth="1"/>
    <col min="21" max="21" width="0.26953125" style="90" customWidth="1"/>
  </cols>
  <sheetData>
    <row r="1" spans="2:21" ht="19" thickBot="1" x14ac:dyDescent="0.3"/>
    <row r="2" spans="2:21" ht="21.5" thickBot="1" x14ac:dyDescent="0.3">
      <c r="B2" s="800" t="s">
        <v>585</v>
      </c>
      <c r="C2" s="801"/>
      <c r="D2" s="801"/>
      <c r="E2" s="801"/>
      <c r="F2" s="801"/>
      <c r="G2" s="801"/>
      <c r="H2" s="801"/>
      <c r="I2" s="801"/>
      <c r="J2" s="801"/>
      <c r="K2" s="801"/>
      <c r="L2" s="801"/>
      <c r="M2" s="802"/>
      <c r="N2" s="802"/>
      <c r="O2" s="802"/>
      <c r="P2" s="802"/>
      <c r="Q2" s="802"/>
      <c r="R2" s="802"/>
      <c r="S2" s="802"/>
      <c r="T2" s="802"/>
      <c r="U2" s="803"/>
    </row>
    <row r="3" spans="2:21" ht="10.5" customHeight="1" thickBot="1" x14ac:dyDescent="0.3">
      <c r="B3" s="664"/>
      <c r="C3" s="47"/>
      <c r="D3" s="47"/>
      <c r="E3" s="47"/>
      <c r="F3" s="47"/>
      <c r="G3" s="47"/>
      <c r="H3" s="47"/>
      <c r="I3" s="47"/>
      <c r="J3" s="47"/>
      <c r="K3" s="48"/>
      <c r="L3" s="48"/>
      <c r="M3" s="48"/>
      <c r="N3" s="48"/>
      <c r="O3" s="48"/>
      <c r="P3" s="49"/>
      <c r="Q3" s="49"/>
      <c r="R3" s="49"/>
      <c r="S3" s="49"/>
      <c r="T3" s="49"/>
      <c r="U3" s="741"/>
    </row>
    <row r="4" spans="2:21" ht="19" thickBot="1" x14ac:dyDescent="0.3">
      <c r="B4" s="914" t="s">
        <v>234</v>
      </c>
      <c r="C4" s="802"/>
      <c r="D4" s="802"/>
      <c r="E4" s="802"/>
      <c r="F4" s="802"/>
      <c r="G4" s="802"/>
      <c r="H4" s="802"/>
      <c r="I4" s="802"/>
      <c r="J4" s="802"/>
      <c r="K4" s="802"/>
      <c r="L4" s="802"/>
      <c r="M4" s="802"/>
      <c r="N4" s="802"/>
      <c r="O4" s="802"/>
      <c r="P4" s="803"/>
      <c r="Q4" s="901" t="s">
        <v>261</v>
      </c>
      <c r="R4" s="902"/>
      <c r="S4" s="902"/>
      <c r="T4" s="902"/>
      <c r="U4" s="903"/>
    </row>
    <row r="5" spans="2:21" ht="15.5" x14ac:dyDescent="0.25">
      <c r="B5" s="904" t="s">
        <v>231</v>
      </c>
      <c r="C5" s="905"/>
      <c r="D5" s="905"/>
      <c r="E5" s="906"/>
      <c r="F5" s="907"/>
      <c r="G5" s="877" t="s">
        <v>28</v>
      </c>
      <c r="H5" s="878"/>
      <c r="I5" s="169"/>
      <c r="J5" s="908"/>
      <c r="K5" s="908"/>
      <c r="L5" s="908"/>
      <c r="M5" s="909"/>
      <c r="N5" s="910" t="s">
        <v>257</v>
      </c>
      <c r="O5" s="910"/>
      <c r="P5" s="191">
        <v>0</v>
      </c>
      <c r="Q5" s="911" t="s">
        <v>236</v>
      </c>
      <c r="R5" s="912"/>
      <c r="S5" s="912"/>
      <c r="T5" s="912"/>
      <c r="U5" s="913"/>
    </row>
    <row r="6" spans="2:21" ht="15.5" x14ac:dyDescent="0.25">
      <c r="B6" s="882" t="s">
        <v>4</v>
      </c>
      <c r="C6" s="883"/>
      <c r="D6" s="883"/>
      <c r="E6" s="894"/>
      <c r="F6" s="885"/>
      <c r="G6" s="844" t="s">
        <v>244</v>
      </c>
      <c r="H6" s="845"/>
      <c r="I6" s="167"/>
      <c r="J6" s="895"/>
      <c r="K6" s="895"/>
      <c r="L6" s="895"/>
      <c r="M6" s="896"/>
      <c r="N6" s="872" t="s">
        <v>22</v>
      </c>
      <c r="O6" s="872"/>
      <c r="P6" s="54"/>
      <c r="Q6" s="897" t="s">
        <v>302</v>
      </c>
      <c r="R6" s="898"/>
      <c r="S6" s="898"/>
      <c r="T6" s="898"/>
      <c r="U6" s="899"/>
    </row>
    <row r="7" spans="2:21" ht="16" thickBot="1" x14ac:dyDescent="0.3">
      <c r="B7" s="882" t="s">
        <v>12</v>
      </c>
      <c r="C7" s="883"/>
      <c r="D7" s="883"/>
      <c r="E7" s="894"/>
      <c r="F7" s="900"/>
      <c r="G7" s="844" t="s">
        <v>20</v>
      </c>
      <c r="H7" s="845"/>
      <c r="I7" s="167"/>
      <c r="J7" s="895"/>
      <c r="K7" s="895"/>
      <c r="L7" s="895"/>
      <c r="M7" s="896"/>
      <c r="N7" s="848" t="s">
        <v>233</v>
      </c>
      <c r="O7" s="848"/>
      <c r="P7" s="194">
        <f>P5+P6*10</f>
        <v>0</v>
      </c>
      <c r="Q7" s="891" t="s">
        <v>577</v>
      </c>
      <c r="R7" s="892"/>
      <c r="S7" s="892"/>
      <c r="T7" s="892"/>
      <c r="U7" s="893"/>
    </row>
    <row r="8" spans="2:21" ht="16" thickBot="1" x14ac:dyDescent="0.3">
      <c r="B8" s="882" t="s">
        <v>5</v>
      </c>
      <c r="C8" s="883"/>
      <c r="D8" s="883"/>
      <c r="E8" s="884"/>
      <c r="F8" s="885"/>
      <c r="G8" s="856" t="s">
        <v>21</v>
      </c>
      <c r="H8" s="857"/>
      <c r="I8" s="168"/>
      <c r="J8" s="886"/>
      <c r="K8" s="886"/>
      <c r="L8" s="886"/>
      <c r="M8" s="887"/>
      <c r="N8" s="216"/>
      <c r="O8" s="220"/>
      <c r="P8" s="217"/>
      <c r="Q8" s="888" t="s">
        <v>235</v>
      </c>
      <c r="R8" s="889"/>
      <c r="S8" s="889"/>
      <c r="T8" s="889"/>
      <c r="U8" s="890"/>
    </row>
    <row r="9" spans="2:21" ht="15.5" x14ac:dyDescent="0.25">
      <c r="B9" s="873" t="s">
        <v>54</v>
      </c>
      <c r="C9" s="874"/>
      <c r="D9" s="874"/>
      <c r="E9" s="875">
        <v>0</v>
      </c>
      <c r="F9" s="876"/>
      <c r="G9" s="877" t="s">
        <v>253</v>
      </c>
      <c r="H9" s="878"/>
      <c r="I9" s="169"/>
      <c r="J9" s="879"/>
      <c r="K9" s="879"/>
      <c r="L9" s="879"/>
      <c r="M9" s="880"/>
      <c r="N9" s="881" t="s">
        <v>257</v>
      </c>
      <c r="O9" s="881"/>
      <c r="P9" s="51">
        <v>0</v>
      </c>
      <c r="Q9" s="862" t="s">
        <v>578</v>
      </c>
      <c r="R9" s="863"/>
      <c r="S9" s="863"/>
      <c r="T9" s="863"/>
      <c r="U9" s="864"/>
    </row>
    <row r="10" spans="2:21" ht="16" thickBot="1" x14ac:dyDescent="0.3">
      <c r="B10" s="868" t="s">
        <v>53</v>
      </c>
      <c r="C10" s="869"/>
      <c r="D10" s="869"/>
      <c r="E10" s="870">
        <f>100%-E9</f>
        <v>1</v>
      </c>
      <c r="F10" s="871"/>
      <c r="G10" s="844" t="s">
        <v>244</v>
      </c>
      <c r="H10" s="845"/>
      <c r="I10" s="167"/>
      <c r="J10" s="846"/>
      <c r="K10" s="846"/>
      <c r="L10" s="846"/>
      <c r="M10" s="847"/>
      <c r="N10" s="872" t="s">
        <v>22</v>
      </c>
      <c r="O10" s="872"/>
      <c r="P10" s="54"/>
      <c r="Q10" s="865"/>
      <c r="R10" s="866"/>
      <c r="S10" s="866"/>
      <c r="T10" s="866"/>
      <c r="U10" s="867"/>
    </row>
    <row r="11" spans="2:21" ht="19" thickBot="1" x14ac:dyDescent="0.3">
      <c r="B11" s="840" t="s">
        <v>276</v>
      </c>
      <c r="C11" s="841"/>
      <c r="D11" s="841"/>
      <c r="E11" s="842">
        <f>P7+P11</f>
        <v>0</v>
      </c>
      <c r="F11" s="843"/>
      <c r="G11" s="844" t="s">
        <v>20</v>
      </c>
      <c r="H11" s="845"/>
      <c r="I11" s="167"/>
      <c r="J11" s="846"/>
      <c r="K11" s="846"/>
      <c r="L11" s="846"/>
      <c r="M11" s="847"/>
      <c r="N11" s="848" t="s">
        <v>233</v>
      </c>
      <c r="O11" s="848"/>
      <c r="P11" s="194">
        <f>P9+P10*10</f>
        <v>0</v>
      </c>
      <c r="Q11" s="849" t="s">
        <v>239</v>
      </c>
      <c r="R11" s="850"/>
      <c r="S11" s="850"/>
      <c r="T11" s="850"/>
      <c r="U11" s="851"/>
    </row>
    <row r="12" spans="2:21" ht="19" thickBot="1" x14ac:dyDescent="0.3">
      <c r="B12" s="852" t="s">
        <v>277</v>
      </c>
      <c r="C12" s="853"/>
      <c r="D12" s="853"/>
      <c r="E12" s="854">
        <f>ROUNDUP(E11/10,0)</f>
        <v>0</v>
      </c>
      <c r="F12" s="855"/>
      <c r="G12" s="856" t="s">
        <v>21</v>
      </c>
      <c r="H12" s="857"/>
      <c r="I12" s="168"/>
      <c r="J12" s="858"/>
      <c r="K12" s="858"/>
      <c r="L12" s="858"/>
      <c r="M12" s="859"/>
      <c r="N12" s="860" t="s">
        <v>568</v>
      </c>
      <c r="O12" s="861"/>
      <c r="P12" s="754">
        <f>'Local Penalties'!B8</f>
        <v>5</v>
      </c>
      <c r="Q12" s="837" t="s">
        <v>430</v>
      </c>
      <c r="R12" s="838"/>
      <c r="S12" s="838"/>
      <c r="T12" s="838"/>
      <c r="U12" s="839"/>
    </row>
    <row r="13" spans="2:21" ht="13" customHeight="1" thickBot="1" x14ac:dyDescent="0.3">
      <c r="B13" s="672"/>
      <c r="C13" s="193"/>
      <c r="D13" s="173"/>
      <c r="E13" s="173"/>
      <c r="F13" s="173"/>
      <c r="G13" s="60"/>
      <c r="H13" s="55"/>
      <c r="I13" s="56"/>
      <c r="J13" s="57"/>
      <c r="K13" s="57"/>
      <c r="L13" s="57"/>
      <c r="M13" s="57"/>
      <c r="N13" s="53"/>
      <c r="O13" s="53"/>
      <c r="P13" s="52"/>
      <c r="Q13" s="52"/>
      <c r="R13" s="52"/>
      <c r="S13" s="52"/>
      <c r="T13" s="52"/>
      <c r="U13" s="751"/>
    </row>
    <row r="14" spans="2:21" ht="19" thickBot="1" x14ac:dyDescent="0.3">
      <c r="B14" s="666"/>
      <c r="C14" s="174"/>
      <c r="D14" s="174"/>
      <c r="E14" s="174"/>
      <c r="F14" s="174"/>
      <c r="G14" s="96"/>
      <c r="H14" s="97"/>
      <c r="I14" s="98"/>
      <c r="J14" s="821" t="s">
        <v>297</v>
      </c>
      <c r="K14" s="822"/>
      <c r="L14" s="823"/>
      <c r="M14" s="99"/>
      <c r="N14" s="824" t="s">
        <v>583</v>
      </c>
      <c r="O14" s="825"/>
      <c r="P14" s="826"/>
      <c r="Q14" s="100"/>
      <c r="R14" s="824" t="s">
        <v>579</v>
      </c>
      <c r="S14" s="825"/>
      <c r="T14" s="826"/>
      <c r="U14" s="752"/>
    </row>
    <row r="15" spans="2:21" ht="40.5" customHeight="1" thickBot="1" x14ac:dyDescent="0.3">
      <c r="B15" s="101">
        <v>0.02</v>
      </c>
      <c r="C15" s="101" t="s">
        <v>58</v>
      </c>
      <c r="D15" s="827" t="s">
        <v>226</v>
      </c>
      <c r="E15" s="828"/>
      <c r="F15" s="828"/>
      <c r="G15" s="829"/>
      <c r="H15" s="102" t="s">
        <v>249</v>
      </c>
      <c r="I15" s="103" t="s">
        <v>0</v>
      </c>
      <c r="J15" s="833" t="s">
        <v>298</v>
      </c>
      <c r="K15" s="835" t="s">
        <v>6</v>
      </c>
      <c r="L15" s="749" t="s">
        <v>299</v>
      </c>
      <c r="M15" s="61"/>
      <c r="N15" s="564" t="s">
        <v>428</v>
      </c>
      <c r="O15" s="835" t="s">
        <v>6</v>
      </c>
      <c r="P15" s="749" t="s">
        <v>299</v>
      </c>
      <c r="Q15" s="110"/>
      <c r="R15" s="564" t="s">
        <v>580</v>
      </c>
      <c r="S15" s="835" t="s">
        <v>6</v>
      </c>
      <c r="T15" s="215" t="s">
        <v>299</v>
      </c>
      <c r="U15" s="753"/>
    </row>
    <row r="16" spans="2:21" ht="24.5" customHeight="1" thickBot="1" x14ac:dyDescent="0.3">
      <c r="B16" s="104"/>
      <c r="C16" s="104"/>
      <c r="D16" s="830"/>
      <c r="E16" s="831"/>
      <c r="F16" s="831"/>
      <c r="G16" s="832"/>
      <c r="H16" s="105"/>
      <c r="I16" s="105"/>
      <c r="J16" s="834"/>
      <c r="K16" s="836"/>
      <c r="L16" s="750"/>
      <c r="M16" s="62"/>
      <c r="N16" s="376">
        <f>IFERROR(N32/J32,0)</f>
        <v>0</v>
      </c>
      <c r="O16" s="836"/>
      <c r="P16" s="750"/>
      <c r="Q16" s="110"/>
      <c r="R16" s="376">
        <f>IFERROR(R39/J39,0)</f>
        <v>0</v>
      </c>
      <c r="S16" s="836"/>
      <c r="T16" s="222" t="s">
        <v>44</v>
      </c>
      <c r="U16" s="753"/>
    </row>
    <row r="17" spans="2:21" ht="14.5" x14ac:dyDescent="0.25">
      <c r="B17" s="667" t="s">
        <v>8</v>
      </c>
      <c r="C17" s="819" t="s">
        <v>241</v>
      </c>
      <c r="D17" s="812" t="s">
        <v>212</v>
      </c>
      <c r="E17" s="812"/>
      <c r="F17" s="812"/>
      <c r="G17" s="804"/>
      <c r="H17" s="763" t="s">
        <v>32</v>
      </c>
      <c r="I17" s="764" t="s">
        <v>27</v>
      </c>
      <c r="J17" s="765">
        <f>E11*E9</f>
        <v>0</v>
      </c>
      <c r="K17" s="765">
        <f>IF(B17="Y",J17* 2%,0)</f>
        <v>0</v>
      </c>
      <c r="L17" s="758">
        <f>J17-K17</f>
        <v>0</v>
      </c>
      <c r="M17" s="149"/>
      <c r="N17" s="145">
        <f>IF($N39=0,,J17*$N$16)</f>
        <v>0</v>
      </c>
      <c r="O17" s="147">
        <f t="shared" ref="O17:O31" si="0">IF(B17="Y", N17*2%,)</f>
        <v>0</v>
      </c>
      <c r="P17" s="152">
        <f t="shared" ref="P17:P36" si="1">N17-O17</f>
        <v>0</v>
      </c>
      <c r="Q17" s="66"/>
      <c r="R17" s="145">
        <f>IF($R39=0,,J17*$R$16)</f>
        <v>0</v>
      </c>
      <c r="S17" s="147">
        <f t="shared" ref="S17:S31" si="2">IF(B17="Y", R17*2%,)</f>
        <v>0</v>
      </c>
      <c r="T17" s="742">
        <f t="shared" ref="T17:T26" si="3">R17-S17</f>
        <v>0</v>
      </c>
      <c r="U17" s="723"/>
    </row>
    <row r="18" spans="2:21" ht="14.5" x14ac:dyDescent="0.25">
      <c r="B18" s="667" t="s">
        <v>8</v>
      </c>
      <c r="C18" s="820"/>
      <c r="D18" s="812" t="s">
        <v>213</v>
      </c>
      <c r="E18" s="812"/>
      <c r="F18" s="812"/>
      <c r="G18" s="804"/>
      <c r="H18" s="566" t="s">
        <v>52</v>
      </c>
      <c r="I18" s="71" t="s">
        <v>25</v>
      </c>
      <c r="J18" s="140">
        <f>E11*E10</f>
        <v>0</v>
      </c>
      <c r="K18" s="145">
        <f t="shared" ref="K18:K31" si="4">IF(B18="Y",J18* 2%,0)</f>
        <v>0</v>
      </c>
      <c r="L18" s="758">
        <f t="shared" ref="L18:L30" si="5">J18-K18</f>
        <v>0</v>
      </c>
      <c r="M18" s="149"/>
      <c r="N18" s="145">
        <f>IF($N39=0,,J18*$N$16)</f>
        <v>0</v>
      </c>
      <c r="O18" s="147">
        <f t="shared" si="0"/>
        <v>0</v>
      </c>
      <c r="P18" s="152">
        <f t="shared" si="1"/>
        <v>0</v>
      </c>
      <c r="Q18" s="66"/>
      <c r="R18" s="145">
        <f>IF($R39=0,,J18*$R$16)</f>
        <v>0</v>
      </c>
      <c r="S18" s="147">
        <f t="shared" si="2"/>
        <v>0</v>
      </c>
      <c r="T18" s="742">
        <f t="shared" si="3"/>
        <v>0</v>
      </c>
      <c r="U18" s="723"/>
    </row>
    <row r="19" spans="2:21" ht="14.5" x14ac:dyDescent="0.25">
      <c r="B19" s="667" t="s">
        <v>8</v>
      </c>
      <c r="C19" s="69">
        <v>7</v>
      </c>
      <c r="D19" s="812" t="s">
        <v>546</v>
      </c>
      <c r="E19" s="812"/>
      <c r="F19" s="812"/>
      <c r="G19" s="804"/>
      <c r="H19" s="566" t="s">
        <v>31</v>
      </c>
      <c r="I19" s="71" t="s">
        <v>26</v>
      </c>
      <c r="J19" s="140">
        <f>$E$12*C19</f>
        <v>0</v>
      </c>
      <c r="K19" s="145">
        <f t="shared" si="4"/>
        <v>0</v>
      </c>
      <c r="L19" s="758">
        <f t="shared" si="5"/>
        <v>0</v>
      </c>
      <c r="M19" s="149"/>
      <c r="N19" s="145">
        <f>IF($N39=0,,J19*$N$16)</f>
        <v>0</v>
      </c>
      <c r="O19" s="147">
        <f t="shared" si="0"/>
        <v>0</v>
      </c>
      <c r="P19" s="152">
        <f t="shared" si="1"/>
        <v>0</v>
      </c>
      <c r="Q19" s="75"/>
      <c r="R19" s="145">
        <f>IF($R39=0,,J19*$R$16)</f>
        <v>0</v>
      </c>
      <c r="S19" s="147">
        <f t="shared" si="2"/>
        <v>0</v>
      </c>
      <c r="T19" s="742">
        <f t="shared" si="3"/>
        <v>0</v>
      </c>
      <c r="U19" s="723"/>
    </row>
    <row r="20" spans="2:21" ht="14.5" x14ac:dyDescent="0.25">
      <c r="B20" s="667" t="s">
        <v>8</v>
      </c>
      <c r="C20" s="69">
        <v>3</v>
      </c>
      <c r="D20" s="812" t="s">
        <v>547</v>
      </c>
      <c r="E20" s="812"/>
      <c r="F20" s="812"/>
      <c r="G20" s="804"/>
      <c r="H20" s="566" t="s">
        <v>32</v>
      </c>
      <c r="I20" s="71" t="s">
        <v>27</v>
      </c>
      <c r="J20" s="140">
        <f t="shared" ref="J20:J30" si="6">$E$12*C20</f>
        <v>0</v>
      </c>
      <c r="K20" s="145">
        <f t="shared" si="4"/>
        <v>0</v>
      </c>
      <c r="L20" s="758">
        <f t="shared" si="5"/>
        <v>0</v>
      </c>
      <c r="M20" s="149"/>
      <c r="N20" s="145">
        <f>IF($N39=0,,J20*$N$16)</f>
        <v>0</v>
      </c>
      <c r="O20" s="147">
        <f t="shared" si="0"/>
        <v>0</v>
      </c>
      <c r="P20" s="152">
        <f t="shared" si="1"/>
        <v>0</v>
      </c>
      <c r="Q20" s="66"/>
      <c r="R20" s="145">
        <f>IF($R39=0,,J20*$R$16)</f>
        <v>0</v>
      </c>
      <c r="S20" s="147">
        <f t="shared" si="2"/>
        <v>0</v>
      </c>
      <c r="T20" s="742">
        <f t="shared" si="3"/>
        <v>0</v>
      </c>
      <c r="U20" s="723"/>
    </row>
    <row r="21" spans="2:21" ht="14.5" x14ac:dyDescent="0.25">
      <c r="B21" s="667" t="s">
        <v>8</v>
      </c>
      <c r="C21" s="722">
        <v>0.75</v>
      </c>
      <c r="D21" s="804" t="s">
        <v>575</v>
      </c>
      <c r="E21" s="805"/>
      <c r="F21" s="805"/>
      <c r="G21" s="805"/>
      <c r="H21" s="566" t="s">
        <v>32</v>
      </c>
      <c r="I21" s="71" t="s">
        <v>55</v>
      </c>
      <c r="J21" s="140">
        <f t="shared" si="6"/>
        <v>0</v>
      </c>
      <c r="K21" s="145">
        <f t="shared" si="4"/>
        <v>0</v>
      </c>
      <c r="L21" s="758">
        <f t="shared" si="5"/>
        <v>0</v>
      </c>
      <c r="M21" s="149"/>
      <c r="N21" s="145">
        <f>IF($N39=0,,J21*$N$16)</f>
        <v>0</v>
      </c>
      <c r="O21" s="147">
        <f t="shared" si="0"/>
        <v>0</v>
      </c>
      <c r="P21" s="152">
        <f t="shared" si="1"/>
        <v>0</v>
      </c>
      <c r="Q21" s="66"/>
      <c r="R21" s="145">
        <f>IF($R39=0,,J21*$R$16)</f>
        <v>0</v>
      </c>
      <c r="S21" s="147">
        <f t="shared" si="2"/>
        <v>0</v>
      </c>
      <c r="T21" s="742">
        <f t="shared" si="3"/>
        <v>0</v>
      </c>
      <c r="U21" s="723"/>
    </row>
    <row r="22" spans="2:21" ht="14.5" x14ac:dyDescent="0.25">
      <c r="B22" s="667" t="s">
        <v>8</v>
      </c>
      <c r="C22" s="722">
        <v>0.25</v>
      </c>
      <c r="D22" s="804" t="s">
        <v>574</v>
      </c>
      <c r="E22" s="805"/>
      <c r="F22" s="805"/>
      <c r="G22" s="805"/>
      <c r="H22" s="566" t="s">
        <v>31</v>
      </c>
      <c r="I22" s="71" t="s">
        <v>55</v>
      </c>
      <c r="J22" s="140">
        <f t="shared" si="6"/>
        <v>0</v>
      </c>
      <c r="K22" s="145">
        <f t="shared" si="4"/>
        <v>0</v>
      </c>
      <c r="L22" s="758">
        <f t="shared" si="5"/>
        <v>0</v>
      </c>
      <c r="M22" s="149"/>
      <c r="N22" s="145">
        <f>IF($N39=0,,J22*$N$16)</f>
        <v>0</v>
      </c>
      <c r="O22" s="147">
        <f t="shared" si="0"/>
        <v>0</v>
      </c>
      <c r="P22" s="152">
        <f t="shared" si="1"/>
        <v>0</v>
      </c>
      <c r="Q22" s="66"/>
      <c r="R22" s="145">
        <f>IF($R39=0,,J22*$R$16)</f>
        <v>0</v>
      </c>
      <c r="S22" s="147">
        <f t="shared" si="2"/>
        <v>0</v>
      </c>
      <c r="T22" s="742">
        <f t="shared" si="3"/>
        <v>0</v>
      </c>
      <c r="U22" s="723"/>
    </row>
    <row r="23" spans="2:21" ht="14.5" x14ac:dyDescent="0.25">
      <c r="B23" s="667" t="s">
        <v>8</v>
      </c>
      <c r="C23" s="69">
        <v>4</v>
      </c>
      <c r="D23" s="804" t="s">
        <v>581</v>
      </c>
      <c r="E23" s="805"/>
      <c r="F23" s="805"/>
      <c r="G23" s="805"/>
      <c r="H23" s="566" t="s">
        <v>31</v>
      </c>
      <c r="I23" s="71" t="s">
        <v>72</v>
      </c>
      <c r="J23" s="140">
        <f t="shared" si="6"/>
        <v>0</v>
      </c>
      <c r="K23" s="145">
        <f t="shared" si="4"/>
        <v>0</v>
      </c>
      <c r="L23" s="758">
        <f t="shared" si="5"/>
        <v>0</v>
      </c>
      <c r="M23" s="149"/>
      <c r="N23" s="145">
        <f>IF($N39=0,,J23*$N$16)</f>
        <v>0</v>
      </c>
      <c r="O23" s="147">
        <f t="shared" si="0"/>
        <v>0</v>
      </c>
      <c r="P23" s="152">
        <f t="shared" si="1"/>
        <v>0</v>
      </c>
      <c r="Q23" s="66"/>
      <c r="R23" s="145">
        <f>IF($R39=0,,J23*$R$16)</f>
        <v>0</v>
      </c>
      <c r="S23" s="147">
        <f t="shared" si="2"/>
        <v>0</v>
      </c>
      <c r="T23" s="742">
        <f t="shared" si="3"/>
        <v>0</v>
      </c>
      <c r="U23" s="723"/>
    </row>
    <row r="24" spans="2:21" ht="14.15" customHeight="1" x14ac:dyDescent="0.25">
      <c r="B24" s="667" t="s">
        <v>8</v>
      </c>
      <c r="C24" s="634">
        <v>0</v>
      </c>
      <c r="D24" s="812" t="s">
        <v>217</v>
      </c>
      <c r="E24" s="812"/>
      <c r="F24" s="813" t="str">
        <f>IF(SUM(C24:C28)=P12,"GC 76000 PA ($" &amp;P12 &amp; " for every 10) breakdown per local board of supervisor resolution (BOS).","ERROR! GC 76000 PA total is not $" &amp;P12&amp; ". Check Court's board resolution.")</f>
        <v>ERROR! GC 76000 PA total is not $5. Check Court's board resolution.</v>
      </c>
      <c r="G24" s="814"/>
      <c r="H24" s="566" t="s">
        <v>32</v>
      </c>
      <c r="I24" s="71" t="s">
        <v>64</v>
      </c>
      <c r="J24" s="140">
        <f t="shared" si="6"/>
        <v>0</v>
      </c>
      <c r="K24" s="145">
        <f t="shared" si="4"/>
        <v>0</v>
      </c>
      <c r="L24" s="758">
        <f t="shared" si="5"/>
        <v>0</v>
      </c>
      <c r="M24" s="149"/>
      <c r="N24" s="145">
        <f>IF($N39=0,,J24*$N$16)</f>
        <v>0</v>
      </c>
      <c r="O24" s="147">
        <f t="shared" si="0"/>
        <v>0</v>
      </c>
      <c r="P24" s="152">
        <f t="shared" si="1"/>
        <v>0</v>
      </c>
      <c r="Q24" s="66"/>
      <c r="R24" s="145">
        <f>IF($R39=0,,J24*$R$16)</f>
        <v>0</v>
      </c>
      <c r="S24" s="147">
        <f t="shared" si="2"/>
        <v>0</v>
      </c>
      <c r="T24" s="742">
        <f t="shared" si="3"/>
        <v>0</v>
      </c>
      <c r="U24" s="723"/>
    </row>
    <row r="25" spans="2:21" ht="16" customHeight="1" x14ac:dyDescent="0.25">
      <c r="B25" s="667" t="s">
        <v>8</v>
      </c>
      <c r="C25" s="634">
        <v>0</v>
      </c>
      <c r="D25" s="812" t="s">
        <v>218</v>
      </c>
      <c r="E25" s="812"/>
      <c r="F25" s="815"/>
      <c r="G25" s="816"/>
      <c r="H25" s="566" t="s">
        <v>32</v>
      </c>
      <c r="I25" s="71" t="s">
        <v>35</v>
      </c>
      <c r="J25" s="140">
        <f t="shared" si="6"/>
        <v>0</v>
      </c>
      <c r="K25" s="145">
        <f t="shared" si="4"/>
        <v>0</v>
      </c>
      <c r="L25" s="758">
        <f t="shared" si="5"/>
        <v>0</v>
      </c>
      <c r="M25" s="149"/>
      <c r="N25" s="145">
        <f>IF($N39=0,,J25*$N$16)</f>
        <v>0</v>
      </c>
      <c r="O25" s="147">
        <f t="shared" si="0"/>
        <v>0</v>
      </c>
      <c r="P25" s="152">
        <f t="shared" si="1"/>
        <v>0</v>
      </c>
      <c r="Q25" s="66"/>
      <c r="R25" s="145">
        <f>IF($R39=0,,J25*$R$16)</f>
        <v>0</v>
      </c>
      <c r="S25" s="147">
        <f t="shared" si="2"/>
        <v>0</v>
      </c>
      <c r="T25" s="742">
        <f t="shared" si="3"/>
        <v>0</v>
      </c>
      <c r="U25" s="723"/>
    </row>
    <row r="26" spans="2:21" ht="15.65" customHeight="1" x14ac:dyDescent="0.25">
      <c r="B26" s="667" t="s">
        <v>8</v>
      </c>
      <c r="C26" s="634">
        <v>0</v>
      </c>
      <c r="D26" s="812" t="s">
        <v>219</v>
      </c>
      <c r="E26" s="812"/>
      <c r="F26" s="815"/>
      <c r="G26" s="816"/>
      <c r="H26" s="566" t="s">
        <v>32</v>
      </c>
      <c r="I26" s="71" t="s">
        <v>65</v>
      </c>
      <c r="J26" s="140">
        <f t="shared" si="6"/>
        <v>0</v>
      </c>
      <c r="K26" s="145">
        <f t="shared" si="4"/>
        <v>0</v>
      </c>
      <c r="L26" s="758">
        <f t="shared" si="5"/>
        <v>0</v>
      </c>
      <c r="M26" s="149"/>
      <c r="N26" s="145">
        <f>IF($N39=0,,J26*$N$16)</f>
        <v>0</v>
      </c>
      <c r="O26" s="147">
        <f t="shared" si="0"/>
        <v>0</v>
      </c>
      <c r="P26" s="152">
        <f t="shared" si="1"/>
        <v>0</v>
      </c>
      <c r="Q26" s="66"/>
      <c r="R26" s="145">
        <f>IF($R39=0,,J26*$R$16)</f>
        <v>0</v>
      </c>
      <c r="S26" s="147">
        <f t="shared" si="2"/>
        <v>0</v>
      </c>
      <c r="T26" s="742">
        <f t="shared" si="3"/>
        <v>0</v>
      </c>
      <c r="U26" s="723"/>
    </row>
    <row r="27" spans="2:21" ht="14.5" customHeight="1" x14ac:dyDescent="0.25">
      <c r="B27" s="667" t="s">
        <v>8</v>
      </c>
      <c r="C27" s="634">
        <v>0</v>
      </c>
      <c r="D27" s="812" t="s">
        <v>401</v>
      </c>
      <c r="E27" s="812"/>
      <c r="F27" s="815"/>
      <c r="G27" s="816"/>
      <c r="H27" s="566" t="s">
        <v>32</v>
      </c>
      <c r="I27" s="71" t="s">
        <v>65</v>
      </c>
      <c r="J27" s="140">
        <f>$E$12*C27</f>
        <v>0</v>
      </c>
      <c r="K27" s="145">
        <f>IF(B27="Y",J27* 2%,0)</f>
        <v>0</v>
      </c>
      <c r="L27" s="758">
        <f>J27-K27</f>
        <v>0</v>
      </c>
      <c r="M27" s="149"/>
      <c r="N27" s="145">
        <f>IF($N39=0,,J27*$N$16)</f>
        <v>0</v>
      </c>
      <c r="O27" s="147">
        <f t="shared" si="0"/>
        <v>0</v>
      </c>
      <c r="P27" s="152">
        <f>N27-O27</f>
        <v>0</v>
      </c>
      <c r="Q27" s="66"/>
      <c r="R27" s="145">
        <f>IF($R39=0,,J27*$R$16)</f>
        <v>0</v>
      </c>
      <c r="S27" s="147">
        <f t="shared" si="2"/>
        <v>0</v>
      </c>
      <c r="T27" s="742">
        <f>R27-S27</f>
        <v>0</v>
      </c>
      <c r="U27" s="723"/>
    </row>
    <row r="28" spans="2:21" ht="14.5" x14ac:dyDescent="0.25">
      <c r="B28" s="667" t="s">
        <v>8</v>
      </c>
      <c r="C28" s="634">
        <v>0</v>
      </c>
      <c r="D28" s="812" t="s">
        <v>254</v>
      </c>
      <c r="E28" s="812"/>
      <c r="F28" s="817"/>
      <c r="G28" s="818"/>
      <c r="H28" s="566" t="s">
        <v>32</v>
      </c>
      <c r="I28" s="71"/>
      <c r="J28" s="140">
        <f t="shared" si="6"/>
        <v>0</v>
      </c>
      <c r="K28" s="145">
        <f t="shared" si="4"/>
        <v>0</v>
      </c>
      <c r="L28" s="758">
        <f t="shared" si="5"/>
        <v>0</v>
      </c>
      <c r="M28" s="149"/>
      <c r="N28" s="145">
        <f>IF($N39=0,,J28*$N$16)</f>
        <v>0</v>
      </c>
      <c r="O28" s="147">
        <f t="shared" si="0"/>
        <v>0</v>
      </c>
      <c r="P28" s="152">
        <f t="shared" si="1"/>
        <v>0</v>
      </c>
      <c r="Q28" s="66"/>
      <c r="R28" s="145">
        <f>IF($R39=0,,J28*$R$16)</f>
        <v>0</v>
      </c>
      <c r="S28" s="147">
        <f t="shared" si="2"/>
        <v>0</v>
      </c>
      <c r="T28" s="742">
        <f t="shared" ref="T28:T31" si="7">R28-S28</f>
        <v>0</v>
      </c>
      <c r="U28" s="723"/>
    </row>
    <row r="29" spans="2:21" ht="14.5" x14ac:dyDescent="0.25">
      <c r="B29" s="667" t="s">
        <v>8</v>
      </c>
      <c r="C29" s="634">
        <v>0</v>
      </c>
      <c r="D29" s="804" t="s">
        <v>286</v>
      </c>
      <c r="E29" s="805"/>
      <c r="F29" s="805"/>
      <c r="G29" s="805"/>
      <c r="H29" s="566" t="s">
        <v>32</v>
      </c>
      <c r="I29" s="71" t="s">
        <v>36</v>
      </c>
      <c r="J29" s="140">
        <f t="shared" si="6"/>
        <v>0</v>
      </c>
      <c r="K29" s="145">
        <f t="shared" si="4"/>
        <v>0</v>
      </c>
      <c r="L29" s="758">
        <f t="shared" si="5"/>
        <v>0</v>
      </c>
      <c r="M29" s="149"/>
      <c r="N29" s="145">
        <f>IF($N39=0,,J29*$N$16)</f>
        <v>0</v>
      </c>
      <c r="O29" s="147">
        <f t="shared" si="0"/>
        <v>0</v>
      </c>
      <c r="P29" s="152">
        <f t="shared" si="1"/>
        <v>0</v>
      </c>
      <c r="Q29" s="66"/>
      <c r="R29" s="145">
        <f>IF($R39=0,,J29*$R$16)</f>
        <v>0</v>
      </c>
      <c r="S29" s="147">
        <f t="shared" si="2"/>
        <v>0</v>
      </c>
      <c r="T29" s="742">
        <f t="shared" si="7"/>
        <v>0</v>
      </c>
      <c r="U29" s="723"/>
    </row>
    <row r="30" spans="2:21" ht="15.65" customHeight="1" x14ac:dyDescent="0.25">
      <c r="B30" s="667" t="s">
        <v>8</v>
      </c>
      <c r="C30" s="164">
        <v>5</v>
      </c>
      <c r="D30" s="808" t="s">
        <v>576</v>
      </c>
      <c r="E30" s="809"/>
      <c r="F30" s="809"/>
      <c r="G30" s="809"/>
      <c r="H30" s="566" t="s">
        <v>31</v>
      </c>
      <c r="I30" s="71" t="s">
        <v>37</v>
      </c>
      <c r="J30" s="140">
        <f t="shared" si="6"/>
        <v>0</v>
      </c>
      <c r="K30" s="145">
        <f t="shared" si="4"/>
        <v>0</v>
      </c>
      <c r="L30" s="758">
        <f t="shared" si="5"/>
        <v>0</v>
      </c>
      <c r="M30" s="149"/>
      <c r="N30" s="145">
        <f>IF($N39=0,,J30*$N$16)</f>
        <v>0</v>
      </c>
      <c r="O30" s="147">
        <f t="shared" si="0"/>
        <v>0</v>
      </c>
      <c r="P30" s="152">
        <f t="shared" si="1"/>
        <v>0</v>
      </c>
      <c r="Q30" s="66"/>
      <c r="R30" s="145">
        <f>IF($R39=0,,J30*$R$16)</f>
        <v>0</v>
      </c>
      <c r="S30" s="147">
        <f t="shared" si="2"/>
        <v>0</v>
      </c>
      <c r="T30" s="742">
        <f t="shared" si="7"/>
        <v>0</v>
      </c>
      <c r="U30" s="723"/>
    </row>
    <row r="31" spans="2:21" ht="14.5" x14ac:dyDescent="0.25">
      <c r="B31" s="667" t="s">
        <v>7</v>
      </c>
      <c r="C31" s="69"/>
      <c r="D31" s="804" t="s">
        <v>220</v>
      </c>
      <c r="E31" s="805"/>
      <c r="F31" s="805"/>
      <c r="G31" s="805"/>
      <c r="H31" s="566" t="s">
        <v>31</v>
      </c>
      <c r="I31" s="71" t="s">
        <v>10</v>
      </c>
      <c r="J31" s="140">
        <f>$E$11*20%</f>
        <v>0</v>
      </c>
      <c r="K31" s="145">
        <f t="shared" si="4"/>
        <v>0</v>
      </c>
      <c r="L31" s="758">
        <f>J31-K31</f>
        <v>0</v>
      </c>
      <c r="M31" s="149"/>
      <c r="N31" s="145">
        <f>IF($N39=0,,J31*$N$16)</f>
        <v>0</v>
      </c>
      <c r="O31" s="147">
        <f t="shared" si="0"/>
        <v>0</v>
      </c>
      <c r="P31" s="152">
        <f t="shared" si="1"/>
        <v>0</v>
      </c>
      <c r="Q31" s="66"/>
      <c r="R31" s="145">
        <f>IF($R39=0,,J31*$R$16)</f>
        <v>0</v>
      </c>
      <c r="S31" s="147">
        <f t="shared" si="2"/>
        <v>0</v>
      </c>
      <c r="T31" s="742">
        <f t="shared" si="7"/>
        <v>0</v>
      </c>
      <c r="U31" s="723"/>
    </row>
    <row r="32" spans="2:21" ht="14.5" x14ac:dyDescent="0.25">
      <c r="B32" s="667"/>
      <c r="C32" s="76"/>
      <c r="D32" s="810" t="s">
        <v>221</v>
      </c>
      <c r="E32" s="811"/>
      <c r="F32" s="811"/>
      <c r="G32" s="811"/>
      <c r="H32" s="573"/>
      <c r="I32" s="78"/>
      <c r="J32" s="142">
        <f>SUM(J17:J31)</f>
        <v>0</v>
      </c>
      <c r="K32" s="145"/>
      <c r="L32" s="759">
        <f>SUM(L17:L31)</f>
        <v>0</v>
      </c>
      <c r="M32" s="150"/>
      <c r="N32" s="142">
        <f>IF($N39=0,,N39-SUM(N33:N36))</f>
        <v>0</v>
      </c>
      <c r="O32" s="147"/>
      <c r="P32" s="153">
        <f>SUM(P17:P31)</f>
        <v>0</v>
      </c>
      <c r="Q32" s="111"/>
      <c r="R32" s="142">
        <f>IF($R39=0,,R39-SUM(R33:R36))</f>
        <v>0</v>
      </c>
      <c r="S32" s="147"/>
      <c r="T32" s="743">
        <f>SUM(T17:T31)</f>
        <v>0</v>
      </c>
      <c r="U32" s="724"/>
    </row>
    <row r="33" spans="2:21" ht="14.5" x14ac:dyDescent="0.25">
      <c r="B33" s="667" t="s">
        <v>7</v>
      </c>
      <c r="C33" s="69"/>
      <c r="D33" s="804" t="s">
        <v>582</v>
      </c>
      <c r="E33" s="805"/>
      <c r="F33" s="805"/>
      <c r="G33" s="805"/>
      <c r="H33" s="566" t="s">
        <v>31</v>
      </c>
      <c r="I33" s="81"/>
      <c r="J33" s="186">
        <v>0</v>
      </c>
      <c r="K33" s="145">
        <f>IF(B33="Y", J33*2%,0)</f>
        <v>0</v>
      </c>
      <c r="L33" s="758">
        <f>J33-K33</f>
        <v>0</v>
      </c>
      <c r="M33" s="149"/>
      <c r="N33" s="140">
        <f>IF($N39=0,,J33)</f>
        <v>0</v>
      </c>
      <c r="O33" s="147">
        <f>IF(B33="Y", N33*2%,)</f>
        <v>0</v>
      </c>
      <c r="P33" s="152">
        <f t="shared" ref="P33" si="8">N33-O33</f>
        <v>0</v>
      </c>
      <c r="Q33" s="66"/>
      <c r="R33" s="140">
        <f>IF($R39=0,,J33*$R$16)</f>
        <v>0</v>
      </c>
      <c r="S33" s="147">
        <f>IF(B33="Y", R33*2%,)</f>
        <v>0</v>
      </c>
      <c r="T33" s="742">
        <f t="shared" ref="T33:T36" si="9">R33-S33</f>
        <v>0</v>
      </c>
      <c r="U33" s="723"/>
    </row>
    <row r="34" spans="2:21" ht="14.5" x14ac:dyDescent="0.25">
      <c r="B34" s="667" t="s">
        <v>7</v>
      </c>
      <c r="C34" s="69"/>
      <c r="D34" s="806" t="s">
        <v>259</v>
      </c>
      <c r="E34" s="807"/>
      <c r="F34" s="807"/>
      <c r="G34" s="807"/>
      <c r="H34" s="574" t="s">
        <v>31</v>
      </c>
      <c r="I34" s="82" t="s">
        <v>197</v>
      </c>
      <c r="J34" s="186">
        <v>0</v>
      </c>
      <c r="K34" s="145">
        <f t="shared" ref="K34:K36" si="10">IF(B34="Y", J34*2%,0)</f>
        <v>0</v>
      </c>
      <c r="L34" s="758">
        <f t="shared" ref="L34:L36" si="11">J34-K34</f>
        <v>0</v>
      </c>
      <c r="M34" s="149"/>
      <c r="N34" s="140">
        <f>IF($N39=0,,J34)</f>
        <v>0</v>
      </c>
      <c r="O34" s="147">
        <f>IF(B34="Y", N34*2%,)</f>
        <v>0</v>
      </c>
      <c r="P34" s="152">
        <f t="shared" si="1"/>
        <v>0</v>
      </c>
      <c r="Q34" s="66"/>
      <c r="R34" s="140">
        <f>IF($R39=0,,J34*$R$16)</f>
        <v>0</v>
      </c>
      <c r="S34" s="147">
        <f>IF(B34="Y", R34*2%,)</f>
        <v>0</v>
      </c>
      <c r="T34" s="742">
        <f t="shared" si="9"/>
        <v>0</v>
      </c>
      <c r="U34" s="723"/>
    </row>
    <row r="35" spans="2:21" ht="14.5" x14ac:dyDescent="0.25">
      <c r="B35" s="667" t="s">
        <v>7</v>
      </c>
      <c r="C35" s="83"/>
      <c r="D35" s="806" t="s">
        <v>232</v>
      </c>
      <c r="E35" s="807"/>
      <c r="F35" s="807"/>
      <c r="G35" s="807"/>
      <c r="H35" s="574" t="s">
        <v>230</v>
      </c>
      <c r="I35" s="82" t="s">
        <v>24</v>
      </c>
      <c r="J35" s="186">
        <v>0</v>
      </c>
      <c r="K35" s="145">
        <f t="shared" si="10"/>
        <v>0</v>
      </c>
      <c r="L35" s="758">
        <f t="shared" si="11"/>
        <v>0</v>
      </c>
      <c r="M35" s="149"/>
      <c r="N35" s="140">
        <f>IF($N39=0,,J35)</f>
        <v>0</v>
      </c>
      <c r="O35" s="147">
        <f>IF(B35="Y", N35*2%,)</f>
        <v>0</v>
      </c>
      <c r="P35" s="152">
        <f t="shared" si="1"/>
        <v>0</v>
      </c>
      <c r="Q35" s="66"/>
      <c r="R35" s="140">
        <f>IF($R39=0,,J35*$R$16)</f>
        <v>0</v>
      </c>
      <c r="S35" s="147">
        <f>IF(B35="Y", R35*2%,)</f>
        <v>0</v>
      </c>
      <c r="T35" s="742">
        <f t="shared" si="9"/>
        <v>0</v>
      </c>
      <c r="U35" s="723"/>
    </row>
    <row r="36" spans="2:21" ht="14.5" x14ac:dyDescent="0.25">
      <c r="B36" s="667" t="s">
        <v>7</v>
      </c>
      <c r="C36" s="83"/>
      <c r="D36" s="806" t="s">
        <v>225</v>
      </c>
      <c r="E36" s="807"/>
      <c r="F36" s="807"/>
      <c r="G36" s="807"/>
      <c r="H36" s="574" t="s">
        <v>31</v>
      </c>
      <c r="I36" s="82" t="s">
        <v>80</v>
      </c>
      <c r="J36" s="186">
        <v>0</v>
      </c>
      <c r="K36" s="145">
        <f t="shared" si="10"/>
        <v>0</v>
      </c>
      <c r="L36" s="758">
        <f t="shared" si="11"/>
        <v>0</v>
      </c>
      <c r="M36" s="149"/>
      <c r="N36" s="140">
        <f>IF($N39=0,,J36)</f>
        <v>0</v>
      </c>
      <c r="O36" s="147">
        <f>IF(B36="Y", N36*2%,)</f>
        <v>0</v>
      </c>
      <c r="P36" s="152">
        <f t="shared" si="1"/>
        <v>0</v>
      </c>
      <c r="Q36" s="66"/>
      <c r="R36" s="140">
        <f>IF($R39=0,,J36*$R$16)</f>
        <v>0</v>
      </c>
      <c r="S36" s="147">
        <f>IF(B36="Y", R36*2%,)</f>
        <v>0</v>
      </c>
      <c r="T36" s="742">
        <f t="shared" si="9"/>
        <v>0</v>
      </c>
      <c r="U36" s="723"/>
    </row>
    <row r="37" spans="2:21" ht="14.5" x14ac:dyDescent="0.25">
      <c r="B37" s="673" t="s">
        <v>7</v>
      </c>
      <c r="C37" s="83"/>
      <c r="D37" s="804" t="s">
        <v>492</v>
      </c>
      <c r="E37" s="805"/>
      <c r="F37" s="805"/>
      <c r="G37" s="805"/>
      <c r="H37" s="574" t="s">
        <v>31</v>
      </c>
      <c r="I37" s="85" t="s">
        <v>41</v>
      </c>
      <c r="J37" s="86"/>
      <c r="K37" s="93"/>
      <c r="L37" s="760">
        <f>K38</f>
        <v>0</v>
      </c>
      <c r="M37" s="149"/>
      <c r="N37" s="93"/>
      <c r="O37" s="148"/>
      <c r="P37" s="154">
        <f>O38</f>
        <v>0</v>
      </c>
      <c r="Q37" s="66"/>
      <c r="R37" s="93"/>
      <c r="S37" s="148"/>
      <c r="T37" s="744">
        <f>S38</f>
        <v>0</v>
      </c>
      <c r="U37" s="725"/>
    </row>
    <row r="38" spans="2:21" ht="14.5" x14ac:dyDescent="0.25">
      <c r="B38" s="674"/>
      <c r="C38" s="112"/>
      <c r="D38" s="112"/>
      <c r="E38" s="112"/>
      <c r="F38" s="113"/>
      <c r="G38" s="113"/>
      <c r="H38" s="766"/>
      <c r="I38" s="766"/>
      <c r="J38" s="766"/>
      <c r="K38" s="767">
        <f>SUM(K17:K37)</f>
        <v>0</v>
      </c>
      <c r="L38" s="761"/>
      <c r="M38" s="114"/>
      <c r="N38" s="114"/>
      <c r="O38" s="115">
        <f>SUM(O17:O37)</f>
        <v>0</v>
      </c>
      <c r="P38" s="155"/>
      <c r="Q38" s="117"/>
      <c r="R38" s="114"/>
      <c r="S38" s="115">
        <f>SUM(S17:S37)</f>
        <v>0</v>
      </c>
      <c r="T38" s="745"/>
      <c r="U38" s="114"/>
    </row>
    <row r="39" spans="2:21" ht="16" thickBot="1" x14ac:dyDescent="0.3">
      <c r="B39" s="675"/>
      <c r="C39" s="669"/>
      <c r="D39" s="669"/>
      <c r="E39" s="669"/>
      <c r="F39" s="670"/>
      <c r="G39" s="684" t="s">
        <v>81</v>
      </c>
      <c r="H39" s="768"/>
      <c r="I39" s="769" t="s">
        <v>1</v>
      </c>
      <c r="J39" s="726">
        <f>SUM(J32:J38)</f>
        <v>0</v>
      </c>
      <c r="K39" s="770"/>
      <c r="L39" s="762">
        <f>SUM(L32:L38)</f>
        <v>0</v>
      </c>
      <c r="M39" s="747"/>
      <c r="N39" s="676">
        <v>0</v>
      </c>
      <c r="O39" s="727"/>
      <c r="P39" s="746">
        <f>SUM(P32:P38)</f>
        <v>0</v>
      </c>
      <c r="Q39" s="747"/>
      <c r="R39" s="676"/>
      <c r="S39" s="727"/>
      <c r="T39" s="748">
        <f>SUM(T32:T38)</f>
        <v>0</v>
      </c>
      <c r="U39" s="135"/>
    </row>
    <row r="40" spans="2:21" x14ac:dyDescent="0.25">
      <c r="N40" s="89"/>
      <c r="O40" s="89"/>
      <c r="P40" s="89"/>
      <c r="Q40" s="50"/>
      <c r="R40" s="90"/>
      <c r="S40" s="90"/>
      <c r="T40" s="91"/>
      <c r="U40" s="50"/>
    </row>
  </sheetData>
  <mergeCells count="80">
    <mergeCell ref="Q4:U4"/>
    <mergeCell ref="B5:D5"/>
    <mergeCell ref="E5:F5"/>
    <mergeCell ref="G5:H5"/>
    <mergeCell ref="J5:M5"/>
    <mergeCell ref="N5:O5"/>
    <mergeCell ref="Q5:U5"/>
    <mergeCell ref="B4:P4"/>
    <mergeCell ref="Q7:U7"/>
    <mergeCell ref="B6:D6"/>
    <mergeCell ref="E6:F6"/>
    <mergeCell ref="G6:H6"/>
    <mergeCell ref="J6:M6"/>
    <mergeCell ref="N6:O6"/>
    <mergeCell ref="Q6:U6"/>
    <mergeCell ref="B7:D7"/>
    <mergeCell ref="E7:F7"/>
    <mergeCell ref="G7:H7"/>
    <mergeCell ref="J7:M7"/>
    <mergeCell ref="N7:O7"/>
    <mergeCell ref="B8:D8"/>
    <mergeCell ref="E8:F8"/>
    <mergeCell ref="G8:H8"/>
    <mergeCell ref="J8:M8"/>
    <mergeCell ref="Q8:U8"/>
    <mergeCell ref="Q9:U10"/>
    <mergeCell ref="B10:D10"/>
    <mergeCell ref="E10:F10"/>
    <mergeCell ref="G10:H10"/>
    <mergeCell ref="J10:M10"/>
    <mergeCell ref="N10:O10"/>
    <mergeCell ref="B9:D9"/>
    <mergeCell ref="E9:F9"/>
    <mergeCell ref="G9:H9"/>
    <mergeCell ref="J9:M9"/>
    <mergeCell ref="N9:O9"/>
    <mergeCell ref="Q12:U12"/>
    <mergeCell ref="B11:D11"/>
    <mergeCell ref="E11:F11"/>
    <mergeCell ref="G11:H11"/>
    <mergeCell ref="J11:M11"/>
    <mergeCell ref="N11:O11"/>
    <mergeCell ref="Q11:U11"/>
    <mergeCell ref="B12:D12"/>
    <mergeCell ref="E12:F12"/>
    <mergeCell ref="G12:H12"/>
    <mergeCell ref="J12:M12"/>
    <mergeCell ref="N12:O12"/>
    <mergeCell ref="R14:T14"/>
    <mergeCell ref="D15:G16"/>
    <mergeCell ref="J15:J16"/>
    <mergeCell ref="K15:K16"/>
    <mergeCell ref="O15:O16"/>
    <mergeCell ref="S15:S16"/>
    <mergeCell ref="C17:C18"/>
    <mergeCell ref="D17:G17"/>
    <mergeCell ref="D18:G18"/>
    <mergeCell ref="J14:L14"/>
    <mergeCell ref="N14:P14"/>
    <mergeCell ref="D25:E25"/>
    <mergeCell ref="D26:E26"/>
    <mergeCell ref="D19:G19"/>
    <mergeCell ref="D20:G20"/>
    <mergeCell ref="D21:G21"/>
    <mergeCell ref="B2:U2"/>
    <mergeCell ref="D37:G37"/>
    <mergeCell ref="D33:G33"/>
    <mergeCell ref="D34:G34"/>
    <mergeCell ref="D35:G35"/>
    <mergeCell ref="D36:G36"/>
    <mergeCell ref="D30:G30"/>
    <mergeCell ref="D31:G31"/>
    <mergeCell ref="D32:G32"/>
    <mergeCell ref="D27:E27"/>
    <mergeCell ref="D28:E28"/>
    <mergeCell ref="D29:G29"/>
    <mergeCell ref="D22:G22"/>
    <mergeCell ref="D23:G23"/>
    <mergeCell ref="D24:E24"/>
    <mergeCell ref="F24:G28"/>
  </mergeCells>
  <conditionalFormatting sqref="F24">
    <cfRule type="cellIs" dxfId="135" priority="1" operator="notEqual">
      <formula>"GC 76000 PA ($" &amp;P12 &amp;" for every 10) breakdown per local board of supervisor resolution (BOS)."</formula>
    </cfRule>
  </conditionalFormatting>
  <conditionalFormatting sqref="J17:L32 K33:L37">
    <cfRule type="cellIs" dxfId="134" priority="3" operator="equal">
      <formula>0</formula>
    </cfRule>
  </conditionalFormatting>
  <conditionalFormatting sqref="N17:P37 R17:T37">
    <cfRule type="cellIs" dxfId="133" priority="6" stopIfTrue="1" operator="equal">
      <formula>0</formula>
    </cfRule>
  </conditionalFormatting>
  <conditionalFormatting sqref="U13 R40:S40 U41:U65523">
    <cfRule type="cellIs" dxfId="132" priority="5" stopIfTrue="1" operator="notEqual">
      <formula>0</formula>
    </cfRule>
  </conditionalFormatting>
  <pageMargins left="0.7" right="0.7" top="0.75" bottom="0.75" header="0.3" footer="0.3"/>
  <ignoredErrors>
    <ignoredError sqref="L32 P32" formula="1"/>
  </ignoredErrors>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6"/>
  </sheetPr>
  <dimension ref="A1:P45"/>
  <sheetViews>
    <sheetView showGridLines="0" zoomScale="80" zoomScaleNormal="80" zoomScaleSheetLayoutView="70" workbookViewId="0">
      <selection activeCell="D55" sqref="D55"/>
    </sheetView>
  </sheetViews>
  <sheetFormatPr defaultColWidth="9.1796875" defaultRowHeight="18.5" x14ac:dyDescent="0.25"/>
  <cols>
    <col min="1" max="1" width="67.1796875" customWidth="1"/>
    <col min="2" max="2" width="3.81640625" style="87" customWidth="1"/>
    <col min="3" max="3" width="6.26953125" style="87" customWidth="1"/>
    <col min="4" max="4" width="14.1796875" style="87" customWidth="1"/>
    <col min="5" max="5" width="13.26953125" style="87" customWidth="1"/>
    <col min="6" max="6" width="10.453125" style="88" customWidth="1"/>
    <col min="7" max="7" width="21" style="121" customWidth="1"/>
    <col min="8" max="8" width="12.453125" style="46" customWidth="1"/>
    <col min="9" max="9" width="5.1796875" style="46" hidden="1" customWidth="1"/>
    <col min="10" max="10" width="13.453125" style="46" customWidth="1"/>
    <col min="11" max="11" width="22" style="46" customWidth="1"/>
    <col min="12" max="12" width="8.1796875" style="46" customWidth="1"/>
    <col min="13" max="13" width="22.26953125" style="92" customWidth="1"/>
    <col min="14" max="14" width="19.453125" style="46" customWidth="1"/>
    <col min="15" max="15" width="8.7265625" customWidth="1"/>
    <col min="16" max="16384" width="9.1796875" style="46"/>
  </cols>
  <sheetData>
    <row r="1" spans="1:15" ht="19" thickBot="1" x14ac:dyDescent="0.3"/>
    <row r="2" spans="1:15" s="604" customFormat="1" ht="23.25" customHeight="1" thickBot="1" x14ac:dyDescent="0.3">
      <c r="A2"/>
      <c r="B2" s="800" t="s">
        <v>584</v>
      </c>
      <c r="C2" s="801"/>
      <c r="D2" s="801"/>
      <c r="E2" s="801"/>
      <c r="F2" s="801"/>
      <c r="G2" s="801"/>
      <c r="H2" s="801"/>
      <c r="I2" s="801"/>
      <c r="J2" s="801"/>
      <c r="K2" s="801"/>
      <c r="L2" s="802"/>
      <c r="M2" s="802"/>
      <c r="N2" s="803"/>
      <c r="O2"/>
    </row>
    <row r="3" spans="1:15" s="50" customFormat="1" ht="2.5" customHeight="1" thickBot="1" x14ac:dyDescent="0.3">
      <c r="A3"/>
      <c r="B3" s="664"/>
      <c r="C3" s="47"/>
      <c r="D3" s="47"/>
      <c r="E3" s="47"/>
      <c r="F3" s="47"/>
      <c r="G3" s="47"/>
      <c r="H3" s="47"/>
      <c r="I3" s="47"/>
      <c r="J3" s="47"/>
      <c r="K3" s="47"/>
      <c r="L3" s="48"/>
      <c r="M3" s="48"/>
      <c r="N3" s="665"/>
      <c r="O3"/>
    </row>
    <row r="4" spans="1:15" s="50" customFormat="1" ht="20.25" customHeight="1" thickBot="1" x14ac:dyDescent="0.3">
      <c r="A4"/>
      <c r="B4" s="914" t="s">
        <v>234</v>
      </c>
      <c r="C4" s="802"/>
      <c r="D4" s="802"/>
      <c r="E4" s="802"/>
      <c r="F4" s="802"/>
      <c r="G4" s="802"/>
      <c r="H4" s="802"/>
      <c r="I4" s="802"/>
      <c r="J4" s="802"/>
      <c r="K4" s="802"/>
      <c r="L4" s="802"/>
      <c r="M4" s="802"/>
      <c r="N4" s="803"/>
      <c r="O4"/>
    </row>
    <row r="5" spans="1:15" s="53" customFormat="1" ht="15.75" customHeight="1" x14ac:dyDescent="0.35">
      <c r="A5"/>
      <c r="B5" s="973" t="s">
        <v>231</v>
      </c>
      <c r="C5" s="974"/>
      <c r="D5" s="974"/>
      <c r="E5" s="975"/>
      <c r="F5" s="976"/>
      <c r="G5" s="961" t="s">
        <v>28</v>
      </c>
      <c r="H5" s="962"/>
      <c r="I5" s="689"/>
      <c r="J5" s="983"/>
      <c r="K5" s="908"/>
      <c r="L5" s="984" t="s">
        <v>257</v>
      </c>
      <c r="M5" s="985"/>
      <c r="N5" s="690">
        <v>0</v>
      </c>
      <c r="O5"/>
    </row>
    <row r="6" spans="1:15" s="53" customFormat="1" ht="18.649999999999999" customHeight="1" x14ac:dyDescent="0.25">
      <c r="A6"/>
      <c r="B6" s="971" t="s">
        <v>4</v>
      </c>
      <c r="C6" s="972"/>
      <c r="D6" s="972"/>
      <c r="E6" s="894"/>
      <c r="F6" s="885"/>
      <c r="G6" s="936" t="s">
        <v>244</v>
      </c>
      <c r="H6" s="937"/>
      <c r="I6" s="691"/>
      <c r="J6" s="884"/>
      <c r="K6" s="895"/>
      <c r="L6" s="930" t="s">
        <v>22</v>
      </c>
      <c r="M6" s="931"/>
      <c r="N6" s="692">
        <v>0</v>
      </c>
      <c r="O6"/>
    </row>
    <row r="7" spans="1:15" s="53" customFormat="1" ht="15.75" customHeight="1" x14ac:dyDescent="0.25">
      <c r="A7"/>
      <c r="B7" s="986" t="s">
        <v>12</v>
      </c>
      <c r="C7" s="987"/>
      <c r="D7" s="987"/>
      <c r="E7" s="894"/>
      <c r="F7" s="900"/>
      <c r="G7" s="988" t="s">
        <v>20</v>
      </c>
      <c r="H7" s="989"/>
      <c r="I7" s="719"/>
      <c r="J7" s="967"/>
      <c r="K7" s="968"/>
      <c r="L7" s="969" t="s">
        <v>233</v>
      </c>
      <c r="M7" s="970"/>
      <c r="N7" s="693">
        <f>N5+N6*10</f>
        <v>0</v>
      </c>
      <c r="O7"/>
    </row>
    <row r="8" spans="1:15" s="53" customFormat="1" ht="18" customHeight="1" x14ac:dyDescent="0.25">
      <c r="A8"/>
      <c r="B8" s="981" t="s">
        <v>5</v>
      </c>
      <c r="C8" s="982"/>
      <c r="D8" s="982"/>
      <c r="E8" s="884"/>
      <c r="F8" s="885"/>
      <c r="G8" s="936" t="s">
        <v>21</v>
      </c>
      <c r="H8" s="937"/>
      <c r="I8" s="691"/>
      <c r="J8" s="884"/>
      <c r="K8" s="895"/>
      <c r="L8" s="930"/>
      <c r="M8" s="931"/>
      <c r="N8" s="720"/>
      <c r="O8"/>
    </row>
    <row r="9" spans="1:15" s="53" customFormat="1" ht="15.75" customHeight="1" x14ac:dyDescent="0.35">
      <c r="A9"/>
      <c r="B9" s="957" t="s">
        <v>54</v>
      </c>
      <c r="C9" s="958"/>
      <c r="D9" s="958"/>
      <c r="E9" s="959">
        <v>0</v>
      </c>
      <c r="F9" s="960"/>
      <c r="G9" s="961" t="s">
        <v>253</v>
      </c>
      <c r="H9" s="962"/>
      <c r="I9" s="689"/>
      <c r="J9" s="963"/>
      <c r="K9" s="964"/>
      <c r="L9" s="965" t="s">
        <v>257</v>
      </c>
      <c r="M9" s="966"/>
      <c r="N9" s="690">
        <v>0</v>
      </c>
      <c r="O9"/>
    </row>
    <row r="10" spans="1:15" s="53" customFormat="1" ht="15.5" x14ac:dyDescent="0.25">
      <c r="A10"/>
      <c r="B10" s="977" t="s">
        <v>53</v>
      </c>
      <c r="C10" s="978"/>
      <c r="D10" s="978"/>
      <c r="E10" s="979">
        <f>100%-E9</f>
        <v>1</v>
      </c>
      <c r="F10" s="980"/>
      <c r="G10" s="936" t="s">
        <v>244</v>
      </c>
      <c r="H10" s="937"/>
      <c r="I10" s="691"/>
      <c r="J10" s="884"/>
      <c r="K10" s="895"/>
      <c r="L10" s="930" t="s">
        <v>22</v>
      </c>
      <c r="M10" s="931"/>
      <c r="N10" s="692"/>
      <c r="O10"/>
    </row>
    <row r="11" spans="1:15" s="53" customFormat="1" ht="16.5" customHeight="1" x14ac:dyDescent="0.25">
      <c r="A11"/>
      <c r="B11" s="932" t="s">
        <v>276</v>
      </c>
      <c r="C11" s="933"/>
      <c r="D11" s="933"/>
      <c r="E11" s="934">
        <f>N7+N11</f>
        <v>0</v>
      </c>
      <c r="F11" s="935"/>
      <c r="G11" s="936" t="s">
        <v>20</v>
      </c>
      <c r="H11" s="937"/>
      <c r="I11" s="691"/>
      <c r="J11" s="884"/>
      <c r="K11" s="895"/>
      <c r="L11" s="930" t="s">
        <v>233</v>
      </c>
      <c r="M11" s="931"/>
      <c r="N11" s="718">
        <f>N9+N10*10</f>
        <v>0</v>
      </c>
      <c r="O11"/>
    </row>
    <row r="12" spans="1:15" s="53" customFormat="1" ht="19.5" customHeight="1" thickBot="1" x14ac:dyDescent="0.3">
      <c r="A12"/>
      <c r="B12" s="938" t="s">
        <v>277</v>
      </c>
      <c r="C12" s="939"/>
      <c r="D12" s="939"/>
      <c r="E12" s="940">
        <f>ROUNDUP(E11/10,0)</f>
        <v>0</v>
      </c>
      <c r="F12" s="941"/>
      <c r="G12" s="942" t="s">
        <v>21</v>
      </c>
      <c r="H12" s="943"/>
      <c r="I12" s="717"/>
      <c r="J12" s="953"/>
      <c r="K12" s="954"/>
      <c r="L12" s="955" t="s">
        <v>568</v>
      </c>
      <c r="M12" s="956"/>
      <c r="N12" s="728">
        <f>'Local Penalties'!B8</f>
        <v>5</v>
      </c>
      <c r="O12"/>
    </row>
    <row r="13" spans="1:15" s="53" customFormat="1" ht="12.75" customHeight="1" thickBot="1" x14ac:dyDescent="0.3">
      <c r="A13"/>
      <c r="B13" s="694"/>
      <c r="C13" s="173"/>
      <c r="D13" s="173"/>
      <c r="E13" s="173"/>
      <c r="F13" s="173"/>
      <c r="G13" s="60"/>
      <c r="H13" s="55"/>
      <c r="I13" s="56"/>
      <c r="J13" s="57"/>
      <c r="K13" s="733"/>
      <c r="L13" s="733"/>
      <c r="M13" s="733"/>
      <c r="N13" s="671"/>
      <c r="O13"/>
    </row>
    <row r="14" spans="1:15" s="98" customFormat="1" ht="19.5" customHeight="1" thickBot="1" x14ac:dyDescent="0.3">
      <c r="A14"/>
      <c r="B14" s="666"/>
      <c r="C14" s="174"/>
      <c r="D14" s="174"/>
      <c r="E14" s="174"/>
      <c r="F14" s="174"/>
      <c r="G14" s="96"/>
      <c r="H14" s="97"/>
      <c r="J14" s="181"/>
      <c r="K14" s="181"/>
      <c r="L14" s="928" t="s">
        <v>314</v>
      </c>
      <c r="M14" s="929"/>
      <c r="N14" s="737"/>
    </row>
    <row r="15" spans="1:15" ht="29.25" customHeight="1" x14ac:dyDescent="0.3">
      <c r="B15" s="680">
        <v>0.02</v>
      </c>
      <c r="C15" s="927" t="s">
        <v>58</v>
      </c>
      <c r="D15" s="990" t="s">
        <v>226</v>
      </c>
      <c r="E15" s="990"/>
      <c r="F15" s="990"/>
      <c r="G15" s="990"/>
      <c r="H15" s="924" t="s">
        <v>249</v>
      </c>
      <c r="I15" s="695" t="s">
        <v>0</v>
      </c>
      <c r="J15" s="921" t="s">
        <v>269</v>
      </c>
      <c r="K15" s="918" t="s">
        <v>294</v>
      </c>
      <c r="L15" s="992" t="s">
        <v>6</v>
      </c>
      <c r="M15" s="915" t="s">
        <v>304</v>
      </c>
      <c r="N15" s="737"/>
      <c r="O15" s="46"/>
    </row>
    <row r="16" spans="1:15" ht="8.25" customHeight="1" x14ac:dyDescent="0.3">
      <c r="B16" s="688"/>
      <c r="C16" s="925"/>
      <c r="D16" s="991"/>
      <c r="E16" s="991"/>
      <c r="F16" s="991"/>
      <c r="G16" s="991"/>
      <c r="H16" s="925"/>
      <c r="I16" s="696"/>
      <c r="J16" s="922"/>
      <c r="K16" s="919"/>
      <c r="L16" s="993"/>
      <c r="M16" s="916"/>
      <c r="N16" s="737"/>
      <c r="O16" s="46"/>
    </row>
    <row r="17" spans="1:16" s="68" customFormat="1" ht="15.75" customHeight="1" thickBot="1" x14ac:dyDescent="0.3">
      <c r="A17"/>
      <c r="B17" s="729"/>
      <c r="C17" s="926"/>
      <c r="D17" s="199"/>
      <c r="E17" s="200"/>
      <c r="F17" s="200"/>
      <c r="G17" s="201"/>
      <c r="H17" s="926"/>
      <c r="I17" s="105"/>
      <c r="J17" s="923"/>
      <c r="K17" s="920"/>
      <c r="L17" s="734"/>
      <c r="M17" s="917"/>
      <c r="N17" s="737"/>
    </row>
    <row r="18" spans="1:16" s="68" customFormat="1" ht="18.5" customHeight="1" x14ac:dyDescent="0.25">
      <c r="A18"/>
      <c r="B18" s="667" t="s">
        <v>7</v>
      </c>
      <c r="C18" s="238"/>
      <c r="D18" s="994" t="s">
        <v>291</v>
      </c>
      <c r="E18" s="994"/>
      <c r="F18" s="994"/>
      <c r="G18" s="994"/>
      <c r="H18" s="575" t="s">
        <v>32</v>
      </c>
      <c r="I18" s="65" t="s">
        <v>14</v>
      </c>
      <c r="J18" s="755"/>
      <c r="K18" s="145">
        <f>(J44-J44)-L18</f>
        <v>0</v>
      </c>
      <c r="L18" s="756">
        <f>IF(B18="Y",(J33-K33)*2%,)</f>
        <v>0</v>
      </c>
      <c r="M18" s="757">
        <f>(J44-K44)-L18</f>
        <v>0</v>
      </c>
      <c r="N18" s="737"/>
    </row>
    <row r="19" spans="1:16" s="68" customFormat="1" ht="15.75" customHeight="1" x14ac:dyDescent="0.25">
      <c r="A19"/>
      <c r="B19" s="667" t="s">
        <v>7</v>
      </c>
      <c r="C19" s="819" t="s">
        <v>241</v>
      </c>
      <c r="D19" s="812" t="s">
        <v>307</v>
      </c>
      <c r="E19" s="812"/>
      <c r="F19" s="812"/>
      <c r="G19" s="812"/>
      <c r="H19" s="566" t="s">
        <v>32</v>
      </c>
      <c r="I19" s="71" t="s">
        <v>27</v>
      </c>
      <c r="J19" s="681">
        <f>($E$11)*E9</f>
        <v>0</v>
      </c>
      <c r="K19" s="140"/>
      <c r="L19" s="685">
        <f t="shared" ref="L19:L31" si="0">IF(B19="Y",K19* 2%,0)</f>
        <v>0</v>
      </c>
      <c r="M19" s="677">
        <f t="shared" ref="M19:M32" si="1">K19-L19</f>
        <v>0</v>
      </c>
      <c r="N19" s="737"/>
    </row>
    <row r="20" spans="1:16" s="68" customFormat="1" ht="15.75" customHeight="1" x14ac:dyDescent="0.25">
      <c r="A20"/>
      <c r="B20" s="667" t="s">
        <v>7</v>
      </c>
      <c r="C20" s="820"/>
      <c r="D20" s="812" t="s">
        <v>306</v>
      </c>
      <c r="E20" s="812"/>
      <c r="F20" s="812"/>
      <c r="G20" s="812"/>
      <c r="H20" s="566" t="s">
        <v>52</v>
      </c>
      <c r="I20" s="71" t="s">
        <v>25</v>
      </c>
      <c r="J20" s="681">
        <f>($E$11)*E10</f>
        <v>0</v>
      </c>
      <c r="K20" s="140">
        <f>IF(J20&gt;0,J20*98%,)</f>
        <v>0</v>
      </c>
      <c r="L20" s="685">
        <f t="shared" si="0"/>
        <v>0</v>
      </c>
      <c r="M20" s="677">
        <f t="shared" si="1"/>
        <v>0</v>
      </c>
      <c r="N20" s="737"/>
    </row>
    <row r="21" spans="1:16" s="68" customFormat="1" ht="15.75" customHeight="1" x14ac:dyDescent="0.25">
      <c r="A21"/>
      <c r="B21" s="667" t="s">
        <v>7</v>
      </c>
      <c r="C21" s="69">
        <v>7</v>
      </c>
      <c r="D21" s="812" t="s">
        <v>546</v>
      </c>
      <c r="E21" s="812"/>
      <c r="F21" s="812"/>
      <c r="G21" s="812"/>
      <c r="H21" s="566" t="s">
        <v>31</v>
      </c>
      <c r="I21" s="71" t="s">
        <v>26</v>
      </c>
      <c r="J21" s="681">
        <f>$E$12*C21</f>
        <v>0</v>
      </c>
      <c r="K21" s="140"/>
      <c r="L21" s="685">
        <f t="shared" si="0"/>
        <v>0</v>
      </c>
      <c r="M21" s="677">
        <f t="shared" si="1"/>
        <v>0</v>
      </c>
      <c r="N21" s="737"/>
      <c r="P21" s="740"/>
    </row>
    <row r="22" spans="1:16" s="68" customFormat="1" ht="15.75" customHeight="1" x14ac:dyDescent="0.25">
      <c r="A22"/>
      <c r="B22" s="667" t="s">
        <v>7</v>
      </c>
      <c r="C22" s="69">
        <v>3</v>
      </c>
      <c r="D22" s="812" t="s">
        <v>547</v>
      </c>
      <c r="E22" s="812"/>
      <c r="F22" s="812"/>
      <c r="G22" s="812"/>
      <c r="H22" s="566" t="s">
        <v>32</v>
      </c>
      <c r="I22" s="71" t="s">
        <v>27</v>
      </c>
      <c r="J22" s="681">
        <f>$E$12*C22</f>
        <v>0</v>
      </c>
      <c r="K22" s="140"/>
      <c r="L22" s="685">
        <f t="shared" si="0"/>
        <v>0</v>
      </c>
      <c r="M22" s="677">
        <f t="shared" si="1"/>
        <v>0</v>
      </c>
      <c r="N22" s="737"/>
      <c r="P22" s="740"/>
    </row>
    <row r="23" spans="1:16" s="68" customFormat="1" ht="15.75" customHeight="1" x14ac:dyDescent="0.25">
      <c r="A23"/>
      <c r="B23" s="667" t="s">
        <v>7</v>
      </c>
      <c r="C23" s="69">
        <v>0.75</v>
      </c>
      <c r="D23" s="804" t="s">
        <v>575</v>
      </c>
      <c r="E23" s="805"/>
      <c r="F23" s="805"/>
      <c r="G23" s="945"/>
      <c r="H23" s="566" t="s">
        <v>32</v>
      </c>
      <c r="I23" s="71" t="s">
        <v>55</v>
      </c>
      <c r="J23" s="681">
        <f>$E$12*C23</f>
        <v>0</v>
      </c>
      <c r="K23" s="140"/>
      <c r="L23" s="685">
        <f t="shared" si="0"/>
        <v>0</v>
      </c>
      <c r="M23" s="677">
        <f t="shared" si="1"/>
        <v>0</v>
      </c>
      <c r="N23" s="737"/>
      <c r="P23" s="740"/>
    </row>
    <row r="24" spans="1:16" s="68" customFormat="1" ht="15.75" customHeight="1" x14ac:dyDescent="0.25">
      <c r="A24"/>
      <c r="B24" s="667" t="s">
        <v>7</v>
      </c>
      <c r="C24" s="69">
        <v>0.25</v>
      </c>
      <c r="D24" s="804" t="s">
        <v>574</v>
      </c>
      <c r="E24" s="805"/>
      <c r="F24" s="805"/>
      <c r="G24" s="945"/>
      <c r="H24" s="566" t="s">
        <v>31</v>
      </c>
      <c r="I24" s="71" t="s">
        <v>55</v>
      </c>
      <c r="J24" s="681">
        <f>$E$12*C24</f>
        <v>0</v>
      </c>
      <c r="K24" s="140"/>
      <c r="L24" s="685">
        <f t="shared" si="0"/>
        <v>0</v>
      </c>
      <c r="M24" s="677">
        <f t="shared" si="1"/>
        <v>0</v>
      </c>
      <c r="N24" s="737"/>
    </row>
    <row r="25" spans="1:16" s="68" customFormat="1" ht="15.75" customHeight="1" x14ac:dyDescent="0.25">
      <c r="A25"/>
      <c r="B25" s="667" t="s">
        <v>7</v>
      </c>
      <c r="C25" s="69">
        <v>4</v>
      </c>
      <c r="D25" s="804" t="s">
        <v>466</v>
      </c>
      <c r="E25" s="805"/>
      <c r="F25" s="805"/>
      <c r="G25" s="945"/>
      <c r="H25" s="566" t="s">
        <v>31</v>
      </c>
      <c r="I25" s="71" t="s">
        <v>72</v>
      </c>
      <c r="J25" s="681">
        <f t="shared" ref="J25:J32" si="2">$E$12*C25</f>
        <v>0</v>
      </c>
      <c r="K25" s="140"/>
      <c r="L25" s="685">
        <f t="shared" si="0"/>
        <v>0</v>
      </c>
      <c r="M25" s="677">
        <f t="shared" si="1"/>
        <v>0</v>
      </c>
      <c r="N25" s="737"/>
    </row>
    <row r="26" spans="1:16" s="68" customFormat="1" ht="15.75" customHeight="1" x14ac:dyDescent="0.25">
      <c r="A26"/>
      <c r="B26" s="667" t="s">
        <v>7</v>
      </c>
      <c r="C26" s="634">
        <v>0</v>
      </c>
      <c r="D26" s="812" t="s">
        <v>217</v>
      </c>
      <c r="E26" s="812"/>
      <c r="F26" s="995" t="str">
        <f>IF(SUM(C26:C30)=N12,"GC 76000 PA ($" &amp;N12 &amp; " for every 10) breakdown per local board of supervisor resolution (BOS).","ERROR! GC 76000 PA total is not $" &amp;N12&amp; ". Check Court's board resolution.")</f>
        <v>ERROR! GC 76000 PA total is not $5. Check Court's board resolution.</v>
      </c>
      <c r="G26" s="996"/>
      <c r="H26" s="566" t="s">
        <v>32</v>
      </c>
      <c r="I26" s="71" t="s">
        <v>64</v>
      </c>
      <c r="J26" s="681">
        <f t="shared" si="2"/>
        <v>0</v>
      </c>
      <c r="K26" s="140">
        <f>IF(C26&gt;0,1,)</f>
        <v>0</v>
      </c>
      <c r="L26" s="685">
        <f t="shared" si="0"/>
        <v>0</v>
      </c>
      <c r="M26" s="677">
        <f t="shared" si="1"/>
        <v>0</v>
      </c>
      <c r="N26" s="737"/>
    </row>
    <row r="27" spans="1:16" s="68" customFormat="1" ht="15.75" customHeight="1" x14ac:dyDescent="0.25">
      <c r="A27"/>
      <c r="B27" s="667" t="s">
        <v>7</v>
      </c>
      <c r="C27" s="634">
        <v>0</v>
      </c>
      <c r="D27" s="812" t="s">
        <v>218</v>
      </c>
      <c r="E27" s="812"/>
      <c r="F27" s="997"/>
      <c r="G27" s="998"/>
      <c r="H27" s="566" t="s">
        <v>32</v>
      </c>
      <c r="I27" s="71" t="s">
        <v>35</v>
      </c>
      <c r="J27" s="681">
        <f t="shared" si="2"/>
        <v>0</v>
      </c>
      <c r="K27" s="140">
        <f>IF(C27&gt;0,1,)</f>
        <v>0</v>
      </c>
      <c r="L27" s="685">
        <f t="shared" si="0"/>
        <v>0</v>
      </c>
      <c r="M27" s="677">
        <f t="shared" si="1"/>
        <v>0</v>
      </c>
      <c r="N27" s="737"/>
    </row>
    <row r="28" spans="1:16" s="68" customFormat="1" ht="15.75" customHeight="1" x14ac:dyDescent="0.25">
      <c r="A28"/>
      <c r="B28" s="667" t="s">
        <v>7</v>
      </c>
      <c r="C28" s="634">
        <v>0</v>
      </c>
      <c r="D28" s="812" t="s">
        <v>219</v>
      </c>
      <c r="E28" s="812"/>
      <c r="F28" s="997"/>
      <c r="G28" s="998"/>
      <c r="H28" s="566" t="s">
        <v>32</v>
      </c>
      <c r="I28" s="71" t="s">
        <v>65</v>
      </c>
      <c r="J28" s="681">
        <f t="shared" si="2"/>
        <v>0</v>
      </c>
      <c r="K28" s="140">
        <f>IF(C28&gt;0,$E$12*2,)</f>
        <v>0</v>
      </c>
      <c r="L28" s="685">
        <f t="shared" si="0"/>
        <v>0</v>
      </c>
      <c r="M28" s="677">
        <f t="shared" si="1"/>
        <v>0</v>
      </c>
      <c r="N28" s="737"/>
    </row>
    <row r="29" spans="1:16" s="68" customFormat="1" ht="15.75" customHeight="1" x14ac:dyDescent="0.25">
      <c r="A29"/>
      <c r="B29" s="667" t="s">
        <v>7</v>
      </c>
      <c r="C29" s="634">
        <v>0</v>
      </c>
      <c r="D29" s="812" t="s">
        <v>401</v>
      </c>
      <c r="E29" s="812"/>
      <c r="F29" s="997"/>
      <c r="G29" s="998"/>
      <c r="H29" s="566" t="s">
        <v>32</v>
      </c>
      <c r="I29" s="71" t="s">
        <v>65</v>
      </c>
      <c r="J29" s="681">
        <f>$E$12*C29</f>
        <v>0</v>
      </c>
      <c r="K29" s="140"/>
      <c r="L29" s="685">
        <f t="shared" si="0"/>
        <v>0</v>
      </c>
      <c r="M29" s="677">
        <f t="shared" si="1"/>
        <v>0</v>
      </c>
      <c r="N29" s="737"/>
    </row>
    <row r="30" spans="1:16" s="68" customFormat="1" ht="15.75" customHeight="1" x14ac:dyDescent="0.25">
      <c r="A30"/>
      <c r="B30" s="667" t="s">
        <v>7</v>
      </c>
      <c r="C30" s="634">
        <v>0</v>
      </c>
      <c r="D30" s="812" t="s">
        <v>254</v>
      </c>
      <c r="E30" s="812"/>
      <c r="F30" s="999"/>
      <c r="G30" s="1000"/>
      <c r="H30" s="566" t="s">
        <v>32</v>
      </c>
      <c r="I30" s="71"/>
      <c r="J30" s="681">
        <f>$E$12*C30</f>
        <v>0</v>
      </c>
      <c r="K30" s="140"/>
      <c r="L30" s="685">
        <f t="shared" si="0"/>
        <v>0</v>
      </c>
      <c r="M30" s="677">
        <f t="shared" si="1"/>
        <v>0</v>
      </c>
      <c r="N30" s="737"/>
    </row>
    <row r="31" spans="1:16" s="68" customFormat="1" ht="15.5" customHeight="1" x14ac:dyDescent="0.25">
      <c r="A31"/>
      <c r="B31" s="667" t="s">
        <v>7</v>
      </c>
      <c r="C31" s="634">
        <v>0</v>
      </c>
      <c r="D31" s="804" t="s">
        <v>286</v>
      </c>
      <c r="E31" s="805"/>
      <c r="F31" s="805"/>
      <c r="G31" s="945"/>
      <c r="H31" s="566" t="s">
        <v>32</v>
      </c>
      <c r="I31" s="71" t="s">
        <v>36</v>
      </c>
      <c r="J31" s="681">
        <f t="shared" si="2"/>
        <v>0</v>
      </c>
      <c r="K31" s="140">
        <f>IF(C31&gt;0,$E$12*2,)</f>
        <v>0</v>
      </c>
      <c r="L31" s="685">
        <f t="shared" si="0"/>
        <v>0</v>
      </c>
      <c r="M31" s="677">
        <f t="shared" si="1"/>
        <v>0</v>
      </c>
      <c r="N31" s="737"/>
    </row>
    <row r="32" spans="1:16" s="68" customFormat="1" ht="18" customHeight="1" x14ac:dyDescent="0.25">
      <c r="A32"/>
      <c r="B32" s="667" t="s">
        <v>7</v>
      </c>
      <c r="C32" s="164">
        <v>5</v>
      </c>
      <c r="D32" s="804" t="s">
        <v>576</v>
      </c>
      <c r="E32" s="805"/>
      <c r="F32" s="805"/>
      <c r="G32" s="739"/>
      <c r="H32" s="566" t="s">
        <v>31</v>
      </c>
      <c r="I32" s="71" t="s">
        <v>197</v>
      </c>
      <c r="J32" s="681">
        <f t="shared" si="2"/>
        <v>0</v>
      </c>
      <c r="K32" s="140">
        <f>J32</f>
        <v>0</v>
      </c>
      <c r="L32" s="685">
        <f>IF(B32="Y",#REF!* 2%,0)</f>
        <v>0</v>
      </c>
      <c r="M32" s="677">
        <f t="shared" si="1"/>
        <v>0</v>
      </c>
      <c r="N32" s="737"/>
    </row>
    <row r="33" spans="1:14" s="68" customFormat="1" ht="15.75" customHeight="1" x14ac:dyDescent="0.25">
      <c r="A33"/>
      <c r="B33" s="667"/>
      <c r="C33" s="76"/>
      <c r="D33" s="810" t="s">
        <v>221</v>
      </c>
      <c r="E33" s="811"/>
      <c r="F33" s="811"/>
      <c r="G33" s="946"/>
      <c r="H33" s="573"/>
      <c r="I33" s="78"/>
      <c r="J33" s="697">
        <f>SUM(J15:J32)</f>
        <v>0</v>
      </c>
      <c r="K33" s="142">
        <f>SUM(K18:K32)</f>
        <v>0</v>
      </c>
      <c r="L33" s="686">
        <f>SUM(L15:L32)</f>
        <v>0</v>
      </c>
      <c r="M33" s="678">
        <f>SUM(M18:M32)</f>
        <v>0</v>
      </c>
      <c r="N33" s="737"/>
    </row>
    <row r="34" spans="1:14" s="68" customFormat="1" ht="15.75" customHeight="1" x14ac:dyDescent="0.25">
      <c r="A34"/>
      <c r="B34" s="667" t="s">
        <v>7</v>
      </c>
      <c r="C34" s="69"/>
      <c r="D34" s="804" t="s">
        <v>220</v>
      </c>
      <c r="E34" s="805"/>
      <c r="F34" s="805"/>
      <c r="G34" s="945"/>
      <c r="H34" s="566" t="s">
        <v>31</v>
      </c>
      <c r="I34" s="71" t="s">
        <v>10</v>
      </c>
      <c r="J34" s="730">
        <f>E11*20%</f>
        <v>0</v>
      </c>
      <c r="K34" s="140">
        <f>J34</f>
        <v>0</v>
      </c>
      <c r="L34" s="685"/>
      <c r="M34" s="677">
        <f t="shared" ref="M34:M42" si="3">K34-L34</f>
        <v>0</v>
      </c>
      <c r="N34" s="737"/>
    </row>
    <row r="35" spans="1:14" s="80" customFormat="1" ht="15.75" customHeight="1" x14ac:dyDescent="0.25">
      <c r="A35"/>
      <c r="B35" s="667" t="s">
        <v>7</v>
      </c>
      <c r="C35" s="69"/>
      <c r="D35" s="804" t="s">
        <v>419</v>
      </c>
      <c r="E35" s="805"/>
      <c r="F35" s="805"/>
      <c r="G35" s="945"/>
      <c r="H35" s="698" t="s">
        <v>31</v>
      </c>
      <c r="I35" s="71"/>
      <c r="J35" s="711">
        <v>0</v>
      </c>
      <c r="K35" s="140">
        <f>J35</f>
        <v>0</v>
      </c>
      <c r="L35" s="685">
        <f>IF(B35="Y", IF($L$16="BASE-UP",#REF!*2%, IF($L$16="TOP-DOWN",#REF!* 2%,0)),0)</f>
        <v>0</v>
      </c>
      <c r="M35" s="677">
        <f t="shared" si="3"/>
        <v>0</v>
      </c>
      <c r="N35" s="737"/>
    </row>
    <row r="36" spans="1:14" s="68" customFormat="1" ht="15.75" customHeight="1" x14ac:dyDescent="0.25">
      <c r="A36"/>
      <c r="B36" s="682" t="s">
        <v>7</v>
      </c>
      <c r="C36" s="721"/>
      <c r="D36" s="947" t="s">
        <v>259</v>
      </c>
      <c r="E36" s="948"/>
      <c r="F36" s="948"/>
      <c r="G36" s="949"/>
      <c r="H36" s="698" t="s">
        <v>31</v>
      </c>
      <c r="I36" s="699" t="s">
        <v>197</v>
      </c>
      <c r="J36" s="712">
        <v>0</v>
      </c>
      <c r="K36" s="715">
        <f t="shared" ref="K36:K41" si="4">J36</f>
        <v>0</v>
      </c>
      <c r="L36" s="685">
        <f>IF(B36="Y", IF($L$16="BASE-UP",#REF!*2%, IF($L$16="TOP-DOWN",#REF!* 2%,0)),0)</f>
        <v>0</v>
      </c>
      <c r="M36" s="677">
        <f t="shared" si="3"/>
        <v>0</v>
      </c>
      <c r="N36" s="737"/>
    </row>
    <row r="37" spans="1:14" s="68" customFormat="1" ht="15.75" customHeight="1" x14ac:dyDescent="0.25">
      <c r="A37"/>
      <c r="B37" s="683" t="s">
        <v>7</v>
      </c>
      <c r="C37" s="69"/>
      <c r="D37" s="806" t="s">
        <v>292</v>
      </c>
      <c r="E37" s="807"/>
      <c r="F37" s="807"/>
      <c r="G37" s="944"/>
      <c r="H37" s="574" t="s">
        <v>32</v>
      </c>
      <c r="I37" s="85"/>
      <c r="J37" s="711">
        <v>0</v>
      </c>
      <c r="K37" s="140">
        <f t="shared" si="4"/>
        <v>0</v>
      </c>
      <c r="L37" s="685">
        <f>IF(B37="Y", IF($L$16="BASE-UP",#REF!*2%, IF($L$16="TOP-DOWN",#REF!* 2%,0)),0)</f>
        <v>0</v>
      </c>
      <c r="M37" s="677">
        <f t="shared" si="3"/>
        <v>0</v>
      </c>
      <c r="N37" s="737"/>
    </row>
    <row r="38" spans="1:14" s="68" customFormat="1" ht="15.75" customHeight="1" x14ac:dyDescent="0.25">
      <c r="A38"/>
      <c r="B38" s="667" t="s">
        <v>7</v>
      </c>
      <c r="C38" s="63"/>
      <c r="D38" s="950" t="s">
        <v>586</v>
      </c>
      <c r="E38" s="951"/>
      <c r="F38" s="951"/>
      <c r="G38" s="952"/>
      <c r="H38" s="700" t="s">
        <v>31</v>
      </c>
      <c r="I38" s="701"/>
      <c r="J38" s="713">
        <v>0</v>
      </c>
      <c r="K38" s="145">
        <f t="shared" si="4"/>
        <v>0</v>
      </c>
      <c r="L38" s="685">
        <f>IF(B38="Y", IF($L$16="BASE-UP",#REF!*2%, IF($L$16="TOP-DOWN",#REF!* 2%,0)),0)</f>
        <v>0</v>
      </c>
      <c r="M38" s="677">
        <f t="shared" si="3"/>
        <v>0</v>
      </c>
      <c r="N38" s="737"/>
    </row>
    <row r="39" spans="1:14" s="68" customFormat="1" ht="15.65" customHeight="1" x14ac:dyDescent="0.25">
      <c r="A39"/>
      <c r="B39" s="667" t="s">
        <v>7</v>
      </c>
      <c r="C39" s="69"/>
      <c r="D39" s="806" t="s">
        <v>427</v>
      </c>
      <c r="E39" s="807"/>
      <c r="F39" s="807"/>
      <c r="G39" s="944"/>
      <c r="H39" s="574" t="s">
        <v>230</v>
      </c>
      <c r="I39" s="85"/>
      <c r="J39" s="711">
        <v>0</v>
      </c>
      <c r="K39" s="140">
        <f t="shared" si="4"/>
        <v>0</v>
      </c>
      <c r="L39" s="685">
        <f>IF(B39="Y", IF($L$16="BASE-UP",#REF!*2%, IF($L$16="TOP-DOWN",#REF!* 2%,0)),0)</f>
        <v>0</v>
      </c>
      <c r="M39" s="677">
        <f t="shared" si="3"/>
        <v>0</v>
      </c>
      <c r="N39" s="737"/>
    </row>
    <row r="40" spans="1:14" s="68" customFormat="1" ht="32.15" customHeight="1" x14ac:dyDescent="0.25">
      <c r="A40"/>
      <c r="B40" s="667" t="s">
        <v>7</v>
      </c>
      <c r="C40" s="69"/>
      <c r="D40" s="804" t="s">
        <v>551</v>
      </c>
      <c r="E40" s="807"/>
      <c r="F40" s="807"/>
      <c r="G40" s="944"/>
      <c r="H40" s="574" t="s">
        <v>31</v>
      </c>
      <c r="I40" s="85"/>
      <c r="J40" s="711">
        <v>0</v>
      </c>
      <c r="K40" s="140">
        <f t="shared" si="4"/>
        <v>0</v>
      </c>
      <c r="L40" s="685"/>
      <c r="M40" s="677">
        <f t="shared" si="3"/>
        <v>0</v>
      </c>
      <c r="N40" s="737"/>
    </row>
    <row r="41" spans="1:14" s="68" customFormat="1" ht="16.5" customHeight="1" x14ac:dyDescent="0.25">
      <c r="A41"/>
      <c r="B41" s="667" t="s">
        <v>7</v>
      </c>
      <c r="C41" s="83"/>
      <c r="D41" s="806" t="s">
        <v>225</v>
      </c>
      <c r="E41" s="807"/>
      <c r="F41" s="807"/>
      <c r="G41" s="944"/>
      <c r="H41" s="574" t="s">
        <v>31</v>
      </c>
      <c r="I41" s="85" t="s">
        <v>80</v>
      </c>
      <c r="J41" s="711">
        <v>0</v>
      </c>
      <c r="K41" s="140">
        <f t="shared" si="4"/>
        <v>0</v>
      </c>
      <c r="L41" s="685">
        <f>IF(B41="Y", IF($L$16="BASE-UP",#REF!*2%, IF($L$16="TOP-DOWN",#REF!* 2%,0)),0)</f>
        <v>0</v>
      </c>
      <c r="M41" s="677">
        <f t="shared" si="3"/>
        <v>0</v>
      </c>
      <c r="N41" s="737"/>
    </row>
    <row r="42" spans="1:14" s="68" customFormat="1" ht="14.5" x14ac:dyDescent="0.25">
      <c r="A42"/>
      <c r="B42" s="667"/>
      <c r="C42" s="83"/>
      <c r="D42" s="806" t="s">
        <v>224</v>
      </c>
      <c r="E42" s="807"/>
      <c r="F42" s="807"/>
      <c r="G42" s="944"/>
      <c r="H42" s="574" t="s">
        <v>31</v>
      </c>
      <c r="I42" s="85" t="s">
        <v>41</v>
      </c>
      <c r="J42" s="714"/>
      <c r="K42" s="179"/>
      <c r="L42" s="687"/>
      <c r="M42" s="677">
        <f t="shared" si="3"/>
        <v>0</v>
      </c>
      <c r="N42" s="737"/>
    </row>
    <row r="43" spans="1:14" s="68" customFormat="1" ht="14.5" x14ac:dyDescent="0.25">
      <c r="A43"/>
      <c r="B43" s="668"/>
      <c r="C43" s="679"/>
      <c r="D43" s="679"/>
      <c r="E43" s="679"/>
      <c r="F43" s="576"/>
      <c r="G43" s="576"/>
      <c r="K43" s="716"/>
      <c r="L43" s="735">
        <f>SUM(L19:L42)</f>
        <v>0</v>
      </c>
      <c r="M43" s="731"/>
      <c r="N43" s="737"/>
    </row>
    <row r="44" spans="1:14" s="68" customFormat="1" ht="16" thickBot="1" x14ac:dyDescent="0.3">
      <c r="A44"/>
      <c r="B44" s="702"/>
      <c r="C44" s="703"/>
      <c r="D44" s="703"/>
      <c r="E44" s="703"/>
      <c r="F44" s="704"/>
      <c r="G44" s="705" t="s">
        <v>81</v>
      </c>
      <c r="H44" s="706"/>
      <c r="I44" s="707" t="s">
        <v>1</v>
      </c>
      <c r="J44" s="709">
        <f>SUM(J33:J43)</f>
        <v>0</v>
      </c>
      <c r="K44" s="708">
        <f>SUM(K33:K42)</f>
        <v>0</v>
      </c>
      <c r="L44" s="736">
        <f>SUM(L33:L42)</f>
        <v>0</v>
      </c>
      <c r="M44" s="732">
        <f>SUM(M33:M42)</f>
        <v>0</v>
      </c>
      <c r="N44" s="738"/>
    </row>
    <row r="45" spans="1:14" x14ac:dyDescent="0.25">
      <c r="N45" s="710"/>
    </row>
  </sheetData>
  <mergeCells count="77">
    <mergeCell ref="D25:G25"/>
    <mergeCell ref="D26:E26"/>
    <mergeCell ref="F26:G30"/>
    <mergeCell ref="D27:E27"/>
    <mergeCell ref="D28:E28"/>
    <mergeCell ref="D29:E29"/>
    <mergeCell ref="D30:E30"/>
    <mergeCell ref="D15:G16"/>
    <mergeCell ref="L15:L16"/>
    <mergeCell ref="D18:G18"/>
    <mergeCell ref="D23:G23"/>
    <mergeCell ref="D24:G24"/>
    <mergeCell ref="B2:N2"/>
    <mergeCell ref="B5:D5"/>
    <mergeCell ref="E5:F5"/>
    <mergeCell ref="G5:H5"/>
    <mergeCell ref="D31:G31"/>
    <mergeCell ref="B10:D10"/>
    <mergeCell ref="E10:F10"/>
    <mergeCell ref="G10:H10"/>
    <mergeCell ref="J10:K10"/>
    <mergeCell ref="B8:D8"/>
    <mergeCell ref="E8:F8"/>
    <mergeCell ref="J5:K5"/>
    <mergeCell ref="L5:M5"/>
    <mergeCell ref="B7:D7"/>
    <mergeCell ref="E7:F7"/>
    <mergeCell ref="G7:H7"/>
    <mergeCell ref="J7:K7"/>
    <mergeCell ref="L7:M7"/>
    <mergeCell ref="B6:D6"/>
    <mergeCell ref="E6:F6"/>
    <mergeCell ref="G6:H6"/>
    <mergeCell ref="J6:K6"/>
    <mergeCell ref="L6:M6"/>
    <mergeCell ref="B9:D9"/>
    <mergeCell ref="E9:F9"/>
    <mergeCell ref="G9:H9"/>
    <mergeCell ref="J9:K9"/>
    <mergeCell ref="L9:M9"/>
    <mergeCell ref="J12:K12"/>
    <mergeCell ref="L12:M12"/>
    <mergeCell ref="G8:H8"/>
    <mergeCell ref="J8:K8"/>
    <mergeCell ref="L8:M8"/>
    <mergeCell ref="C19:C20"/>
    <mergeCell ref="D19:G19"/>
    <mergeCell ref="D20:G20"/>
    <mergeCell ref="D21:G21"/>
    <mergeCell ref="D22:G22"/>
    <mergeCell ref="D42:G42"/>
    <mergeCell ref="D32:F32"/>
    <mergeCell ref="D34:G34"/>
    <mergeCell ref="D33:G33"/>
    <mergeCell ref="D35:G35"/>
    <mergeCell ref="D36:G36"/>
    <mergeCell ref="D37:G37"/>
    <mergeCell ref="D38:G38"/>
    <mergeCell ref="D39:G39"/>
    <mergeCell ref="D40:G40"/>
    <mergeCell ref="D41:G41"/>
    <mergeCell ref="B4:N4"/>
    <mergeCell ref="M15:M17"/>
    <mergeCell ref="K15:K17"/>
    <mergeCell ref="J15:J17"/>
    <mergeCell ref="H15:H17"/>
    <mergeCell ref="C15:C17"/>
    <mergeCell ref="L14:M14"/>
    <mergeCell ref="L10:M10"/>
    <mergeCell ref="B11:D11"/>
    <mergeCell ref="E11:F11"/>
    <mergeCell ref="G11:H11"/>
    <mergeCell ref="J11:K11"/>
    <mergeCell ref="L11:M11"/>
    <mergeCell ref="B12:D12"/>
    <mergeCell ref="E12:F12"/>
    <mergeCell ref="G12:H12"/>
  </mergeCells>
  <conditionalFormatting sqref="F26">
    <cfRule type="cellIs" dxfId="131" priority="2" operator="notEqual">
      <formula>"GC 76000 PA ($" &amp;N12 &amp;" for every 10) breakdown per local board of supervisor resolution (BOS)."</formula>
    </cfRule>
  </conditionalFormatting>
  <conditionalFormatting sqref="I26:I31">
    <cfRule type="expression" dxfId="130" priority="4" stopIfTrue="1">
      <formula>MOD(ROW(), 2)=0</formula>
    </cfRule>
  </conditionalFormatting>
  <conditionalFormatting sqref="I31:I32 I18:I25 I34">
    <cfRule type="expression" dxfId="129" priority="5" stopIfTrue="1">
      <formula>MOD(ROW(),2)=0</formula>
    </cfRule>
  </conditionalFormatting>
  <conditionalFormatting sqref="L18:M23 J19:K23 J24:M32 J34:M34 L35:M42">
    <cfRule type="cellIs" dxfId="128" priority="6" stopIfTrue="1" operator="equal">
      <formula>0</formula>
    </cfRule>
  </conditionalFormatting>
  <hyperlinks>
    <hyperlink ref="B8:D8" r:id="rId1" display="Arresting Agency" xr:uid="{56E27D97-5B95-4686-A86F-B60DA2C61C2D}"/>
    <hyperlink ref="D18:G18" r:id="rId2" display="VC 42007 - TVS Fee (rem bal: Total fine minus Pre-TVS)" xr:uid="{23576858-30C6-4D27-B0F3-9D082A317959}"/>
  </hyperlinks>
  <pageMargins left="0.7" right="0.7" top="0.75" bottom="0.75" header="0.3" footer="0.3"/>
  <pageSetup scale="70" orientation="landscape" r:id="rId3"/>
  <ignoredErrors>
    <ignoredError sqref="K33:M33" formula="1"/>
    <ignoredError sqref="F26" formulaRange="1"/>
  </ignoredErrors>
  <drawing r:id="rId4"/>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
    <tabColor theme="3" tint="0.39997558519241921"/>
    <pageSetUpPr fitToPage="1"/>
  </sheetPr>
  <dimension ref="A1:AP36"/>
  <sheetViews>
    <sheetView showRuler="0" zoomScale="80" zoomScaleNormal="100" zoomScaleSheetLayoutView="80" workbookViewId="0">
      <pane ySplit="7" topLeftCell="A8" activePane="bottomLeft" state="frozen"/>
      <selection pane="bottomLeft" activeCell="S17" sqref="S17"/>
    </sheetView>
  </sheetViews>
  <sheetFormatPr defaultColWidth="9.1796875" defaultRowHeight="15.5" x14ac:dyDescent="0.25"/>
  <cols>
    <col min="1" max="1" width="5.26953125" style="46" customWidth="1"/>
    <col min="2" max="2" width="4.1796875" style="291" customWidth="1"/>
    <col min="3" max="3" width="6.26953125" style="292" customWidth="1"/>
    <col min="4" max="4" width="11.1796875" style="46" bestFit="1" customWidth="1"/>
    <col min="5" max="5" width="9.1796875" style="46" customWidth="1"/>
    <col min="6" max="7" width="5.54296875" style="46" customWidth="1"/>
    <col min="8" max="9" width="5.54296875" style="87" customWidth="1"/>
    <col min="10" max="11" width="4.7265625" style="87" customWidth="1"/>
    <col min="12" max="12" width="11.1796875" style="87" customWidth="1"/>
    <col min="13" max="13" width="12.453125" style="282" customWidth="1"/>
    <col min="14" max="32" width="4.1796875" style="87" customWidth="1"/>
    <col min="33" max="33" width="3.7265625" style="50" customWidth="1"/>
    <col min="34" max="34" width="3.7265625" style="87" customWidth="1"/>
    <col min="35" max="35" width="10.7265625" style="283" customWidth="1"/>
    <col min="36" max="36" width="59.26953125" style="283" customWidth="1"/>
    <col min="37" max="37" width="9.7265625" style="87" customWidth="1"/>
    <col min="38" max="39" width="6.26953125" style="87" customWidth="1"/>
    <col min="40" max="40" width="20.81640625" style="125" customWidth="1"/>
    <col min="41" max="41" width="9.1796875" style="50"/>
    <col min="42" max="16384" width="9.1796875" style="46"/>
  </cols>
  <sheetData>
    <row r="1" spans="1:41" s="264" customFormat="1" ht="21.5" thickBot="1" x14ac:dyDescent="0.3">
      <c r="B1" s="1018" t="s">
        <v>561</v>
      </c>
      <c r="C1" s="1019"/>
      <c r="D1" s="1019"/>
      <c r="E1" s="1019"/>
      <c r="F1" s="1019"/>
      <c r="G1" s="1019"/>
      <c r="H1" s="1019"/>
      <c r="I1" s="1019"/>
      <c r="J1" s="1019"/>
      <c r="K1" s="1019"/>
      <c r="L1" s="1019"/>
      <c r="M1" s="1019"/>
      <c r="N1" s="1019"/>
      <c r="O1" s="1019"/>
      <c r="P1" s="1019"/>
      <c r="Q1" s="1019"/>
      <c r="R1" s="1019"/>
      <c r="S1" s="1019"/>
      <c r="T1" s="1019"/>
      <c r="U1" s="1019"/>
      <c r="V1" s="1019"/>
      <c r="W1" s="1019"/>
      <c r="X1" s="1019"/>
      <c r="Y1" s="1019"/>
      <c r="Z1" s="1019"/>
      <c r="AA1" s="1019"/>
      <c r="AB1" s="1019"/>
      <c r="AC1" s="1019"/>
      <c r="AD1" s="1019"/>
      <c r="AE1" s="1019"/>
      <c r="AF1" s="1019"/>
      <c r="AG1" s="1019"/>
      <c r="AH1" s="1019"/>
      <c r="AI1" s="1019"/>
      <c r="AJ1" s="1019"/>
      <c r="AK1" s="1019"/>
      <c r="AL1" s="1019"/>
      <c r="AM1" s="1020"/>
      <c r="AN1" s="487"/>
      <c r="AO1" s="263"/>
    </row>
    <row r="2" spans="1:41" s="263" customFormat="1" ht="7.5" customHeight="1" x14ac:dyDescent="0.25">
      <c r="B2" s="130"/>
      <c r="C2" s="130"/>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c r="AE2" s="265"/>
      <c r="AF2" s="265"/>
      <c r="AG2" s="265"/>
      <c r="AH2" s="265"/>
      <c r="AI2" s="265"/>
      <c r="AJ2" s="265"/>
      <c r="AK2" s="265"/>
      <c r="AL2" s="265"/>
      <c r="AM2" s="265"/>
      <c r="AN2" s="487"/>
    </row>
    <row r="3" spans="1:41" s="80" customFormat="1" ht="18.5" x14ac:dyDescent="0.25">
      <c r="B3" s="1035" t="s">
        <v>86</v>
      </c>
      <c r="C3" s="1035"/>
      <c r="D3" s="1035"/>
      <c r="E3" s="1035"/>
      <c r="F3" s="1035"/>
      <c r="G3" s="1035"/>
      <c r="H3" s="1035"/>
      <c r="I3" s="1035"/>
      <c r="J3" s="1035"/>
      <c r="K3" s="1035"/>
      <c r="L3" s="1035"/>
      <c r="M3" s="1035"/>
      <c r="N3" s="1035"/>
      <c r="O3" s="1035"/>
      <c r="P3" s="1035"/>
      <c r="Q3" s="1035"/>
      <c r="R3" s="1035"/>
      <c r="S3" s="1035"/>
      <c r="T3" s="1035"/>
      <c r="U3" s="1035"/>
      <c r="V3" s="1035"/>
      <c r="W3" s="1035"/>
      <c r="X3" s="1035"/>
      <c r="Y3" s="1035"/>
      <c r="Z3" s="1035"/>
      <c r="AA3" s="1035"/>
      <c r="AB3" s="1035"/>
      <c r="AC3" s="1035"/>
      <c r="AD3" s="1035"/>
      <c r="AE3" s="1035"/>
      <c r="AF3" s="1035"/>
      <c r="AG3" s="1035"/>
      <c r="AH3" s="1035"/>
      <c r="AI3" s="1035"/>
      <c r="AJ3" s="1035"/>
      <c r="AK3" s="1035"/>
      <c r="AL3" s="1035"/>
      <c r="AM3" s="1035"/>
      <c r="AN3" s="488"/>
      <c r="AO3" s="129"/>
    </row>
    <row r="4" spans="1:41" ht="9.75" customHeight="1" thickBot="1" x14ac:dyDescent="0.3">
      <c r="B4" s="52"/>
      <c r="C4" s="53"/>
      <c r="D4" s="50"/>
      <c r="E4" s="50"/>
      <c r="F4" s="50"/>
      <c r="G4" s="50"/>
      <c r="H4" s="120"/>
      <c r="I4" s="120"/>
      <c r="J4" s="120"/>
      <c r="K4" s="120"/>
      <c r="L4" s="120"/>
      <c r="M4" s="266"/>
      <c r="N4" s="120"/>
      <c r="O4" s="120"/>
      <c r="P4" s="120"/>
      <c r="Q4" s="120"/>
      <c r="R4" s="120"/>
      <c r="S4" s="120"/>
      <c r="T4" s="120"/>
      <c r="U4" s="120"/>
      <c r="V4" s="120"/>
      <c r="W4" s="120"/>
      <c r="X4" s="120"/>
      <c r="Y4" s="120"/>
      <c r="Z4" s="120"/>
      <c r="AA4" s="120"/>
      <c r="AB4" s="120"/>
      <c r="AC4" s="120"/>
      <c r="AD4" s="120"/>
      <c r="AE4" s="120"/>
      <c r="AF4" s="120"/>
      <c r="AH4" s="120"/>
      <c r="AI4" s="267"/>
      <c r="AJ4" s="267"/>
      <c r="AK4" s="120"/>
      <c r="AL4" s="120"/>
      <c r="AM4" s="120"/>
    </row>
    <row r="5" spans="1:41" ht="18.75" customHeight="1" thickBot="1" x14ac:dyDescent="0.3">
      <c r="A5" s="1045" t="s">
        <v>398</v>
      </c>
      <c r="B5" s="1048" t="s">
        <v>16</v>
      </c>
      <c r="C5" s="1049"/>
      <c r="D5" s="1021" t="s">
        <v>2</v>
      </c>
      <c r="E5" s="1021" t="s">
        <v>392</v>
      </c>
      <c r="F5" s="1024" t="s">
        <v>87</v>
      </c>
      <c r="G5" s="1024" t="s">
        <v>372</v>
      </c>
      <c r="H5" s="1024" t="s">
        <v>85</v>
      </c>
      <c r="I5" s="1024" t="s">
        <v>17</v>
      </c>
      <c r="J5" s="1024" t="s">
        <v>88</v>
      </c>
      <c r="K5" s="1024" t="s">
        <v>110</v>
      </c>
      <c r="L5" s="1021" t="s">
        <v>81</v>
      </c>
      <c r="M5" s="1055" t="s">
        <v>393</v>
      </c>
      <c r="N5" s="1032" t="s">
        <v>18</v>
      </c>
      <c r="O5" s="1033"/>
      <c r="P5" s="1033"/>
      <c r="Q5" s="1033"/>
      <c r="R5" s="1033"/>
      <c r="S5" s="1033"/>
      <c r="T5" s="1033"/>
      <c r="U5" s="1033"/>
      <c r="V5" s="1033"/>
      <c r="W5" s="1033"/>
      <c r="X5" s="1033"/>
      <c r="Y5" s="1033"/>
      <c r="Z5" s="1033"/>
      <c r="AA5" s="1033"/>
      <c r="AB5" s="1033"/>
      <c r="AC5" s="1033"/>
      <c r="AD5" s="1033"/>
      <c r="AE5" s="1034"/>
      <c r="AF5" s="489"/>
      <c r="AG5" s="484"/>
      <c r="AH5" s="1036" t="s">
        <v>74</v>
      </c>
      <c r="AI5" s="1036" t="s">
        <v>18</v>
      </c>
      <c r="AJ5" s="1022" t="s">
        <v>84</v>
      </c>
      <c r="AK5" s="1022" t="s">
        <v>339</v>
      </c>
      <c r="AL5" s="1025" t="s">
        <v>340</v>
      </c>
      <c r="AM5" s="1025" t="s">
        <v>83</v>
      </c>
    </row>
    <row r="6" spans="1:41" ht="19.5" customHeight="1" thickBot="1" x14ac:dyDescent="0.3">
      <c r="A6" s="1046"/>
      <c r="B6" s="1050"/>
      <c r="C6" s="1051"/>
      <c r="D6" s="1022"/>
      <c r="E6" s="1022"/>
      <c r="F6" s="1025"/>
      <c r="G6" s="1025"/>
      <c r="H6" s="1025"/>
      <c r="I6" s="1025"/>
      <c r="J6" s="1025"/>
      <c r="K6" s="1025"/>
      <c r="L6" s="1022"/>
      <c r="M6" s="1056"/>
      <c r="N6" s="288">
        <v>1</v>
      </c>
      <c r="O6" s="288">
        <v>2</v>
      </c>
      <c r="P6" s="288">
        <v>3</v>
      </c>
      <c r="Q6" s="288">
        <v>4</v>
      </c>
      <c r="R6" s="288">
        <v>5</v>
      </c>
      <c r="S6" s="288">
        <v>6</v>
      </c>
      <c r="T6" s="287">
        <v>7</v>
      </c>
      <c r="U6" s="287">
        <v>8</v>
      </c>
      <c r="V6" s="287">
        <v>9</v>
      </c>
      <c r="W6" s="287">
        <v>10</v>
      </c>
      <c r="X6" s="287">
        <v>11</v>
      </c>
      <c r="Y6" s="287">
        <v>12</v>
      </c>
      <c r="Z6" s="287">
        <v>13</v>
      </c>
      <c r="AA6" s="287">
        <v>14</v>
      </c>
      <c r="AB6" s="287">
        <v>15</v>
      </c>
      <c r="AC6" s="287">
        <v>16</v>
      </c>
      <c r="AD6" s="287">
        <v>17</v>
      </c>
      <c r="AE6" s="288">
        <v>15</v>
      </c>
      <c r="AF6" s="490"/>
      <c r="AG6" s="484"/>
      <c r="AH6" s="1037"/>
      <c r="AI6" s="1037"/>
      <c r="AJ6" s="1030"/>
      <c r="AK6" s="1030"/>
      <c r="AL6" s="1028"/>
      <c r="AM6" s="1028"/>
    </row>
    <row r="7" spans="1:41" s="270" customFormat="1" ht="47.25" customHeight="1" thickBot="1" x14ac:dyDescent="0.3">
      <c r="A7" s="1047"/>
      <c r="B7" s="1052"/>
      <c r="C7" s="1053"/>
      <c r="D7" s="1023"/>
      <c r="E7" s="1023"/>
      <c r="F7" s="1027"/>
      <c r="G7" s="1027"/>
      <c r="H7" s="1027"/>
      <c r="I7" s="1026"/>
      <c r="J7" s="1027"/>
      <c r="K7" s="1027"/>
      <c r="L7" s="1023"/>
      <c r="M7" s="1057"/>
      <c r="N7" s="268">
        <f>AI8</f>
        <v>0</v>
      </c>
      <c r="O7" s="268">
        <f>AI10</f>
        <v>0</v>
      </c>
      <c r="P7" s="268">
        <f>AI12</f>
        <v>0</v>
      </c>
      <c r="Q7" s="268">
        <f>AI14</f>
        <v>0</v>
      </c>
      <c r="R7" s="268">
        <f>AI16</f>
        <v>0</v>
      </c>
      <c r="S7" s="268">
        <f>AI18</f>
        <v>0</v>
      </c>
      <c r="T7" s="301">
        <f>AI20</f>
        <v>0</v>
      </c>
      <c r="U7" s="301">
        <f>AI22</f>
        <v>0</v>
      </c>
      <c r="V7" s="301">
        <f>AI24</f>
        <v>0</v>
      </c>
      <c r="W7" s="301">
        <f>AI26</f>
        <v>0</v>
      </c>
      <c r="X7" s="301" t="e">
        <f>#REF!</f>
        <v>#REF!</v>
      </c>
      <c r="Y7" s="301" t="e">
        <f>#REF!</f>
        <v>#REF!</v>
      </c>
      <c r="Z7" s="301" t="e">
        <f>#REF!</f>
        <v>#REF!</v>
      </c>
      <c r="AA7" s="301" t="e">
        <f>#REF!</f>
        <v>#REF!</v>
      </c>
      <c r="AB7" s="301" t="e">
        <f>#REF!</f>
        <v>#REF!</v>
      </c>
      <c r="AC7" s="301" t="e">
        <f>#REF!</f>
        <v>#REF!</v>
      </c>
      <c r="AD7" s="301" t="e">
        <f>#REF!</f>
        <v>#REF!</v>
      </c>
      <c r="AE7" s="268"/>
      <c r="AF7" s="491"/>
      <c r="AG7" s="485"/>
      <c r="AH7" s="1038"/>
      <c r="AI7" s="1038"/>
      <c r="AJ7" s="1031"/>
      <c r="AK7" s="1031"/>
      <c r="AL7" s="1029"/>
      <c r="AM7" s="1029"/>
      <c r="AN7" s="269"/>
      <c r="AO7" s="269"/>
    </row>
    <row r="8" spans="1:41" ht="24" customHeight="1" x14ac:dyDescent="0.25">
      <c r="A8" s="535"/>
      <c r="B8" s="531">
        <v>1</v>
      </c>
      <c r="C8" s="460" t="s">
        <v>89</v>
      </c>
      <c r="D8" s="294">
        <f>'1-DUI (Reduce Base)'!D4</f>
        <v>0</v>
      </c>
      <c r="E8" s="294"/>
      <c r="F8" s="284"/>
      <c r="G8" s="284"/>
      <c r="H8" s="284"/>
      <c r="I8" s="285"/>
      <c r="J8" s="285"/>
      <c r="K8" s="285"/>
      <c r="L8" s="286">
        <f>'1-DUI (Reduce Base)'!P50</f>
        <v>0</v>
      </c>
      <c r="M8" s="536">
        <f>'1-DUI (Reduce Base)'!V50</f>
        <v>-324</v>
      </c>
      <c r="N8" s="471"/>
      <c r="O8" s="275"/>
      <c r="P8" s="275"/>
      <c r="Q8" s="275"/>
      <c r="R8" s="275"/>
      <c r="S8" s="275"/>
      <c r="T8" s="302"/>
      <c r="U8" s="302"/>
      <c r="V8" s="302"/>
      <c r="W8" s="302"/>
      <c r="X8" s="302"/>
      <c r="Y8" s="302"/>
      <c r="Z8" s="302"/>
      <c r="AA8" s="302"/>
      <c r="AB8" s="302"/>
      <c r="AC8" s="302"/>
      <c r="AD8" s="302"/>
      <c r="AE8" s="472"/>
      <c r="AF8" s="492"/>
      <c r="AG8" s="484"/>
      <c r="AH8" s="1002">
        <v>1</v>
      </c>
      <c r="AI8" s="1013"/>
      <c r="AJ8" s="1015"/>
      <c r="AK8" s="1014"/>
      <c r="AL8" s="1054">
        <f>N31</f>
        <v>0</v>
      </c>
      <c r="AM8" s="1014"/>
      <c r="AN8" s="1001"/>
    </row>
    <row r="9" spans="1:41" ht="24" customHeight="1" x14ac:dyDescent="0.25">
      <c r="A9" s="535"/>
      <c r="B9" s="531">
        <v>2</v>
      </c>
      <c r="C9" s="460" t="s">
        <v>89</v>
      </c>
      <c r="D9" s="295" t="e">
        <f>#REF!</f>
        <v>#REF!</v>
      </c>
      <c r="E9" s="295"/>
      <c r="F9" s="271"/>
      <c r="G9" s="271"/>
      <c r="H9" s="271"/>
      <c r="I9" s="272"/>
      <c r="J9" s="272"/>
      <c r="K9" s="272"/>
      <c r="L9" s="273" t="e">
        <f>#REF!</f>
        <v>#REF!</v>
      </c>
      <c r="M9" s="537" t="e">
        <f>#REF!</f>
        <v>#REF!</v>
      </c>
      <c r="N9" s="473"/>
      <c r="O9" s="277"/>
      <c r="P9" s="277"/>
      <c r="Q9" s="277"/>
      <c r="R9" s="277"/>
      <c r="S9" s="277"/>
      <c r="T9" s="303"/>
      <c r="U9" s="303"/>
      <c r="V9" s="303"/>
      <c r="W9" s="303"/>
      <c r="X9" s="303"/>
      <c r="Y9" s="303"/>
      <c r="Z9" s="303"/>
      <c r="AA9" s="303"/>
      <c r="AB9" s="303"/>
      <c r="AC9" s="303"/>
      <c r="AD9" s="303"/>
      <c r="AE9" s="474"/>
      <c r="AF9" s="492"/>
      <c r="AG9" s="484"/>
      <c r="AH9" s="1003"/>
      <c r="AI9" s="1009"/>
      <c r="AJ9" s="1011"/>
      <c r="AK9" s="1009"/>
      <c r="AL9" s="1042"/>
      <c r="AM9" s="1009"/>
      <c r="AN9" s="1001"/>
    </row>
    <row r="10" spans="1:41" ht="24" customHeight="1" x14ac:dyDescent="0.25">
      <c r="A10" s="535"/>
      <c r="B10" s="531">
        <v>3</v>
      </c>
      <c r="C10" s="460" t="s">
        <v>90</v>
      </c>
      <c r="D10" s="295">
        <f>'3-RD (Reduce Base)'!D4</f>
        <v>0</v>
      </c>
      <c r="E10" s="295"/>
      <c r="F10" s="271"/>
      <c r="G10" s="271"/>
      <c r="H10" s="271"/>
      <c r="I10" s="272"/>
      <c r="J10" s="272"/>
      <c r="K10" s="272"/>
      <c r="L10" s="273">
        <f>'3-RD (Reduce Base)'!O45</f>
        <v>0</v>
      </c>
      <c r="M10" s="537">
        <f>'3-RD (Reduce Base)'!U45</f>
        <v>-193.99999999999997</v>
      </c>
      <c r="N10" s="473"/>
      <c r="O10" s="277"/>
      <c r="P10" s="277"/>
      <c r="Q10" s="276"/>
      <c r="R10" s="277"/>
      <c r="S10" s="277"/>
      <c r="T10" s="303"/>
      <c r="U10" s="303"/>
      <c r="V10" s="303"/>
      <c r="W10" s="303"/>
      <c r="X10" s="303"/>
      <c r="Y10" s="303"/>
      <c r="Z10" s="303"/>
      <c r="AA10" s="303"/>
      <c r="AB10" s="303"/>
      <c r="AC10" s="303"/>
      <c r="AD10" s="303"/>
      <c r="AE10" s="474"/>
      <c r="AF10" s="492"/>
      <c r="AG10" s="484"/>
      <c r="AH10" s="1012">
        <v>2</v>
      </c>
      <c r="AI10" s="1016"/>
      <c r="AJ10" s="1010"/>
      <c r="AK10" s="1008"/>
      <c r="AL10" s="1041">
        <f>O31</f>
        <v>0</v>
      </c>
      <c r="AM10" s="1039"/>
      <c r="AN10" s="1001"/>
    </row>
    <row r="11" spans="1:41" ht="24" customHeight="1" x14ac:dyDescent="0.25">
      <c r="A11" s="535"/>
      <c r="B11" s="532">
        <v>4</v>
      </c>
      <c r="C11" s="289" t="s">
        <v>91</v>
      </c>
      <c r="D11" s="295">
        <f>'4-RRBF'!D4</f>
        <v>0</v>
      </c>
      <c r="E11" s="295"/>
      <c r="F11" s="271"/>
      <c r="G11" s="271"/>
      <c r="H11" s="271"/>
      <c r="I11" s="272"/>
      <c r="J11" s="272"/>
      <c r="K11" s="272"/>
      <c r="L11" s="273">
        <f>'4-RRBF'!Q43</f>
        <v>0</v>
      </c>
      <c r="M11" s="537">
        <f>'4-RRBF'!W43</f>
        <v>-79</v>
      </c>
      <c r="N11" s="473"/>
      <c r="O11" s="277"/>
      <c r="P11" s="277"/>
      <c r="Q11" s="276"/>
      <c r="R11" s="277"/>
      <c r="S11" s="277"/>
      <c r="T11" s="303"/>
      <c r="U11" s="303"/>
      <c r="V11" s="303"/>
      <c r="W11" s="303"/>
      <c r="X11" s="303"/>
      <c r="Y11" s="303"/>
      <c r="Z11" s="303"/>
      <c r="AA11" s="303"/>
      <c r="AB11" s="303"/>
      <c r="AC11" s="303"/>
      <c r="AD11" s="303"/>
      <c r="AE11" s="474"/>
      <c r="AF11" s="492"/>
      <c r="AG11" s="484"/>
      <c r="AH11" s="1003"/>
      <c r="AI11" s="1017"/>
      <c r="AJ11" s="1011"/>
      <c r="AK11" s="1009"/>
      <c r="AL11" s="1042"/>
      <c r="AM11" s="1040"/>
      <c r="AN11" s="1001"/>
    </row>
    <row r="12" spans="1:41" ht="24" customHeight="1" x14ac:dyDescent="0.25">
      <c r="A12" s="535"/>
      <c r="B12" s="531">
        <v>5</v>
      </c>
      <c r="C12" s="460" t="s">
        <v>92</v>
      </c>
      <c r="D12" s="525">
        <f>'5-RRTS (BF &amp; No 2%)'!D4</f>
        <v>0</v>
      </c>
      <c r="E12" s="295"/>
      <c r="F12" s="271"/>
      <c r="G12" s="271"/>
      <c r="H12" s="271"/>
      <c r="I12" s="272"/>
      <c r="J12" s="272"/>
      <c r="K12" s="272"/>
      <c r="L12" s="273">
        <f>'5-RRTS (BF &amp; No 2%)'!Q48</f>
        <v>0</v>
      </c>
      <c r="M12" s="537">
        <f>'5-RRTS (BF &amp; No 2%)'!W48</f>
        <v>-131</v>
      </c>
      <c r="N12" s="475"/>
      <c r="O12" s="278"/>
      <c r="P12" s="278"/>
      <c r="Q12" s="275"/>
      <c r="R12" s="275"/>
      <c r="S12" s="275"/>
      <c r="T12" s="302"/>
      <c r="U12" s="302"/>
      <c r="V12" s="302"/>
      <c r="W12" s="302"/>
      <c r="X12" s="302"/>
      <c r="Y12" s="302"/>
      <c r="Z12" s="302"/>
      <c r="AA12" s="302"/>
      <c r="AB12" s="302"/>
      <c r="AC12" s="302"/>
      <c r="AD12" s="302"/>
      <c r="AE12" s="472"/>
      <c r="AF12" s="492"/>
      <c r="AG12" s="484"/>
      <c r="AH12" s="1012">
        <v>3</v>
      </c>
      <c r="AI12" s="1016"/>
      <c r="AJ12" s="1010"/>
      <c r="AK12" s="1008"/>
      <c r="AL12" s="1043">
        <f>P31</f>
        <v>0</v>
      </c>
      <c r="AM12" s="1008"/>
      <c r="AN12" s="1001"/>
    </row>
    <row r="13" spans="1:41" ht="24" customHeight="1" x14ac:dyDescent="0.25">
      <c r="A13" s="535"/>
      <c r="B13" s="531">
        <v>6</v>
      </c>
      <c r="C13" s="460" t="s">
        <v>93</v>
      </c>
      <c r="D13" s="295" t="e">
        <f>#REF!</f>
        <v>#REF!</v>
      </c>
      <c r="E13" s="295"/>
      <c r="F13" s="271"/>
      <c r="G13" s="271"/>
      <c r="H13" s="271"/>
      <c r="I13" s="272"/>
      <c r="J13" s="272"/>
      <c r="K13" s="272"/>
      <c r="L13" s="273" t="e">
        <f>#REF!</f>
        <v>#REF!</v>
      </c>
      <c r="M13" s="537" t="e">
        <f>#REF!</f>
        <v>#REF!</v>
      </c>
      <c r="N13" s="475"/>
      <c r="O13" s="278"/>
      <c r="P13" s="278"/>
      <c r="Q13" s="275"/>
      <c r="R13" s="275"/>
      <c r="S13" s="275"/>
      <c r="T13" s="302"/>
      <c r="U13" s="302"/>
      <c r="V13" s="302"/>
      <c r="W13" s="302"/>
      <c r="X13" s="302"/>
      <c r="Y13" s="302"/>
      <c r="Z13" s="302"/>
      <c r="AA13" s="302"/>
      <c r="AB13" s="302"/>
      <c r="AC13" s="302"/>
      <c r="AD13" s="302"/>
      <c r="AE13" s="472"/>
      <c r="AF13" s="492"/>
      <c r="AG13" s="484"/>
      <c r="AH13" s="1003"/>
      <c r="AI13" s="1017"/>
      <c r="AJ13" s="1011"/>
      <c r="AK13" s="1009"/>
      <c r="AL13" s="1044"/>
      <c r="AM13" s="1009"/>
      <c r="AN13" s="1001"/>
    </row>
    <row r="14" spans="1:41" ht="24" customHeight="1" x14ac:dyDescent="0.25">
      <c r="A14" s="535"/>
      <c r="B14" s="532">
        <v>7</v>
      </c>
      <c r="C14" s="289" t="s">
        <v>63</v>
      </c>
      <c r="D14" s="295">
        <f>'7-RLTS'!D4</f>
        <v>0</v>
      </c>
      <c r="E14" s="295"/>
      <c r="F14" s="271"/>
      <c r="G14" s="271"/>
      <c r="H14" s="271"/>
      <c r="I14" s="272"/>
      <c r="J14" s="272"/>
      <c r="K14" s="279"/>
      <c r="L14" s="273">
        <f>'7-RLTS'!Q48</f>
        <v>0</v>
      </c>
      <c r="M14" s="537">
        <f>'7-RLTS'!U48</f>
        <v>-131</v>
      </c>
      <c r="N14" s="475"/>
      <c r="O14" s="278"/>
      <c r="P14" s="278"/>
      <c r="Q14" s="275"/>
      <c r="R14" s="275"/>
      <c r="S14" s="275"/>
      <c r="T14" s="302"/>
      <c r="U14" s="302"/>
      <c r="V14" s="302"/>
      <c r="W14" s="302"/>
      <c r="X14" s="302"/>
      <c r="Y14" s="302"/>
      <c r="Z14" s="302"/>
      <c r="AA14" s="302"/>
      <c r="AB14" s="302"/>
      <c r="AC14" s="302"/>
      <c r="AD14" s="302"/>
      <c r="AE14" s="472"/>
      <c r="AF14" s="492"/>
      <c r="AG14" s="484"/>
      <c r="AH14" s="1012">
        <v>4</v>
      </c>
      <c r="AI14" s="1016"/>
      <c r="AJ14" s="1010"/>
      <c r="AK14" s="1008"/>
      <c r="AL14" s="1043">
        <f>Q31</f>
        <v>0</v>
      </c>
      <c r="AM14" s="1039"/>
      <c r="AN14" s="1001"/>
    </row>
    <row r="15" spans="1:41" ht="24" customHeight="1" x14ac:dyDescent="0.25">
      <c r="A15" s="535"/>
      <c r="B15" s="531">
        <v>8</v>
      </c>
      <c r="C15" s="460" t="s">
        <v>93</v>
      </c>
      <c r="D15" s="295">
        <f>'8-RLBF (No 30%)'!D4</f>
        <v>0</v>
      </c>
      <c r="E15" s="295"/>
      <c r="F15" s="271"/>
      <c r="G15" s="271"/>
      <c r="H15" s="271"/>
      <c r="I15" s="272"/>
      <c r="J15" s="272"/>
      <c r="K15" s="279"/>
      <c r="L15" s="273">
        <f>'8-RLBF (No 30%)'!Q43</f>
        <v>0</v>
      </c>
      <c r="M15" s="537">
        <f>'8-RLBF (No 30%)'!W43</f>
        <v>-79</v>
      </c>
      <c r="N15" s="475"/>
      <c r="O15" s="278"/>
      <c r="P15" s="278"/>
      <c r="Q15" s="275"/>
      <c r="R15" s="275"/>
      <c r="S15" s="275"/>
      <c r="T15" s="302"/>
      <c r="U15" s="302"/>
      <c r="V15" s="302"/>
      <c r="W15" s="302"/>
      <c r="X15" s="302"/>
      <c r="Y15" s="302"/>
      <c r="Z15" s="302"/>
      <c r="AA15" s="302"/>
      <c r="AB15" s="302"/>
      <c r="AC15" s="302"/>
      <c r="AD15" s="302"/>
      <c r="AE15" s="472"/>
      <c r="AF15" s="492"/>
      <c r="AG15" s="484"/>
      <c r="AH15" s="1003"/>
      <c r="AI15" s="1017"/>
      <c r="AJ15" s="1011"/>
      <c r="AK15" s="1009"/>
      <c r="AL15" s="1044"/>
      <c r="AM15" s="1040"/>
      <c r="AN15" s="1001"/>
    </row>
    <row r="16" spans="1:41" ht="24" customHeight="1" x14ac:dyDescent="0.25">
      <c r="A16" s="535"/>
      <c r="B16" s="532">
        <v>9</v>
      </c>
      <c r="C16" s="289" t="s">
        <v>94</v>
      </c>
      <c r="D16" s="295">
        <f>'9-SpBF'!D4</f>
        <v>0</v>
      </c>
      <c r="E16" s="295"/>
      <c r="F16" s="271"/>
      <c r="G16" s="271"/>
      <c r="H16" s="271"/>
      <c r="I16" s="272"/>
      <c r="J16" s="272"/>
      <c r="K16" s="272"/>
      <c r="L16" s="273">
        <f>'9-SpBF'!O43</f>
        <v>0</v>
      </c>
      <c r="M16" s="537">
        <f>'9-SpBF'!U43</f>
        <v>-79</v>
      </c>
      <c r="N16" s="475"/>
      <c r="O16" s="278"/>
      <c r="P16" s="278"/>
      <c r="Q16" s="278"/>
      <c r="R16" s="275"/>
      <c r="S16" s="278"/>
      <c r="T16" s="304"/>
      <c r="U16" s="304"/>
      <c r="V16" s="304"/>
      <c r="W16" s="304"/>
      <c r="X16" s="304"/>
      <c r="Y16" s="304"/>
      <c r="Z16" s="304"/>
      <c r="AA16" s="304"/>
      <c r="AB16" s="304"/>
      <c r="AC16" s="304"/>
      <c r="AD16" s="304"/>
      <c r="AE16" s="472"/>
      <c r="AF16" s="492"/>
      <c r="AG16" s="484"/>
      <c r="AH16" s="1005">
        <v>5</v>
      </c>
      <c r="AI16" s="1008"/>
      <c r="AJ16" s="1010"/>
      <c r="AK16" s="1004"/>
      <c r="AL16" s="1062">
        <f>R31</f>
        <v>0</v>
      </c>
      <c r="AM16" s="1061"/>
      <c r="AN16" s="1001"/>
    </row>
    <row r="17" spans="1:42" ht="24" customHeight="1" x14ac:dyDescent="0.25">
      <c r="A17" s="535"/>
      <c r="B17" s="532">
        <v>10</v>
      </c>
      <c r="C17" s="289" t="s">
        <v>95</v>
      </c>
      <c r="D17" s="295" t="e">
        <f>#REF!</f>
        <v>#REF!</v>
      </c>
      <c r="E17" s="295"/>
      <c r="F17" s="271"/>
      <c r="G17" s="271"/>
      <c r="H17" s="271"/>
      <c r="I17" s="272"/>
      <c r="J17" s="272"/>
      <c r="K17" s="272"/>
      <c r="L17" s="273" t="e">
        <f>#REF!</f>
        <v>#REF!</v>
      </c>
      <c r="M17" s="537" t="e">
        <f>#REF!</f>
        <v>#REF!</v>
      </c>
      <c r="N17" s="475"/>
      <c r="O17" s="278"/>
      <c r="P17" s="278"/>
      <c r="Q17" s="278"/>
      <c r="R17" s="275"/>
      <c r="S17" s="278"/>
      <c r="T17" s="304"/>
      <c r="U17" s="304"/>
      <c r="V17" s="304"/>
      <c r="W17" s="304"/>
      <c r="X17" s="304"/>
      <c r="Y17" s="304"/>
      <c r="Z17" s="304"/>
      <c r="AA17" s="304"/>
      <c r="AB17" s="304"/>
      <c r="AC17" s="304"/>
      <c r="AD17" s="304"/>
      <c r="AE17" s="476"/>
      <c r="AF17" s="493"/>
      <c r="AG17" s="484"/>
      <c r="AH17" s="1005"/>
      <c r="AI17" s="1009"/>
      <c r="AJ17" s="1011"/>
      <c r="AK17" s="1004"/>
      <c r="AL17" s="1062"/>
      <c r="AM17" s="1061"/>
      <c r="AN17" s="1001"/>
    </row>
    <row r="18" spans="1:42" ht="24" customHeight="1" x14ac:dyDescent="0.25">
      <c r="A18" s="535"/>
      <c r="B18" s="531">
        <v>11</v>
      </c>
      <c r="C18" s="460" t="s">
        <v>96</v>
      </c>
      <c r="D18" s="295">
        <f>'11-CSBF'!D4</f>
        <v>0</v>
      </c>
      <c r="E18" s="295"/>
      <c r="F18" s="271"/>
      <c r="G18" s="271"/>
      <c r="H18" s="271"/>
      <c r="I18" s="272"/>
      <c r="J18" s="272"/>
      <c r="K18" s="272"/>
      <c r="L18" s="273">
        <f>'11-CSBF'!O43</f>
        <v>0</v>
      </c>
      <c r="M18" s="537">
        <f>'11-CSBF'!U43</f>
        <v>-79</v>
      </c>
      <c r="N18" s="475"/>
      <c r="O18" s="278"/>
      <c r="P18" s="275"/>
      <c r="Q18" s="275"/>
      <c r="R18" s="275"/>
      <c r="S18" s="275"/>
      <c r="T18" s="302"/>
      <c r="U18" s="302"/>
      <c r="V18" s="302"/>
      <c r="W18" s="302"/>
      <c r="X18" s="302"/>
      <c r="Y18" s="302"/>
      <c r="Z18" s="302"/>
      <c r="AA18" s="302"/>
      <c r="AB18" s="302"/>
      <c r="AC18" s="302"/>
      <c r="AD18" s="302"/>
      <c r="AE18" s="472"/>
      <c r="AF18" s="492"/>
      <c r="AG18" s="484"/>
      <c r="AH18" s="1005">
        <v>6</v>
      </c>
      <c r="AI18" s="1008"/>
      <c r="AJ18" s="1010"/>
      <c r="AK18" s="1004"/>
      <c r="AL18" s="1007">
        <f>S31</f>
        <v>0</v>
      </c>
      <c r="AM18" s="1004"/>
      <c r="AN18" s="1001"/>
    </row>
    <row r="19" spans="1:42" ht="24" customHeight="1" x14ac:dyDescent="0.25">
      <c r="A19" s="535"/>
      <c r="B19" s="531">
        <v>12</v>
      </c>
      <c r="C19" s="460" t="s">
        <v>97</v>
      </c>
      <c r="D19" s="295">
        <f>'12-CSTS (BF &amp; 2%)'!D4</f>
        <v>0</v>
      </c>
      <c r="E19" s="295"/>
      <c r="F19" s="271"/>
      <c r="G19" s="271"/>
      <c r="H19" s="271"/>
      <c r="I19" s="272"/>
      <c r="J19" s="272"/>
      <c r="K19" s="272"/>
      <c r="L19" s="273">
        <f>'12-CSTS (BF &amp; 2%)'!O48</f>
        <v>0</v>
      </c>
      <c r="M19" s="537">
        <f>'12-CSTS (BF &amp; 2%)'!U48</f>
        <v>-131.00000000000003</v>
      </c>
      <c r="N19" s="475"/>
      <c r="O19" s="278"/>
      <c r="P19" s="275"/>
      <c r="Q19" s="275"/>
      <c r="R19" s="275"/>
      <c r="S19" s="275"/>
      <c r="T19" s="302"/>
      <c r="U19" s="302"/>
      <c r="V19" s="302"/>
      <c r="W19" s="302"/>
      <c r="X19" s="302"/>
      <c r="Y19" s="302"/>
      <c r="Z19" s="302"/>
      <c r="AA19" s="302"/>
      <c r="AB19" s="302"/>
      <c r="AC19" s="302"/>
      <c r="AD19" s="302"/>
      <c r="AE19" s="472"/>
      <c r="AF19" s="492"/>
      <c r="AG19" s="484"/>
      <c r="AH19" s="1005"/>
      <c r="AI19" s="1009"/>
      <c r="AJ19" s="1011"/>
      <c r="AK19" s="1004"/>
      <c r="AL19" s="1007"/>
      <c r="AM19" s="1004"/>
      <c r="AN19" s="1001"/>
    </row>
    <row r="20" spans="1:42" ht="24" customHeight="1" x14ac:dyDescent="0.25">
      <c r="A20" s="535"/>
      <c r="B20" s="531">
        <v>13</v>
      </c>
      <c r="C20" s="460" t="s">
        <v>98</v>
      </c>
      <c r="D20" s="295">
        <f>'13-UC'!D4</f>
        <v>0</v>
      </c>
      <c r="E20" s="295"/>
      <c r="F20" s="271"/>
      <c r="G20" s="271"/>
      <c r="H20" s="271"/>
      <c r="I20" s="272"/>
      <c r="J20" s="272"/>
      <c r="K20" s="272"/>
      <c r="L20" s="273">
        <f>'13-UC'!O43</f>
        <v>0</v>
      </c>
      <c r="M20" s="537">
        <f>'13-UC'!U43</f>
        <v>-79</v>
      </c>
      <c r="N20" s="475"/>
      <c r="O20" s="278"/>
      <c r="P20" s="275"/>
      <c r="Q20" s="275"/>
      <c r="R20" s="275"/>
      <c r="S20" s="275"/>
      <c r="T20" s="302"/>
      <c r="U20" s="302"/>
      <c r="V20" s="302"/>
      <c r="W20" s="302"/>
      <c r="X20" s="302"/>
      <c r="Y20" s="302"/>
      <c r="Z20" s="302"/>
      <c r="AA20" s="302"/>
      <c r="AB20" s="302"/>
      <c r="AC20" s="302"/>
      <c r="AD20" s="302"/>
      <c r="AE20" s="472"/>
      <c r="AF20" s="492"/>
      <c r="AG20" s="484"/>
      <c r="AH20" s="1005">
        <v>7</v>
      </c>
      <c r="AI20" s="1008"/>
      <c r="AJ20" s="1010"/>
      <c r="AK20" s="1004"/>
      <c r="AL20" s="1007">
        <f>T31</f>
        <v>0</v>
      </c>
      <c r="AM20" s="1004"/>
      <c r="AN20" s="1001"/>
    </row>
    <row r="21" spans="1:42" ht="24" customHeight="1" x14ac:dyDescent="0.25">
      <c r="A21" s="535"/>
      <c r="B21" s="532">
        <v>14</v>
      </c>
      <c r="C21" s="289" t="s">
        <v>23</v>
      </c>
      <c r="D21" s="295">
        <f>'14-POC'!D4</f>
        <v>0</v>
      </c>
      <c r="E21" s="295"/>
      <c r="F21" s="271"/>
      <c r="G21" s="271"/>
      <c r="H21" s="271"/>
      <c r="I21" s="272"/>
      <c r="J21" s="272"/>
      <c r="K21" s="272"/>
      <c r="L21" s="273">
        <f>'14-POC'!O23</f>
        <v>0</v>
      </c>
      <c r="M21" s="537">
        <f>'14-POC'!U23</f>
        <v>-25</v>
      </c>
      <c r="N21" s="477"/>
      <c r="O21" s="274"/>
      <c r="P21" s="275"/>
      <c r="Q21" s="275"/>
      <c r="R21" s="275"/>
      <c r="S21" s="275"/>
      <c r="T21" s="302"/>
      <c r="U21" s="302"/>
      <c r="V21" s="302"/>
      <c r="W21" s="302"/>
      <c r="X21" s="302"/>
      <c r="Y21" s="302"/>
      <c r="Z21" s="302"/>
      <c r="AA21" s="302"/>
      <c r="AB21" s="302"/>
      <c r="AC21" s="302"/>
      <c r="AD21" s="302"/>
      <c r="AE21" s="472"/>
      <c r="AF21" s="492"/>
      <c r="AG21" s="484"/>
      <c r="AH21" s="1005"/>
      <c r="AI21" s="1009"/>
      <c r="AJ21" s="1011"/>
      <c r="AK21" s="1004"/>
      <c r="AL21" s="1007"/>
      <c r="AM21" s="1004"/>
      <c r="AN21" s="1001"/>
    </row>
    <row r="22" spans="1:42" ht="24" customHeight="1" x14ac:dyDescent="0.25">
      <c r="A22" s="535"/>
      <c r="B22" s="531">
        <v>15</v>
      </c>
      <c r="C22" s="461" t="s">
        <v>99</v>
      </c>
      <c r="D22" s="296">
        <f>'15-POI (Base Reduce)'!D4</f>
        <v>0</v>
      </c>
      <c r="E22" s="296"/>
      <c r="F22" s="281"/>
      <c r="G22" s="281"/>
      <c r="H22" s="271"/>
      <c r="I22" s="280"/>
      <c r="J22" s="272"/>
      <c r="K22" s="280"/>
      <c r="L22" s="273">
        <f>'15-POI (Base Reduce)'!O43</f>
        <v>0</v>
      </c>
      <c r="M22" s="537">
        <f>'15-POI (Base Reduce)'!U43</f>
        <v>-79</v>
      </c>
      <c r="N22" s="471"/>
      <c r="O22" s="274"/>
      <c r="P22" s="275"/>
      <c r="Q22" s="275"/>
      <c r="R22" s="275"/>
      <c r="S22" s="275"/>
      <c r="T22" s="302"/>
      <c r="U22" s="302"/>
      <c r="V22" s="302"/>
      <c r="W22" s="302"/>
      <c r="X22" s="302"/>
      <c r="Y22" s="302"/>
      <c r="Z22" s="302"/>
      <c r="AA22" s="302"/>
      <c r="AB22" s="302"/>
      <c r="AC22" s="302"/>
      <c r="AD22" s="302"/>
      <c r="AE22" s="472"/>
      <c r="AF22" s="492"/>
      <c r="AG22" s="484"/>
      <c r="AH22" s="1005">
        <v>8</v>
      </c>
      <c r="AI22" s="1004"/>
      <c r="AJ22" s="1006"/>
      <c r="AK22" s="1004"/>
      <c r="AL22" s="1007">
        <f>U31</f>
        <v>0</v>
      </c>
      <c r="AM22" s="1004"/>
      <c r="AN22" s="1001"/>
    </row>
    <row r="23" spans="1:42" ht="24" customHeight="1" x14ac:dyDescent="0.25">
      <c r="A23" s="535"/>
      <c r="B23" s="532">
        <v>16</v>
      </c>
      <c r="C23" s="290" t="s">
        <v>100</v>
      </c>
      <c r="D23" s="296">
        <f>'16-DV'!D4</f>
        <v>0</v>
      </c>
      <c r="E23" s="296"/>
      <c r="F23" s="281"/>
      <c r="G23" s="281"/>
      <c r="H23" s="281"/>
      <c r="I23" s="280"/>
      <c r="J23" s="272"/>
      <c r="K23" s="280"/>
      <c r="L23" s="273">
        <f>'16-DV'!O29</f>
        <v>0</v>
      </c>
      <c r="M23" s="537">
        <f>'16-DV'!U29</f>
        <v>-720</v>
      </c>
      <c r="N23" s="471"/>
      <c r="O23" s="274"/>
      <c r="P23" s="275"/>
      <c r="Q23" s="275"/>
      <c r="R23" s="275"/>
      <c r="S23" s="275"/>
      <c r="T23" s="302"/>
      <c r="U23" s="302"/>
      <c r="V23" s="302"/>
      <c r="W23" s="302"/>
      <c r="X23" s="302"/>
      <c r="Y23" s="302"/>
      <c r="Z23" s="302"/>
      <c r="AA23" s="302"/>
      <c r="AB23" s="302"/>
      <c r="AC23" s="302"/>
      <c r="AD23" s="302"/>
      <c r="AE23" s="472"/>
      <c r="AF23" s="492"/>
      <c r="AG23" s="484"/>
      <c r="AH23" s="1005"/>
      <c r="AI23" s="1004"/>
      <c r="AJ23" s="1006"/>
      <c r="AK23" s="1004"/>
      <c r="AL23" s="1007"/>
      <c r="AM23" s="1004"/>
      <c r="AN23" s="1001"/>
    </row>
    <row r="24" spans="1:42" ht="24" customHeight="1" x14ac:dyDescent="0.25">
      <c r="A24" s="535"/>
      <c r="B24" s="531">
        <v>17</v>
      </c>
      <c r="C24" s="461" t="s">
        <v>70</v>
      </c>
      <c r="D24" s="296">
        <f>'17-HS (Enhance Base)'!D4</f>
        <v>0</v>
      </c>
      <c r="E24" s="296"/>
      <c r="F24" s="281"/>
      <c r="G24" s="281"/>
      <c r="H24" s="281"/>
      <c r="I24" s="280"/>
      <c r="J24" s="272"/>
      <c r="K24" s="280"/>
      <c r="L24" s="273">
        <f>'17-HS (Enhance Base)'!P41</f>
        <v>0</v>
      </c>
      <c r="M24" s="537">
        <f>'17-HS (Enhance Base)'!V41</f>
        <v>-970.00000000000011</v>
      </c>
      <c r="N24" s="471"/>
      <c r="O24" s="274"/>
      <c r="P24" s="275"/>
      <c r="Q24" s="275"/>
      <c r="R24" s="275"/>
      <c r="S24" s="275"/>
      <c r="T24" s="302"/>
      <c r="U24" s="302"/>
      <c r="V24" s="302"/>
      <c r="W24" s="302"/>
      <c r="X24" s="302"/>
      <c r="Y24" s="302"/>
      <c r="Z24" s="302"/>
      <c r="AA24" s="302"/>
      <c r="AB24" s="302"/>
      <c r="AC24" s="302"/>
      <c r="AD24" s="302"/>
      <c r="AE24" s="472"/>
      <c r="AF24" s="492"/>
      <c r="AG24" s="484"/>
      <c r="AH24" s="1005">
        <v>9</v>
      </c>
      <c r="AI24" s="1008"/>
      <c r="AJ24" s="1010"/>
      <c r="AK24" s="1004"/>
      <c r="AL24" s="1007">
        <f>V31</f>
        <v>0</v>
      </c>
      <c r="AM24" s="1004"/>
      <c r="AN24" s="1001"/>
    </row>
    <row r="25" spans="1:42" ht="24" customHeight="1" x14ac:dyDescent="0.25">
      <c r="A25" s="535"/>
      <c r="B25" s="531">
        <v>18</v>
      </c>
      <c r="C25" s="461" t="s">
        <v>70</v>
      </c>
      <c r="D25" s="296">
        <f>'18-HS (Enh-Red Base)'!D4</f>
        <v>0</v>
      </c>
      <c r="E25" s="296"/>
      <c r="F25" s="281"/>
      <c r="G25" s="281"/>
      <c r="H25" s="281"/>
      <c r="I25" s="280"/>
      <c r="J25" s="272"/>
      <c r="K25" s="280"/>
      <c r="L25" s="273">
        <f>'18-HS (Enh-Red Base)'!P42</f>
        <v>0</v>
      </c>
      <c r="M25" s="537">
        <f>'18-HS (Enh-Red Base)'!V42</f>
        <v>-970.00000000000011</v>
      </c>
      <c r="N25" s="477"/>
      <c r="O25" s="274"/>
      <c r="P25" s="275"/>
      <c r="Q25" s="275"/>
      <c r="R25" s="275"/>
      <c r="S25" s="275"/>
      <c r="T25" s="302"/>
      <c r="U25" s="302"/>
      <c r="V25" s="302"/>
      <c r="W25" s="302"/>
      <c r="X25" s="302"/>
      <c r="Y25" s="302"/>
      <c r="Z25" s="302"/>
      <c r="AA25" s="302"/>
      <c r="AB25" s="302"/>
      <c r="AC25" s="302"/>
      <c r="AD25" s="302"/>
      <c r="AE25" s="472"/>
      <c r="AF25" s="492"/>
      <c r="AG25" s="484"/>
      <c r="AH25" s="1005"/>
      <c r="AI25" s="1009"/>
      <c r="AJ25" s="1011"/>
      <c r="AK25" s="1004"/>
      <c r="AL25" s="1007"/>
      <c r="AM25" s="1004"/>
      <c r="AN25" s="1001"/>
      <c r="AO25" s="125"/>
      <c r="AP25" s="91"/>
    </row>
    <row r="26" spans="1:42" ht="24" customHeight="1" x14ac:dyDescent="0.25">
      <c r="A26" s="535"/>
      <c r="B26" s="531">
        <v>19</v>
      </c>
      <c r="C26" s="461" t="s">
        <v>69</v>
      </c>
      <c r="D26" s="296">
        <f>'19-FG'!D4</f>
        <v>0</v>
      </c>
      <c r="E26" s="296"/>
      <c r="F26" s="281"/>
      <c r="G26" s="281"/>
      <c r="H26" s="281"/>
      <c r="I26" s="280"/>
      <c r="J26" s="272"/>
      <c r="K26" s="280"/>
      <c r="L26" s="273">
        <f>'19-FG'!O40</f>
        <v>0</v>
      </c>
      <c r="M26" s="537">
        <f>'19-FG'!U40</f>
        <v>-90</v>
      </c>
      <c r="N26" s="477"/>
      <c r="O26" s="274"/>
      <c r="P26" s="275"/>
      <c r="Q26" s="275"/>
      <c r="R26" s="275"/>
      <c r="S26" s="275"/>
      <c r="T26" s="302"/>
      <c r="U26" s="302"/>
      <c r="V26" s="302"/>
      <c r="W26" s="302"/>
      <c r="X26" s="302"/>
      <c r="Y26" s="302"/>
      <c r="Z26" s="302"/>
      <c r="AA26" s="302"/>
      <c r="AB26" s="302"/>
      <c r="AC26" s="302"/>
      <c r="AD26" s="302"/>
      <c r="AE26" s="472"/>
      <c r="AF26" s="492"/>
      <c r="AG26" s="484"/>
      <c r="AH26" s="1005">
        <v>10</v>
      </c>
      <c r="AI26" s="1004"/>
      <c r="AJ26" s="1006"/>
      <c r="AK26" s="1004"/>
      <c r="AL26" s="1007">
        <f>W31</f>
        <v>0</v>
      </c>
      <c r="AM26" s="1004"/>
      <c r="AN26" s="1001"/>
      <c r="AO26" s="125"/>
      <c r="AP26" s="91"/>
    </row>
    <row r="27" spans="1:42" s="298" customFormat="1" ht="24" customHeight="1" x14ac:dyDescent="0.25">
      <c r="A27" s="538"/>
      <c r="B27" s="533" t="s">
        <v>341</v>
      </c>
      <c r="C27" s="305"/>
      <c r="D27" s="306"/>
      <c r="E27" s="306"/>
      <c r="F27" s="307"/>
      <c r="G27" s="307"/>
      <c r="H27" s="307"/>
      <c r="I27" s="308"/>
      <c r="J27" s="308"/>
      <c r="K27" s="308"/>
      <c r="L27" s="309"/>
      <c r="M27" s="539"/>
      <c r="N27" s="478"/>
      <c r="O27" s="297"/>
      <c r="P27" s="300"/>
      <c r="Q27" s="300"/>
      <c r="R27" s="300"/>
      <c r="S27" s="300"/>
      <c r="T27" s="300"/>
      <c r="U27" s="300"/>
      <c r="V27" s="300"/>
      <c r="W27" s="300"/>
      <c r="X27" s="300"/>
      <c r="Y27" s="300"/>
      <c r="Z27" s="300"/>
      <c r="AA27" s="300"/>
      <c r="AB27" s="300"/>
      <c r="AC27" s="300"/>
      <c r="AD27" s="300"/>
      <c r="AE27" s="479"/>
      <c r="AF27" s="494"/>
      <c r="AG27" s="486"/>
      <c r="AH27" s="1005"/>
      <c r="AI27" s="1004"/>
      <c r="AJ27" s="1006"/>
      <c r="AK27" s="1004"/>
      <c r="AL27" s="1007"/>
      <c r="AM27" s="1004"/>
      <c r="AN27" s="1001"/>
      <c r="AO27" s="299"/>
      <c r="AP27" s="299"/>
    </row>
    <row r="28" spans="1:42" s="298" customFormat="1" ht="24" customHeight="1" x14ac:dyDescent="0.25">
      <c r="A28" s="538"/>
      <c r="B28" s="534"/>
      <c r="C28" s="508"/>
      <c r="D28" s="509"/>
      <c r="E28" s="509"/>
      <c r="F28" s="510"/>
      <c r="G28" s="510"/>
      <c r="H28" s="511"/>
      <c r="I28" s="512"/>
      <c r="J28" s="513"/>
      <c r="K28" s="513"/>
      <c r="L28" s="514"/>
      <c r="M28" s="540"/>
      <c r="N28" s="515"/>
      <c r="O28" s="516"/>
      <c r="P28" s="517"/>
      <c r="Q28" s="517"/>
      <c r="R28" s="517"/>
      <c r="S28" s="517"/>
      <c r="T28" s="516"/>
      <c r="U28" s="516"/>
      <c r="V28" s="516"/>
      <c r="W28" s="516"/>
      <c r="X28" s="505"/>
      <c r="Y28" s="505"/>
      <c r="Z28" s="505"/>
      <c r="AA28" s="505"/>
      <c r="AB28" s="505"/>
      <c r="AC28" s="505"/>
      <c r="AD28" s="505"/>
      <c r="AE28" s="506"/>
      <c r="AF28" s="494"/>
      <c r="AG28" s="486"/>
      <c r="AH28" s="497"/>
      <c r="AI28" s="271"/>
      <c r="AJ28" s="498"/>
      <c r="AK28" s="271"/>
      <c r="AL28" s="499"/>
      <c r="AM28" s="271"/>
      <c r="AN28" s="507"/>
      <c r="AO28" s="299"/>
      <c r="AP28" s="299"/>
    </row>
    <row r="29" spans="1:42" ht="24" customHeight="1" thickBot="1" x14ac:dyDescent="0.3">
      <c r="A29" s="541"/>
      <c r="B29" s="542"/>
      <c r="C29" s="518"/>
      <c r="D29" s="519"/>
      <c r="E29" s="519"/>
      <c r="F29" s="520"/>
      <c r="G29" s="520"/>
      <c r="H29" s="521"/>
      <c r="I29" s="522"/>
      <c r="J29" s="523"/>
      <c r="K29" s="523"/>
      <c r="L29" s="524"/>
      <c r="M29" s="543"/>
      <c r="N29" s="480"/>
      <c r="O29" s="481"/>
      <c r="P29" s="482"/>
      <c r="Q29" s="482"/>
      <c r="R29" s="482"/>
      <c r="S29" s="482"/>
      <c r="T29" s="481"/>
      <c r="U29" s="481"/>
      <c r="V29" s="481"/>
      <c r="W29" s="482"/>
      <c r="X29" s="481"/>
      <c r="Y29" s="481"/>
      <c r="Z29" s="481"/>
      <c r="AA29" s="481"/>
      <c r="AB29" s="481"/>
      <c r="AC29" s="481"/>
      <c r="AD29" s="481"/>
      <c r="AE29" s="483"/>
      <c r="AF29" s="495"/>
      <c r="AG29" s="484"/>
      <c r="AH29" s="497"/>
      <c r="AI29" s="271"/>
      <c r="AJ29" s="498"/>
      <c r="AK29" s="271"/>
      <c r="AL29" s="499"/>
      <c r="AM29" s="271"/>
    </row>
    <row r="30" spans="1:42" s="50" customFormat="1" ht="61.5" customHeight="1" thickBot="1" x14ac:dyDescent="0.3">
      <c r="B30" s="52"/>
      <c r="C30" s="53"/>
      <c r="H30" s="120"/>
      <c r="I30" s="120"/>
      <c r="J30" s="120"/>
      <c r="K30" s="120"/>
      <c r="L30" s="120"/>
      <c r="M30" s="266"/>
      <c r="N30" s="1058" t="s">
        <v>394</v>
      </c>
      <c r="O30" s="1059"/>
      <c r="P30" s="1059"/>
      <c r="Q30" s="1059"/>
      <c r="R30" s="1059"/>
      <c r="S30" s="1059"/>
      <c r="T30" s="1059"/>
      <c r="U30" s="1059"/>
      <c r="V30" s="1059"/>
      <c r="W30" s="1059"/>
      <c r="X30" s="1059"/>
      <c r="Y30" s="1059"/>
      <c r="Z30" s="1059"/>
      <c r="AA30" s="1059"/>
      <c r="AB30" s="1059"/>
      <c r="AC30" s="1059"/>
      <c r="AD30" s="1059"/>
      <c r="AE30" s="1060"/>
      <c r="AF30" s="496"/>
      <c r="AG30" s="484"/>
      <c r="AH30" s="120"/>
      <c r="AI30" s="267"/>
      <c r="AJ30" s="267"/>
      <c r="AK30" s="120"/>
      <c r="AL30" s="120"/>
      <c r="AM30" s="120"/>
      <c r="AN30" s="125"/>
    </row>
    <row r="31" spans="1:42" s="50" customFormat="1" ht="18.75" customHeight="1" x14ac:dyDescent="0.25">
      <c r="B31" s="52"/>
      <c r="C31" s="53"/>
      <c r="D31" s="452"/>
      <c r="E31" s="452" t="s">
        <v>373</v>
      </c>
      <c r="F31" s="452">
        <f>COUNTIF(F8:F29,"Y")</f>
        <v>0</v>
      </c>
      <c r="G31" s="452">
        <f>COUNTIF(G8:G29,"Y")</f>
        <v>0</v>
      </c>
      <c r="H31" s="452">
        <f>COUNTIF(H8:H29,"Y")</f>
        <v>0</v>
      </c>
      <c r="I31" s="452">
        <f>COUNTIF(I8:I29,"BU")</f>
        <v>0</v>
      </c>
      <c r="J31" s="120">
        <f>COUNTIF(J8:J29,"Y")</f>
        <v>0</v>
      </c>
      <c r="K31" s="120">
        <f>COUNTIF(K8:K29,"Y")</f>
        <v>0</v>
      </c>
      <c r="L31" s="120"/>
      <c r="M31" s="266"/>
      <c r="N31" s="293">
        <f t="shared" ref="N31:AE31" si="0">COUNTA(N8:N29)</f>
        <v>0</v>
      </c>
      <c r="O31" s="293">
        <f t="shared" si="0"/>
        <v>0</v>
      </c>
      <c r="P31" s="293">
        <f t="shared" si="0"/>
        <v>0</v>
      </c>
      <c r="Q31" s="293">
        <f t="shared" si="0"/>
        <v>0</v>
      </c>
      <c r="R31" s="293">
        <f t="shared" si="0"/>
        <v>0</v>
      </c>
      <c r="S31" s="293">
        <f t="shared" si="0"/>
        <v>0</v>
      </c>
      <c r="T31" s="293">
        <f t="shared" si="0"/>
        <v>0</v>
      </c>
      <c r="U31" s="293">
        <f t="shared" si="0"/>
        <v>0</v>
      </c>
      <c r="V31" s="293">
        <f t="shared" si="0"/>
        <v>0</v>
      </c>
      <c r="W31" s="293">
        <f t="shared" si="0"/>
        <v>0</v>
      </c>
      <c r="X31" s="293">
        <f t="shared" si="0"/>
        <v>0</v>
      </c>
      <c r="Y31" s="293">
        <f t="shared" si="0"/>
        <v>0</v>
      </c>
      <c r="Z31" s="293">
        <f t="shared" si="0"/>
        <v>0</v>
      </c>
      <c r="AA31" s="293">
        <f t="shared" si="0"/>
        <v>0</v>
      </c>
      <c r="AB31" s="293">
        <f t="shared" si="0"/>
        <v>0</v>
      </c>
      <c r="AC31" s="293">
        <f t="shared" si="0"/>
        <v>0</v>
      </c>
      <c r="AD31" s="293">
        <f t="shared" si="0"/>
        <v>0</v>
      </c>
      <c r="AE31" s="293">
        <f t="shared" si="0"/>
        <v>0</v>
      </c>
      <c r="AF31" s="293"/>
      <c r="AH31" s="120"/>
      <c r="AI31" s="267"/>
      <c r="AJ31" s="267"/>
      <c r="AK31" s="120"/>
      <c r="AL31" s="120"/>
      <c r="AM31" s="120"/>
      <c r="AN31" s="125"/>
    </row>
    <row r="32" spans="1:42" s="50" customFormat="1" x14ac:dyDescent="0.25">
      <c r="B32" s="52"/>
      <c r="C32" s="53"/>
      <c r="D32" s="452"/>
      <c r="E32" s="452" t="s">
        <v>374</v>
      </c>
      <c r="F32" s="452">
        <f>COUNTIF(F8:F29,"N")</f>
        <v>0</v>
      </c>
      <c r="G32" s="452">
        <f>COUNTIF(G8:G29,"N")</f>
        <v>0</v>
      </c>
      <c r="H32" s="452">
        <f>COUNTIF(H8:H29,"N")</f>
        <v>0</v>
      </c>
      <c r="I32" s="452">
        <f>COUNTIF(I8:I29,"TD")</f>
        <v>0</v>
      </c>
      <c r="J32" s="120">
        <f>COUNTIF(J8:J29,"N")</f>
        <v>0</v>
      </c>
      <c r="K32" s="120">
        <f>COUNTIF(K8:K29,"N")</f>
        <v>0</v>
      </c>
      <c r="L32" s="120"/>
      <c r="M32" s="266"/>
      <c r="N32" s="120"/>
      <c r="O32" s="120"/>
      <c r="P32" s="120"/>
      <c r="Q32" s="120"/>
      <c r="R32" s="120"/>
      <c r="S32" s="120"/>
      <c r="T32" s="120"/>
      <c r="U32" s="120"/>
      <c r="V32" s="120"/>
      <c r="W32" s="120"/>
      <c r="X32" s="120"/>
      <c r="Y32" s="120"/>
      <c r="Z32" s="120"/>
      <c r="AA32" s="120"/>
      <c r="AB32" s="120"/>
      <c r="AC32" s="120"/>
      <c r="AD32" s="120"/>
      <c r="AE32" s="120"/>
      <c r="AF32" s="120"/>
      <c r="AH32" s="120"/>
      <c r="AI32" s="267"/>
      <c r="AJ32" s="267"/>
      <c r="AK32" s="120"/>
      <c r="AL32" s="120"/>
      <c r="AM32" s="120"/>
      <c r="AN32" s="125"/>
    </row>
    <row r="33" spans="2:39" x14ac:dyDescent="0.25">
      <c r="B33" s="52"/>
      <c r="C33" s="53"/>
      <c r="D33" s="452"/>
      <c r="E33" s="452" t="s">
        <v>342</v>
      </c>
      <c r="F33" s="453">
        <f>COUNTIF(F8:F29,"NA")</f>
        <v>0</v>
      </c>
      <c r="G33" s="453">
        <f>COUNTIF(G8:G29,"NA")</f>
        <v>0</v>
      </c>
      <c r="H33" s="453">
        <f>COUNTIF(H8:H29,"NA")</f>
        <v>0</v>
      </c>
      <c r="I33" s="453">
        <f>COUNTIF(I8:I29,"NA")</f>
        <v>0</v>
      </c>
      <c r="J33" s="120">
        <f>COUNTIF(J8:J29,"N")</f>
        <v>0</v>
      </c>
      <c r="K33" s="120">
        <f>COUNTIF(K8:K29,"N")</f>
        <v>0</v>
      </c>
      <c r="L33" s="120"/>
      <c r="M33" s="266"/>
      <c r="N33" s="120"/>
      <c r="O33" s="120"/>
      <c r="P33" s="120"/>
      <c r="Q33" s="120"/>
      <c r="R33" s="120"/>
      <c r="S33" s="120"/>
      <c r="T33" s="120"/>
      <c r="U33" s="120"/>
      <c r="V33" s="120"/>
      <c r="W33" s="120"/>
      <c r="X33" s="120"/>
      <c r="Y33" s="120"/>
      <c r="Z33" s="120"/>
      <c r="AA33" s="120"/>
      <c r="AB33" s="120"/>
      <c r="AC33" s="120"/>
      <c r="AD33" s="120"/>
      <c r="AE33" s="120"/>
      <c r="AF33" s="120"/>
      <c r="AH33" s="120"/>
      <c r="AI33" s="267"/>
      <c r="AJ33" s="267"/>
      <c r="AK33" s="120"/>
      <c r="AL33" s="120"/>
      <c r="AM33" s="120"/>
    </row>
    <row r="34" spans="2:39" ht="26.25" customHeight="1" x14ac:dyDescent="0.25">
      <c r="B34" s="52"/>
      <c r="C34" s="53"/>
      <c r="D34" s="452"/>
      <c r="E34" s="452" t="s">
        <v>375</v>
      </c>
      <c r="F34" s="50">
        <f t="shared" ref="F34:K34" si="1">SUM(F31:F33)</f>
        <v>0</v>
      </c>
      <c r="G34" s="50">
        <f t="shared" si="1"/>
        <v>0</v>
      </c>
      <c r="H34" s="50">
        <f t="shared" si="1"/>
        <v>0</v>
      </c>
      <c r="I34" s="50">
        <f t="shared" si="1"/>
        <v>0</v>
      </c>
      <c r="J34" s="50">
        <f t="shared" si="1"/>
        <v>0</v>
      </c>
      <c r="K34" s="50">
        <f t="shared" si="1"/>
        <v>0</v>
      </c>
      <c r="L34" s="120"/>
      <c r="M34" s="266"/>
      <c r="N34" s="120"/>
      <c r="O34" s="120"/>
      <c r="P34" s="120"/>
      <c r="Q34" s="120"/>
      <c r="R34" s="120"/>
      <c r="S34" s="120"/>
      <c r="T34" s="120"/>
      <c r="U34" s="120"/>
      <c r="V34" s="120"/>
      <c r="W34" s="120"/>
      <c r="X34" s="120"/>
      <c r="Y34" s="120"/>
      <c r="Z34" s="120"/>
      <c r="AA34" s="120"/>
      <c r="AB34" s="120"/>
      <c r="AC34" s="120"/>
      <c r="AD34" s="120"/>
      <c r="AE34" s="120"/>
      <c r="AF34" s="120"/>
      <c r="AH34" s="120"/>
      <c r="AI34" s="267"/>
      <c r="AJ34" s="267"/>
      <c r="AK34" s="120"/>
      <c r="AL34" s="120"/>
      <c r="AM34" s="120"/>
    </row>
    <row r="35" spans="2:39" x14ac:dyDescent="0.25">
      <c r="AH35" s="120"/>
      <c r="AI35" s="267"/>
      <c r="AJ35" s="267"/>
      <c r="AK35" s="120"/>
      <c r="AL35" s="120"/>
      <c r="AM35" s="120"/>
    </row>
    <row r="36" spans="2:39" x14ac:dyDescent="0.25">
      <c r="AH36" s="120"/>
      <c r="AI36" s="267"/>
      <c r="AJ36" s="267"/>
      <c r="AK36" s="120"/>
      <c r="AL36" s="120"/>
      <c r="AM36" s="120"/>
    </row>
  </sheetData>
  <sheetProtection formatCells="0" formatColumns="0" formatRows="0" insertColumns="0" insertRows="0" deleteColumns="0" deleteRows="0"/>
  <customSheetViews>
    <customSheetView guid="{07F1F502-9FC7-4878-A746-52E1655BD4FA}" scale="80" fitToPage="1" hiddenColumns="1" showRuler="0">
      <pane ySplit="7" topLeftCell="A14" activePane="bottomLeft" state="frozen"/>
      <selection pane="bottomLeft" activeCell="S17" sqref="S17"/>
      <pageMargins left="0.25" right="0.25" top="0.75" bottom="0.5" header="0.25" footer="0.25"/>
      <printOptions horizontalCentered="1"/>
      <pageSetup scale="58" orientation="landscape" r:id="rId1"/>
      <headerFooter alignWithMargins="0">
        <oddHeader>&amp;LJudicial Council of California
Administrative Office of the Courts
Internal Audit Services&amp;C&amp;"Arial,Bold"&amp;11 SUPERIOR COURT of _____ COUNTY
Revenue Distribution Testing Summary&amp;RWorkpaper B-11.XX
Prepared By:  ___
Approved By:  ___</oddHeader>
        <oddFooter>&amp;L&amp;D&amp;R&amp;P of &amp;N</oddFooter>
      </headerFooter>
    </customSheetView>
  </customSheetViews>
  <mergeCells count="92">
    <mergeCell ref="AM18:AM19"/>
    <mergeCell ref="AL18:AL19"/>
    <mergeCell ref="AM16:AM17"/>
    <mergeCell ref="AL16:AL17"/>
    <mergeCell ref="AK22:AK23"/>
    <mergeCell ref="N30:AE30"/>
    <mergeCell ref="AM20:AM21"/>
    <mergeCell ref="AL20:AL21"/>
    <mergeCell ref="AK20:AK21"/>
    <mergeCell ref="AJ20:AJ21"/>
    <mergeCell ref="AI20:AI21"/>
    <mergeCell ref="AL22:AL23"/>
    <mergeCell ref="AM22:AM23"/>
    <mergeCell ref="AH24:AH25"/>
    <mergeCell ref="AL24:AL25"/>
    <mergeCell ref="AM24:AM25"/>
    <mergeCell ref="AK24:AK25"/>
    <mergeCell ref="AH22:AH23"/>
    <mergeCell ref="AM14:AM15"/>
    <mergeCell ref="AL14:AL15"/>
    <mergeCell ref="AK14:AK15"/>
    <mergeCell ref="AJ14:AJ15"/>
    <mergeCell ref="A5:A7"/>
    <mergeCell ref="B5:C7"/>
    <mergeCell ref="E5:E7"/>
    <mergeCell ref="AM12:AM13"/>
    <mergeCell ref="AL12:AL13"/>
    <mergeCell ref="AK12:AK13"/>
    <mergeCell ref="AJ12:AJ13"/>
    <mergeCell ref="AI12:AI13"/>
    <mergeCell ref="AM8:AM9"/>
    <mergeCell ref="AL8:AL9"/>
    <mergeCell ref="AI5:AI7"/>
    <mergeCell ref="M5:M7"/>
    <mergeCell ref="AM10:AM11"/>
    <mergeCell ref="AL10:AL11"/>
    <mergeCell ref="AK10:AK11"/>
    <mergeCell ref="AJ10:AJ11"/>
    <mergeCell ref="AI10:AI11"/>
    <mergeCell ref="B1:AM1"/>
    <mergeCell ref="D5:D7"/>
    <mergeCell ref="I5:I7"/>
    <mergeCell ref="J5:J7"/>
    <mergeCell ref="H5:H7"/>
    <mergeCell ref="AM5:AM7"/>
    <mergeCell ref="L5:L7"/>
    <mergeCell ref="AJ5:AJ7"/>
    <mergeCell ref="N5:AE5"/>
    <mergeCell ref="B3:AM3"/>
    <mergeCell ref="AL5:AL7"/>
    <mergeCell ref="AK5:AK7"/>
    <mergeCell ref="AH5:AH7"/>
    <mergeCell ref="G5:G7"/>
    <mergeCell ref="F5:F7"/>
    <mergeCell ref="K5:K7"/>
    <mergeCell ref="AI8:AI9"/>
    <mergeCell ref="AK8:AK9"/>
    <mergeCell ref="AJ8:AJ9"/>
    <mergeCell ref="AJ16:AJ17"/>
    <mergeCell ref="AJ22:AJ23"/>
    <mergeCell ref="AI16:AI17"/>
    <mergeCell ref="AK16:AK17"/>
    <mergeCell ref="AI18:AI19"/>
    <mergeCell ref="AI14:AI15"/>
    <mergeCell ref="AK18:AK19"/>
    <mergeCell ref="AJ18:AJ19"/>
    <mergeCell ref="AH8:AH9"/>
    <mergeCell ref="AI22:AI23"/>
    <mergeCell ref="AM26:AM27"/>
    <mergeCell ref="AH26:AH27"/>
    <mergeCell ref="AI26:AI27"/>
    <mergeCell ref="AJ26:AJ27"/>
    <mergeCell ref="AK26:AK27"/>
    <mergeCell ref="AL26:AL27"/>
    <mergeCell ref="AI24:AI25"/>
    <mergeCell ref="AJ24:AJ25"/>
    <mergeCell ref="AH20:AH21"/>
    <mergeCell ref="AH10:AH11"/>
    <mergeCell ref="AH12:AH13"/>
    <mergeCell ref="AH14:AH15"/>
    <mergeCell ref="AH16:AH17"/>
    <mergeCell ref="AH18:AH19"/>
    <mergeCell ref="AN8:AN9"/>
    <mergeCell ref="AN10:AN11"/>
    <mergeCell ref="AN12:AN13"/>
    <mergeCell ref="AN14:AN15"/>
    <mergeCell ref="AN16:AN17"/>
    <mergeCell ref="AN18:AN19"/>
    <mergeCell ref="AN20:AN21"/>
    <mergeCell ref="AN22:AN23"/>
    <mergeCell ref="AN24:AN25"/>
    <mergeCell ref="AN26:AN27"/>
  </mergeCells>
  <phoneticPr fontId="3" type="noConversion"/>
  <conditionalFormatting sqref="B8:AF29">
    <cfRule type="expression" dxfId="127" priority="2" stopIfTrue="1">
      <formula>MOD(ROW(),2)=0</formula>
    </cfRule>
  </conditionalFormatting>
  <conditionalFormatting sqref="AJ8:AM8 AI8:AI14 AH8:AH28 AJ10:AJ14 AK10:AM28 AI12:AJ28 AH29:AM29">
    <cfRule type="expression" dxfId="126" priority="1">
      <formula>MOD(ROW(),4)=0</formula>
    </cfRule>
  </conditionalFormatting>
  <dataValidations count="1">
    <dataValidation type="list" allowBlank="1" showInputMessage="1" showErrorMessage="1" sqref="B1:AM2" xr:uid="{00000000-0002-0000-1000-000000000000}">
      <formula1>Court_Name</formula1>
    </dataValidation>
  </dataValidations>
  <hyperlinks>
    <hyperlink ref="B8:C8" location="'1-DUI (Reduce Base)'!A1" display="'1-DUI (Reduce Base)'!A1" xr:uid="{00000000-0004-0000-1000-000000000000}"/>
    <hyperlink ref="B9:C9" location="'2-DUI (Reduce Base)'!A1" display="'2-DUI (Reduce Base)'!A1" xr:uid="{00000000-0004-0000-1000-000001000000}"/>
    <hyperlink ref="B10:C10" location="'3-RD (Reduce Base)'!A1" display="'3-RD (Reduce Base)'!A1" xr:uid="{00000000-0004-0000-1000-000002000000}"/>
    <hyperlink ref="B11:C11" location="'4-RRBF'!A1" display="'4-RRBF'!A1" xr:uid="{00000000-0004-0000-1000-000003000000}"/>
    <hyperlink ref="B12:C12" location="'5-RRTS (BF &amp; No 2%)'!A1" display="'5-RRTS (BF &amp; No 2%)'!A1" xr:uid="{00000000-0004-0000-1000-000004000000}"/>
    <hyperlink ref="B13:C13" location="'6-RLBF'!A1" display="'6-RLBF'!A1" xr:uid="{00000000-0004-0000-1000-000005000000}"/>
    <hyperlink ref="B14:C14" location="'7-RLTS'!A1" display="'7-RLTS'!A1" xr:uid="{00000000-0004-0000-1000-000006000000}"/>
    <hyperlink ref="B15:C15" location="'8-RLBF (No 30%)'!A1" display="'8-RLBF (No 30%)'!A1" xr:uid="{00000000-0004-0000-1000-000007000000}"/>
    <hyperlink ref="B16:C16" location="'9-SpBF'!A1" display="'9-SpBF'!A1" xr:uid="{00000000-0004-0000-1000-000008000000}"/>
    <hyperlink ref="B17:C17" location="'10-SpTS'!A1" display="'10-SpTS'!A1" xr:uid="{00000000-0004-0000-1000-000009000000}"/>
    <hyperlink ref="B18:C18" location="'11-CSBF'!A1" display="'11-CSBF'!A1" xr:uid="{00000000-0004-0000-1000-00000A000000}"/>
    <hyperlink ref="B19:C19" location="'12-CSTS (BF &amp; 2%)'!A1" display="'12-CSTS (BF &amp; 2%)'!A1" xr:uid="{00000000-0004-0000-1000-00000B000000}"/>
    <hyperlink ref="B20:C20" location="'13-UC'!A1" display="'13-UC'!A1" xr:uid="{00000000-0004-0000-1000-00000C000000}"/>
    <hyperlink ref="B21:C21" location="'14-POC'!A1" display="'14-POC'!A1" xr:uid="{00000000-0004-0000-1000-00000D000000}"/>
    <hyperlink ref="B22:C22" location="'15-POI (Base Reduce)'!A1" display="'15-POI (Base Reduce)'!A1" xr:uid="{00000000-0004-0000-1000-00000E000000}"/>
    <hyperlink ref="B23:C23" location="'16-DV'!A1" display="'16-DV'!A1" xr:uid="{00000000-0004-0000-1000-00000F000000}"/>
    <hyperlink ref="B24:C24" location="'17-HS (Enhance Base)'!A1" display="'17-HS (Enhance Base)'!A1" xr:uid="{00000000-0004-0000-1000-000010000000}"/>
    <hyperlink ref="B25:C25" location="'18-HS (Enh-Red Base)'!A1" display="'18-HS (Enh-Red Base)'!A1" xr:uid="{00000000-0004-0000-1000-000011000000}"/>
    <hyperlink ref="B26:C26" location="'19-FG'!A1" display="'19-FG'!A1" xr:uid="{00000000-0004-0000-1000-000012000000}"/>
  </hyperlinks>
  <printOptions horizontalCentered="1"/>
  <pageMargins left="0.25" right="0.25" top="0.75" bottom="0.5" header="0.25" footer="0.25"/>
  <pageSetup scale="51" orientation="landscape" r:id="rId2"/>
  <headerFooter alignWithMargins="0">
    <oddHeader>&amp;LJudicial Council of California
Administrative Office of the Courts
Internal Audit Services&amp;C&amp;"Arial,Bold"&amp;11 SUPERIOR COURT of _____ COUNTY
Revenue Distribution Testing Summary&amp;RWorkpaper B-11.XX
Prepared By:  ___
Approved By:  ___</oddHeader>
    <oddFooter>&amp;L&amp;D&amp;R&amp;P of &amp;N</oddFooter>
  </headerFooter>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
  <dimension ref="A1:D59"/>
  <sheetViews>
    <sheetView workbookViewId="0">
      <selection activeCell="D2" sqref="D2"/>
    </sheetView>
  </sheetViews>
  <sheetFormatPr defaultRowHeight="14.5" x14ac:dyDescent="0.35"/>
  <cols>
    <col min="4" max="4" width="38" style="37" bestFit="1" customWidth="1"/>
  </cols>
  <sheetData>
    <row r="1" spans="1:4" ht="15" thickBot="1" x14ac:dyDescent="0.4">
      <c r="D1" s="37" t="s">
        <v>171</v>
      </c>
    </row>
    <row r="2" spans="1:4" x14ac:dyDescent="0.35">
      <c r="A2" s="34" t="s">
        <v>111</v>
      </c>
      <c r="B2" s="36" t="s">
        <v>169</v>
      </c>
      <c r="C2" s="36" t="s">
        <v>170</v>
      </c>
      <c r="D2" s="37" t="str">
        <f>CONCATENATE($B$2,A2,$C$2)</f>
        <v>Superior Court of Alameda County</v>
      </c>
    </row>
    <row r="3" spans="1:4" x14ac:dyDescent="0.35">
      <c r="A3" s="35" t="s">
        <v>112</v>
      </c>
      <c r="D3" s="37" t="str">
        <f t="shared" ref="D3:D59" si="0">CONCATENATE($B$2,A3,$C$2)</f>
        <v>Superior Court of Alpine County</v>
      </c>
    </row>
    <row r="4" spans="1:4" x14ac:dyDescent="0.35">
      <c r="A4" s="35" t="s">
        <v>113</v>
      </c>
      <c r="D4" s="37" t="str">
        <f t="shared" si="0"/>
        <v>Superior Court of Amador County</v>
      </c>
    </row>
    <row r="5" spans="1:4" x14ac:dyDescent="0.35">
      <c r="A5" s="35" t="s">
        <v>114</v>
      </c>
      <c r="D5" s="37" t="str">
        <f t="shared" si="0"/>
        <v>Superior Court of Butte County</v>
      </c>
    </row>
    <row r="6" spans="1:4" x14ac:dyDescent="0.35">
      <c r="A6" s="35" t="s">
        <v>115</v>
      </c>
      <c r="D6" s="37" t="str">
        <f t="shared" si="0"/>
        <v>Superior Court of Claveras County</v>
      </c>
    </row>
    <row r="7" spans="1:4" x14ac:dyDescent="0.35">
      <c r="A7" s="35" t="s">
        <v>116</v>
      </c>
      <c r="D7" s="37" t="str">
        <f t="shared" si="0"/>
        <v>Superior Court of Colusa County</v>
      </c>
    </row>
    <row r="8" spans="1:4" x14ac:dyDescent="0.35">
      <c r="A8" s="35" t="s">
        <v>117</v>
      </c>
      <c r="D8" s="37" t="str">
        <f t="shared" si="0"/>
        <v>Superior Court of Contra Costa County</v>
      </c>
    </row>
    <row r="9" spans="1:4" x14ac:dyDescent="0.35">
      <c r="A9" s="35" t="s">
        <v>118</v>
      </c>
      <c r="D9" s="37" t="str">
        <f t="shared" si="0"/>
        <v>Superior Court of Del Norte County</v>
      </c>
    </row>
    <row r="10" spans="1:4" x14ac:dyDescent="0.35">
      <c r="A10" s="35" t="s">
        <v>119</v>
      </c>
      <c r="D10" s="37" t="str">
        <f t="shared" si="0"/>
        <v>Superior Court of El Dorado County</v>
      </c>
    </row>
    <row r="11" spans="1:4" x14ac:dyDescent="0.35">
      <c r="A11" s="35" t="s">
        <v>120</v>
      </c>
      <c r="D11" s="37" t="str">
        <f t="shared" si="0"/>
        <v>Superior Court of Fresno County</v>
      </c>
    </row>
    <row r="12" spans="1:4" x14ac:dyDescent="0.35">
      <c r="A12" s="35" t="s">
        <v>121</v>
      </c>
      <c r="D12" s="37" t="str">
        <f t="shared" si="0"/>
        <v>Superior Court of Glenn County</v>
      </c>
    </row>
    <row r="13" spans="1:4" x14ac:dyDescent="0.35">
      <c r="A13" s="35" t="s">
        <v>122</v>
      </c>
      <c r="D13" s="37" t="str">
        <f t="shared" si="0"/>
        <v>Superior Court of Humboldt County</v>
      </c>
    </row>
    <row r="14" spans="1:4" x14ac:dyDescent="0.35">
      <c r="A14" s="35" t="s">
        <v>123</v>
      </c>
      <c r="D14" s="37" t="str">
        <f t="shared" si="0"/>
        <v>Superior Court of Imperial County</v>
      </c>
    </row>
    <row r="15" spans="1:4" x14ac:dyDescent="0.35">
      <c r="A15" s="35" t="s">
        <v>124</v>
      </c>
      <c r="D15" s="37" t="str">
        <f t="shared" si="0"/>
        <v>Superior Court of Inyo County</v>
      </c>
    </row>
    <row r="16" spans="1:4" x14ac:dyDescent="0.35">
      <c r="A16" s="35" t="s">
        <v>125</v>
      </c>
      <c r="D16" s="37" t="str">
        <f t="shared" si="0"/>
        <v>Superior Court of Kern County</v>
      </c>
    </row>
    <row r="17" spans="1:4" x14ac:dyDescent="0.35">
      <c r="A17" s="35" t="s">
        <v>126</v>
      </c>
      <c r="D17" s="37" t="str">
        <f t="shared" si="0"/>
        <v>Superior Court of Kings County</v>
      </c>
    </row>
    <row r="18" spans="1:4" x14ac:dyDescent="0.35">
      <c r="A18" s="35" t="s">
        <v>127</v>
      </c>
      <c r="D18" s="37" t="str">
        <f t="shared" si="0"/>
        <v>Superior Court of Lake County</v>
      </c>
    </row>
    <row r="19" spans="1:4" x14ac:dyDescent="0.35">
      <c r="A19" s="35" t="s">
        <v>128</v>
      </c>
      <c r="D19" s="37" t="str">
        <f t="shared" si="0"/>
        <v>Superior Court of Lassen County</v>
      </c>
    </row>
    <row r="20" spans="1:4" x14ac:dyDescent="0.35">
      <c r="A20" s="35" t="s">
        <v>129</v>
      </c>
      <c r="D20" s="37" t="str">
        <f t="shared" si="0"/>
        <v>Superior Court of Los Angeles County</v>
      </c>
    </row>
    <row r="21" spans="1:4" x14ac:dyDescent="0.35">
      <c r="A21" s="35" t="s">
        <v>130</v>
      </c>
      <c r="D21" s="37" t="str">
        <f t="shared" si="0"/>
        <v>Superior Court of Madera County</v>
      </c>
    </row>
    <row r="22" spans="1:4" x14ac:dyDescent="0.35">
      <c r="A22" s="35" t="s">
        <v>131</v>
      </c>
      <c r="D22" s="37" t="str">
        <f t="shared" si="0"/>
        <v>Superior Court of Marin County</v>
      </c>
    </row>
    <row r="23" spans="1:4" x14ac:dyDescent="0.35">
      <c r="A23" s="35" t="s">
        <v>132</v>
      </c>
      <c r="D23" s="37" t="str">
        <f t="shared" si="0"/>
        <v>Superior Court of Mariposa County</v>
      </c>
    </row>
    <row r="24" spans="1:4" x14ac:dyDescent="0.35">
      <c r="A24" s="35" t="s">
        <v>133</v>
      </c>
      <c r="D24" s="37" t="str">
        <f t="shared" si="0"/>
        <v>Superior Court of Mendocino County</v>
      </c>
    </row>
    <row r="25" spans="1:4" x14ac:dyDescent="0.35">
      <c r="A25" s="35" t="s">
        <v>134</v>
      </c>
      <c r="D25" s="37" t="str">
        <f t="shared" si="0"/>
        <v>Superior Court of Merced County</v>
      </c>
    </row>
    <row r="26" spans="1:4" x14ac:dyDescent="0.35">
      <c r="A26" s="35" t="s">
        <v>135</v>
      </c>
      <c r="D26" s="37" t="str">
        <f t="shared" si="0"/>
        <v>Superior Court of Modoc County</v>
      </c>
    </row>
    <row r="27" spans="1:4" x14ac:dyDescent="0.35">
      <c r="A27" s="35" t="s">
        <v>136</v>
      </c>
      <c r="D27" s="37" t="str">
        <f t="shared" si="0"/>
        <v>Superior Court of Mono County</v>
      </c>
    </row>
    <row r="28" spans="1:4" x14ac:dyDescent="0.35">
      <c r="A28" s="35" t="s">
        <v>137</v>
      </c>
      <c r="D28" s="37" t="str">
        <f t="shared" si="0"/>
        <v>Superior Court of Monterey County</v>
      </c>
    </row>
    <row r="29" spans="1:4" x14ac:dyDescent="0.35">
      <c r="A29" s="35" t="s">
        <v>138</v>
      </c>
      <c r="D29" s="37" t="str">
        <f t="shared" si="0"/>
        <v>Superior Court of Napa County</v>
      </c>
    </row>
    <row r="30" spans="1:4" x14ac:dyDescent="0.35">
      <c r="A30" s="35" t="s">
        <v>139</v>
      </c>
      <c r="D30" s="37" t="str">
        <f t="shared" si="0"/>
        <v>Superior Court of Nevada County</v>
      </c>
    </row>
    <row r="31" spans="1:4" x14ac:dyDescent="0.35">
      <c r="A31" s="35" t="s">
        <v>140</v>
      </c>
      <c r="D31" s="37" t="str">
        <f t="shared" si="0"/>
        <v>Superior Court of Orange County</v>
      </c>
    </row>
    <row r="32" spans="1:4" x14ac:dyDescent="0.35">
      <c r="A32" s="35" t="s">
        <v>141</v>
      </c>
      <c r="D32" s="37" t="str">
        <f t="shared" si="0"/>
        <v>Superior Court of Plumas County</v>
      </c>
    </row>
    <row r="33" spans="1:4" x14ac:dyDescent="0.35">
      <c r="A33" s="35" t="s">
        <v>142</v>
      </c>
      <c r="D33" s="37" t="str">
        <f t="shared" si="0"/>
        <v>Superior Court of Placer County</v>
      </c>
    </row>
    <row r="34" spans="1:4" x14ac:dyDescent="0.35">
      <c r="A34" s="35" t="s">
        <v>143</v>
      </c>
      <c r="D34" s="37" t="str">
        <f t="shared" si="0"/>
        <v>Superior Court of Riverside County</v>
      </c>
    </row>
    <row r="35" spans="1:4" x14ac:dyDescent="0.35">
      <c r="A35" s="35" t="s">
        <v>144</v>
      </c>
      <c r="D35" s="37" t="str">
        <f t="shared" si="0"/>
        <v>Superior Court of Sacramento County</v>
      </c>
    </row>
    <row r="36" spans="1:4" x14ac:dyDescent="0.35">
      <c r="A36" s="35" t="s">
        <v>145</v>
      </c>
      <c r="D36" s="37" t="str">
        <f t="shared" si="0"/>
        <v>Superior Court of San Benito County</v>
      </c>
    </row>
    <row r="37" spans="1:4" x14ac:dyDescent="0.35">
      <c r="A37" s="35" t="s">
        <v>146</v>
      </c>
      <c r="D37" s="37" t="str">
        <f t="shared" si="0"/>
        <v>Superior Court of San Bernardino County</v>
      </c>
    </row>
    <row r="38" spans="1:4" x14ac:dyDescent="0.35">
      <c r="A38" s="35" t="s">
        <v>147</v>
      </c>
      <c r="D38" s="37" t="str">
        <f t="shared" si="0"/>
        <v>Superior Court of San Diego County</v>
      </c>
    </row>
    <row r="39" spans="1:4" x14ac:dyDescent="0.35">
      <c r="A39" s="35" t="s">
        <v>148</v>
      </c>
      <c r="D39" s="37" t="str">
        <f t="shared" si="0"/>
        <v>Superior Court of San Francisco County</v>
      </c>
    </row>
    <row r="40" spans="1:4" x14ac:dyDescent="0.35">
      <c r="A40" s="35" t="s">
        <v>149</v>
      </c>
      <c r="D40" s="37" t="str">
        <f t="shared" si="0"/>
        <v>Superior Court of San Joaquin County</v>
      </c>
    </row>
    <row r="41" spans="1:4" x14ac:dyDescent="0.35">
      <c r="A41" s="35" t="s">
        <v>150</v>
      </c>
      <c r="D41" s="37" t="str">
        <f t="shared" si="0"/>
        <v>Superior Court of San Luis Obispo County</v>
      </c>
    </row>
    <row r="42" spans="1:4" x14ac:dyDescent="0.35">
      <c r="A42" s="35" t="s">
        <v>151</v>
      </c>
      <c r="D42" s="37" t="str">
        <f t="shared" si="0"/>
        <v>Superior Court of San Mateo County</v>
      </c>
    </row>
    <row r="43" spans="1:4" x14ac:dyDescent="0.35">
      <c r="A43" s="35" t="s">
        <v>152</v>
      </c>
      <c r="D43" s="37" t="str">
        <f t="shared" si="0"/>
        <v>Superior Court of Santa Barbara County</v>
      </c>
    </row>
    <row r="44" spans="1:4" x14ac:dyDescent="0.35">
      <c r="A44" s="35" t="s">
        <v>153</v>
      </c>
      <c r="D44" s="37" t="str">
        <f t="shared" si="0"/>
        <v>Superior Court of Santa Clara County</v>
      </c>
    </row>
    <row r="45" spans="1:4" x14ac:dyDescent="0.35">
      <c r="A45" s="35" t="s">
        <v>154</v>
      </c>
      <c r="D45" s="37" t="str">
        <f t="shared" si="0"/>
        <v>Superior Court of Santa Cruz County</v>
      </c>
    </row>
    <row r="46" spans="1:4" x14ac:dyDescent="0.35">
      <c r="A46" s="35" t="s">
        <v>155</v>
      </c>
      <c r="D46" s="37" t="str">
        <f t="shared" si="0"/>
        <v>Superior Court of Shasta County</v>
      </c>
    </row>
    <row r="47" spans="1:4" x14ac:dyDescent="0.35">
      <c r="A47" s="35" t="s">
        <v>156</v>
      </c>
      <c r="D47" s="37" t="str">
        <f t="shared" si="0"/>
        <v>Superior Court of Sierra County</v>
      </c>
    </row>
    <row r="48" spans="1:4" x14ac:dyDescent="0.35">
      <c r="A48" s="35" t="s">
        <v>157</v>
      </c>
      <c r="D48" s="37" t="str">
        <f t="shared" si="0"/>
        <v>Superior Court of Siskiyou County</v>
      </c>
    </row>
    <row r="49" spans="1:4" x14ac:dyDescent="0.35">
      <c r="A49" s="35" t="s">
        <v>158</v>
      </c>
      <c r="D49" s="37" t="str">
        <f t="shared" si="0"/>
        <v>Superior Court of Solano County</v>
      </c>
    </row>
    <row r="50" spans="1:4" x14ac:dyDescent="0.35">
      <c r="A50" s="35" t="s">
        <v>159</v>
      </c>
      <c r="D50" s="37" t="str">
        <f t="shared" si="0"/>
        <v>Superior Court of Sonoma County</v>
      </c>
    </row>
    <row r="51" spans="1:4" x14ac:dyDescent="0.35">
      <c r="A51" s="35" t="s">
        <v>160</v>
      </c>
      <c r="D51" s="37" t="str">
        <f t="shared" si="0"/>
        <v>Superior Court of Stanislaus County</v>
      </c>
    </row>
    <row r="52" spans="1:4" x14ac:dyDescent="0.35">
      <c r="A52" s="35" t="s">
        <v>161</v>
      </c>
      <c r="D52" s="37" t="str">
        <f t="shared" si="0"/>
        <v>Superior Court of Sutter County</v>
      </c>
    </row>
    <row r="53" spans="1:4" x14ac:dyDescent="0.35">
      <c r="A53" s="35" t="s">
        <v>162</v>
      </c>
      <c r="D53" s="37" t="str">
        <f t="shared" si="0"/>
        <v>Superior Court of Tehama County</v>
      </c>
    </row>
    <row r="54" spans="1:4" x14ac:dyDescent="0.35">
      <c r="A54" s="35" t="s">
        <v>163</v>
      </c>
      <c r="D54" s="37" t="str">
        <f t="shared" si="0"/>
        <v>Superior Court of Trinity County</v>
      </c>
    </row>
    <row r="55" spans="1:4" x14ac:dyDescent="0.35">
      <c r="A55" s="35" t="s">
        <v>164</v>
      </c>
      <c r="D55" s="37" t="str">
        <f t="shared" si="0"/>
        <v>Superior Court of Tulare County</v>
      </c>
    </row>
    <row r="56" spans="1:4" x14ac:dyDescent="0.35">
      <c r="A56" s="35" t="s">
        <v>165</v>
      </c>
      <c r="D56" s="37" t="str">
        <f t="shared" si="0"/>
        <v>Superior Court of Tuolumne County</v>
      </c>
    </row>
    <row r="57" spans="1:4" x14ac:dyDescent="0.35">
      <c r="A57" s="35" t="s">
        <v>166</v>
      </c>
      <c r="D57" s="37" t="str">
        <f t="shared" si="0"/>
        <v>Superior Court of Ventura County</v>
      </c>
    </row>
    <row r="58" spans="1:4" x14ac:dyDescent="0.35">
      <c r="A58" s="35" t="s">
        <v>167</v>
      </c>
      <c r="D58" s="37" t="str">
        <f t="shared" si="0"/>
        <v>Superior Court of Yolo County</v>
      </c>
    </row>
    <row r="59" spans="1:4" x14ac:dyDescent="0.35">
      <c r="A59" s="35" t="s">
        <v>168</v>
      </c>
      <c r="D59" s="37" t="str">
        <f t="shared" si="0"/>
        <v>Superior Court of Yuba County</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
    <tabColor indexed="42"/>
  </sheetPr>
  <dimension ref="A2:B7"/>
  <sheetViews>
    <sheetView showRuler="0" workbookViewId="0">
      <selection activeCell="E39" sqref="E39"/>
    </sheetView>
  </sheetViews>
  <sheetFormatPr defaultRowHeight="12.5" x14ac:dyDescent="0.25"/>
  <cols>
    <col min="2" max="2" width="30.81640625" bestFit="1" customWidth="1"/>
  </cols>
  <sheetData>
    <row r="2" spans="1:2" s="5" customFormat="1" ht="13" x14ac:dyDescent="0.3">
      <c r="A2" s="6" t="s">
        <v>30</v>
      </c>
      <c r="B2" s="6" t="s">
        <v>47</v>
      </c>
    </row>
    <row r="3" spans="1:2" x14ac:dyDescent="0.25">
      <c r="A3" t="s">
        <v>42</v>
      </c>
      <c r="B3" t="s">
        <v>29</v>
      </c>
    </row>
    <row r="4" spans="1:2" x14ac:dyDescent="0.25">
      <c r="A4" t="s">
        <v>43</v>
      </c>
      <c r="B4" t="s">
        <v>48</v>
      </c>
    </row>
    <row r="5" spans="1:2" x14ac:dyDescent="0.25">
      <c r="A5" t="s">
        <v>44</v>
      </c>
      <c r="B5" t="s">
        <v>49</v>
      </c>
    </row>
    <row r="6" spans="1:2" x14ac:dyDescent="0.25">
      <c r="A6" t="s">
        <v>40</v>
      </c>
      <c r="B6" t="s">
        <v>50</v>
      </c>
    </row>
    <row r="7" spans="1:2" x14ac:dyDescent="0.25">
      <c r="A7" t="s">
        <v>46</v>
      </c>
      <c r="B7" t="s">
        <v>33</v>
      </c>
    </row>
  </sheetData>
  <customSheetViews>
    <customSheetView guid="{07F1F502-9FC7-4878-A746-52E1655BD4FA}" showRuler="0">
      <selection activeCell="E39" sqref="E39"/>
      <pageMargins left="0.75" right="0.75" top="1" bottom="1" header="0.5" footer="0.5"/>
      <pageSetup orientation="portrait" r:id="rId1"/>
      <headerFooter alignWithMargins="0"/>
    </customSheetView>
  </customSheetViews>
  <phoneticPr fontId="3" type="noConversion"/>
  <pageMargins left="0.75" right="0.75" top="1" bottom="1" header="0.5" footer="0.5"/>
  <pageSetup orientation="portrait" r:id="rId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6">
    <tabColor theme="3" tint="0.39997558519241921"/>
  </sheetPr>
  <dimension ref="A1:D21"/>
  <sheetViews>
    <sheetView showRuler="0" workbookViewId="0">
      <selection activeCell="A37" sqref="A37"/>
    </sheetView>
  </sheetViews>
  <sheetFormatPr defaultColWidth="9.1796875" defaultRowHeight="12.5" x14ac:dyDescent="0.25"/>
  <cols>
    <col min="1" max="1" width="46.7265625" style="8" bestFit="1" customWidth="1"/>
    <col min="2" max="2" width="45.453125" style="8" bestFit="1" customWidth="1"/>
    <col min="3" max="3" width="30.7265625" style="8" customWidth="1"/>
    <col min="4" max="4" width="26.7265625" style="8" customWidth="1"/>
    <col min="5" max="16384" width="9.1796875" style="8"/>
  </cols>
  <sheetData>
    <row r="1" spans="1:4" s="7" customFormat="1" ht="14.25" customHeight="1" x14ac:dyDescent="0.35">
      <c r="A1" s="17" t="e">
        <f>'TEST SUMMARY'!B1:AM1</f>
        <v>#VALUE!</v>
      </c>
    </row>
    <row r="2" spans="1:4" s="7" customFormat="1" ht="14.25" customHeight="1" x14ac:dyDescent="0.35">
      <c r="A2" s="7" t="s">
        <v>57</v>
      </c>
    </row>
    <row r="3" spans="1:4" ht="14.25" customHeight="1" x14ac:dyDescent="0.25"/>
    <row r="4" spans="1:4" ht="14.25" customHeight="1" x14ac:dyDescent="0.25"/>
    <row r="5" spans="1:4" ht="14.25" customHeight="1" x14ac:dyDescent="0.25"/>
    <row r="6" spans="1:4" s="10" customFormat="1" ht="13" x14ac:dyDescent="0.3">
      <c r="A6" s="9" t="s">
        <v>56</v>
      </c>
      <c r="B6" s="9" t="s">
        <v>0</v>
      </c>
      <c r="C6" s="9" t="s">
        <v>395</v>
      </c>
      <c r="D6" s="9" t="s">
        <v>396</v>
      </c>
    </row>
    <row r="7" spans="1:4" ht="13" x14ac:dyDescent="0.25">
      <c r="A7" s="577" t="s">
        <v>500</v>
      </c>
      <c r="B7" s="577" t="s">
        <v>27</v>
      </c>
      <c r="C7" s="12"/>
      <c r="D7" s="13"/>
    </row>
    <row r="8" spans="1:4" ht="13" x14ac:dyDescent="0.25">
      <c r="A8" s="577" t="s">
        <v>501</v>
      </c>
      <c r="B8" s="11" t="s">
        <v>25</v>
      </c>
      <c r="C8" s="12"/>
      <c r="D8" s="13"/>
    </row>
    <row r="9" spans="1:4" x14ac:dyDescent="0.25">
      <c r="A9" s="577" t="s">
        <v>502</v>
      </c>
      <c r="B9" s="577" t="s">
        <v>510</v>
      </c>
      <c r="C9" s="13"/>
      <c r="D9" s="13"/>
    </row>
    <row r="10" spans="1:4" x14ac:dyDescent="0.25">
      <c r="A10" s="577" t="s">
        <v>503</v>
      </c>
      <c r="B10" s="577" t="s">
        <v>511</v>
      </c>
      <c r="C10" s="13"/>
      <c r="D10" s="13"/>
    </row>
    <row r="11" spans="1:4" x14ac:dyDescent="0.25">
      <c r="A11" s="14" t="s">
        <v>62</v>
      </c>
      <c r="B11" s="14" t="s">
        <v>422</v>
      </c>
      <c r="C11" s="13"/>
      <c r="D11" s="13"/>
    </row>
    <row r="12" spans="1:4" x14ac:dyDescent="0.25">
      <c r="A12" s="11" t="s">
        <v>60</v>
      </c>
      <c r="B12" s="11" t="s">
        <v>35</v>
      </c>
      <c r="C12" s="13"/>
      <c r="D12" s="13"/>
    </row>
    <row r="13" spans="1:4" x14ac:dyDescent="0.25">
      <c r="A13" s="13" t="s">
        <v>499</v>
      </c>
      <c r="B13" s="14" t="s">
        <v>36</v>
      </c>
      <c r="C13" s="13"/>
      <c r="D13" s="13"/>
    </row>
    <row r="14" spans="1:4" x14ac:dyDescent="0.25">
      <c r="A14" s="577" t="s">
        <v>498</v>
      </c>
      <c r="B14" s="577" t="s">
        <v>512</v>
      </c>
      <c r="C14" s="13"/>
      <c r="D14" s="15"/>
    </row>
    <row r="15" spans="1:4" x14ac:dyDescent="0.25">
      <c r="A15" s="13" t="s">
        <v>504</v>
      </c>
      <c r="B15" s="13" t="s">
        <v>36</v>
      </c>
      <c r="C15" s="15"/>
      <c r="D15" s="15"/>
    </row>
    <row r="16" spans="1:4" x14ac:dyDescent="0.25">
      <c r="A16" s="577" t="s">
        <v>505</v>
      </c>
      <c r="B16" s="577" t="s">
        <v>509</v>
      </c>
      <c r="C16" s="15"/>
      <c r="D16" s="15"/>
    </row>
    <row r="17" spans="1:4" x14ac:dyDescent="0.25">
      <c r="A17" s="577" t="s">
        <v>506</v>
      </c>
      <c r="B17" s="577" t="s">
        <v>458</v>
      </c>
      <c r="C17" s="15"/>
      <c r="D17" s="15"/>
    </row>
    <row r="18" spans="1:4" x14ac:dyDescent="0.25">
      <c r="A18" s="577" t="s">
        <v>507</v>
      </c>
      <c r="B18" s="11" t="s">
        <v>10</v>
      </c>
      <c r="C18" s="15"/>
      <c r="D18" s="15"/>
    </row>
    <row r="19" spans="1:4" x14ac:dyDescent="0.25">
      <c r="A19" s="577" t="s">
        <v>508</v>
      </c>
      <c r="B19" s="11" t="s">
        <v>39</v>
      </c>
      <c r="C19" s="15"/>
      <c r="D19" s="15"/>
    </row>
    <row r="20" spans="1:4" ht="13" x14ac:dyDescent="0.25">
      <c r="A20" s="13" t="s">
        <v>45</v>
      </c>
      <c r="B20" s="14" t="s">
        <v>41</v>
      </c>
      <c r="C20" s="12"/>
      <c r="D20" s="12"/>
    </row>
    <row r="21" spans="1:4" x14ac:dyDescent="0.25">
      <c r="A21" s="16"/>
      <c r="B21" s="16"/>
      <c r="C21" s="16"/>
      <c r="D21" s="16"/>
    </row>
  </sheetData>
  <customSheetViews>
    <customSheetView guid="{07F1F502-9FC7-4878-A746-52E1655BD4FA}" showRuler="0">
      <selection activeCell="A37" sqref="A37"/>
      <pageMargins left="0.75" right="0.75" top="1" bottom="1" header="0.5" footer="0.5"/>
      <pageSetup orientation="portrait" r:id="rId1"/>
      <headerFooter alignWithMargins="0"/>
    </customSheetView>
  </customSheetViews>
  <phoneticPr fontId="6" type="noConversion"/>
  <pageMargins left="0.75" right="0.75" top="1" bottom="1" header="0.5" footer="0.5"/>
  <pageSetup orientation="portrait"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8">
    <tabColor theme="5" tint="0.59999389629810485"/>
  </sheetPr>
  <dimension ref="A1:H25"/>
  <sheetViews>
    <sheetView showRuler="0" workbookViewId="0">
      <selection activeCell="O47" sqref="O47"/>
    </sheetView>
  </sheetViews>
  <sheetFormatPr defaultColWidth="9.1796875" defaultRowHeight="12.5" x14ac:dyDescent="0.25"/>
  <cols>
    <col min="1" max="1" width="28.26953125" style="18" bestFit="1" customWidth="1"/>
    <col min="2" max="2" width="9.81640625" style="3" bestFit="1" customWidth="1"/>
    <col min="3" max="3" width="10.1796875" style="3" bestFit="1" customWidth="1"/>
    <col min="4" max="6" width="9.1796875" style="3"/>
    <col min="7" max="7" width="10.1796875" style="3" bestFit="1" customWidth="1"/>
    <col min="8" max="16384" width="9.1796875" style="3"/>
  </cols>
  <sheetData>
    <row r="1" spans="1:8" s="26" customFormat="1" ht="15.5" x14ac:dyDescent="0.25">
      <c r="A1" s="25" t="s">
        <v>102</v>
      </c>
    </row>
    <row r="3" spans="1:8" ht="13" x14ac:dyDescent="0.25">
      <c r="A3" s="22" t="s">
        <v>76</v>
      </c>
      <c r="B3" s="32"/>
    </row>
    <row r="4" spans="1:8" ht="13" x14ac:dyDescent="0.25">
      <c r="A4" s="22" t="s">
        <v>77</v>
      </c>
      <c r="B4" s="32"/>
    </row>
    <row r="5" spans="1:8" ht="13" x14ac:dyDescent="0.25">
      <c r="A5" s="22" t="s">
        <v>78</v>
      </c>
      <c r="B5" s="32"/>
    </row>
    <row r="6" spans="1:8" ht="13" x14ac:dyDescent="0.25">
      <c r="A6" s="22" t="s">
        <v>19</v>
      </c>
      <c r="B6" s="33"/>
    </row>
    <row r="7" spans="1:8" ht="13" x14ac:dyDescent="0.25">
      <c r="A7" s="27"/>
      <c r="B7" s="28"/>
    </row>
    <row r="8" spans="1:8" ht="13" x14ac:dyDescent="0.25">
      <c r="C8" s="1063" t="s">
        <v>103</v>
      </c>
      <c r="D8" s="1063"/>
      <c r="E8" s="1063"/>
      <c r="F8" s="1063"/>
      <c r="G8" s="1063"/>
      <c r="H8" s="1063"/>
    </row>
    <row r="9" spans="1:8" ht="13" x14ac:dyDescent="0.25">
      <c r="A9" s="23" t="s">
        <v>104</v>
      </c>
      <c r="B9" s="19" t="s">
        <v>101</v>
      </c>
      <c r="C9" s="20"/>
      <c r="D9" s="20"/>
      <c r="E9" s="20"/>
      <c r="F9" s="20"/>
      <c r="G9" s="20"/>
      <c r="H9" s="20"/>
    </row>
    <row r="10" spans="1:8" x14ac:dyDescent="0.25">
      <c r="A10" s="29"/>
      <c r="B10" s="24">
        <f t="shared" ref="B10:B22" si="0">SUM(C10:H10)</f>
        <v>0</v>
      </c>
      <c r="C10" s="31"/>
      <c r="D10" s="31"/>
      <c r="E10" s="31"/>
      <c r="F10" s="31"/>
      <c r="G10" s="31"/>
      <c r="H10" s="31"/>
    </row>
    <row r="11" spans="1:8" x14ac:dyDescent="0.25">
      <c r="A11" s="29"/>
      <c r="B11" s="24">
        <f t="shared" si="0"/>
        <v>0</v>
      </c>
      <c r="C11" s="31"/>
      <c r="D11" s="31"/>
      <c r="E11" s="31"/>
      <c r="F11" s="31"/>
      <c r="G11" s="31"/>
      <c r="H11" s="31"/>
    </row>
    <row r="12" spans="1:8" x14ac:dyDescent="0.25">
      <c r="A12" s="30"/>
      <c r="B12" s="24">
        <f t="shared" si="0"/>
        <v>0</v>
      </c>
      <c r="C12" s="31"/>
      <c r="D12" s="31"/>
      <c r="E12" s="31"/>
      <c r="F12" s="31"/>
      <c r="G12" s="31"/>
      <c r="H12" s="31"/>
    </row>
    <row r="13" spans="1:8" x14ac:dyDescent="0.25">
      <c r="A13" s="29"/>
      <c r="B13" s="24">
        <f t="shared" si="0"/>
        <v>0</v>
      </c>
      <c r="C13" s="31"/>
      <c r="D13" s="31"/>
      <c r="E13" s="31"/>
      <c r="F13" s="31"/>
      <c r="G13" s="31"/>
      <c r="H13" s="31"/>
    </row>
    <row r="14" spans="1:8" x14ac:dyDescent="0.25">
      <c r="A14" s="30"/>
      <c r="B14" s="24">
        <f t="shared" si="0"/>
        <v>0</v>
      </c>
      <c r="C14" s="31"/>
      <c r="D14" s="31"/>
      <c r="E14" s="31"/>
      <c r="F14" s="31"/>
      <c r="G14" s="31"/>
      <c r="H14" s="31"/>
    </row>
    <row r="15" spans="1:8" x14ac:dyDescent="0.25">
      <c r="A15" s="30"/>
      <c r="B15" s="24">
        <f t="shared" si="0"/>
        <v>0</v>
      </c>
      <c r="C15" s="31"/>
      <c r="D15" s="31"/>
      <c r="E15" s="31"/>
      <c r="F15" s="31"/>
      <c r="G15" s="31"/>
      <c r="H15" s="31"/>
    </row>
    <row r="16" spans="1:8" x14ac:dyDescent="0.25">
      <c r="A16" s="30"/>
      <c r="B16" s="24">
        <f t="shared" si="0"/>
        <v>0</v>
      </c>
      <c r="C16" s="31"/>
      <c r="D16" s="31"/>
      <c r="E16" s="31"/>
      <c r="F16" s="31"/>
      <c r="G16" s="31"/>
      <c r="H16" s="31"/>
    </row>
    <row r="17" spans="1:8" x14ac:dyDescent="0.25">
      <c r="A17" s="30"/>
      <c r="B17" s="24">
        <f t="shared" si="0"/>
        <v>0</v>
      </c>
      <c r="C17" s="31"/>
      <c r="D17" s="31"/>
      <c r="E17" s="31"/>
      <c r="F17" s="31"/>
      <c r="G17" s="31"/>
      <c r="H17" s="31"/>
    </row>
    <row r="18" spans="1:8" x14ac:dyDescent="0.25">
      <c r="A18" s="29"/>
      <c r="B18" s="24">
        <f t="shared" si="0"/>
        <v>0</v>
      </c>
      <c r="C18" s="31"/>
      <c r="D18" s="31"/>
      <c r="E18" s="31"/>
      <c r="F18" s="31"/>
      <c r="G18" s="31"/>
      <c r="H18" s="31"/>
    </row>
    <row r="19" spans="1:8" x14ac:dyDescent="0.25">
      <c r="A19" s="29"/>
      <c r="B19" s="24">
        <f t="shared" si="0"/>
        <v>0</v>
      </c>
      <c r="C19" s="31"/>
      <c r="D19" s="31"/>
      <c r="E19" s="31"/>
      <c r="F19" s="31"/>
      <c r="G19" s="31"/>
      <c r="H19" s="31"/>
    </row>
    <row r="20" spans="1:8" x14ac:dyDescent="0.25">
      <c r="A20" s="29"/>
      <c r="B20" s="24">
        <f t="shared" si="0"/>
        <v>0</v>
      </c>
      <c r="C20" s="31"/>
      <c r="D20" s="31"/>
      <c r="E20" s="31"/>
      <c r="F20" s="31"/>
      <c r="G20" s="31"/>
      <c r="H20" s="31"/>
    </row>
    <row r="21" spans="1:8" x14ac:dyDescent="0.25">
      <c r="A21" s="29"/>
      <c r="B21" s="24">
        <f t="shared" si="0"/>
        <v>0</v>
      </c>
      <c r="C21" s="31"/>
      <c r="D21" s="31"/>
      <c r="E21" s="31"/>
      <c r="F21" s="31"/>
      <c r="G21" s="31"/>
      <c r="H21" s="31"/>
    </row>
    <row r="22" spans="1:8" x14ac:dyDescent="0.25">
      <c r="A22" s="29"/>
      <c r="B22" s="24">
        <f t="shared" si="0"/>
        <v>0</v>
      </c>
      <c r="C22" s="31"/>
      <c r="D22" s="31"/>
      <c r="E22" s="31"/>
      <c r="F22" s="31"/>
      <c r="G22" s="31"/>
      <c r="H22" s="31"/>
    </row>
    <row r="24" spans="1:8" ht="13" x14ac:dyDescent="0.25">
      <c r="A24" s="21" t="s">
        <v>101</v>
      </c>
      <c r="B24" s="4">
        <f t="shared" ref="B24:H24" si="1">SUM(B10:B23)</f>
        <v>0</v>
      </c>
      <c r="C24" s="3">
        <f t="shared" si="1"/>
        <v>0</v>
      </c>
      <c r="D24" s="3">
        <f t="shared" si="1"/>
        <v>0</v>
      </c>
      <c r="E24" s="3">
        <f t="shared" si="1"/>
        <v>0</v>
      </c>
      <c r="F24" s="3">
        <f t="shared" si="1"/>
        <v>0</v>
      </c>
      <c r="G24" s="3">
        <f t="shared" si="1"/>
        <v>0</v>
      </c>
      <c r="H24" s="3">
        <f t="shared" si="1"/>
        <v>0</v>
      </c>
    </row>
    <row r="25" spans="1:8" x14ac:dyDescent="0.25">
      <c r="C25" s="3">
        <f>SUM(C24:H24)</f>
        <v>0</v>
      </c>
    </row>
  </sheetData>
  <customSheetViews>
    <customSheetView guid="{07F1F502-9FC7-4878-A746-52E1655BD4FA}" showRuler="0">
      <selection activeCell="H40" sqref="H40"/>
      <pageMargins left="0.75" right="0.75" top="1" bottom="1" header="0.5" footer="0.5"/>
      <headerFooter alignWithMargins="0"/>
    </customSheetView>
  </customSheetViews>
  <mergeCells count="1">
    <mergeCell ref="C8:H8"/>
  </mergeCells>
  <phoneticPr fontId="3" type="noConversion"/>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0">
    <tabColor indexed="34"/>
    <pageSetUpPr fitToPage="1"/>
  </sheetPr>
  <dimension ref="A1:X50"/>
  <sheetViews>
    <sheetView showRuler="0" zoomScale="75" zoomScaleNormal="90" workbookViewId="0">
      <selection activeCell="U19" sqref="U19"/>
    </sheetView>
  </sheetViews>
  <sheetFormatPr defaultColWidth="9.1796875" defaultRowHeight="18.5" x14ac:dyDescent="0.25"/>
  <cols>
    <col min="1" max="1" width="4.26953125" style="87" customWidth="1"/>
    <col min="2" max="2" width="6.54296875" style="87" customWidth="1"/>
    <col min="3" max="3" width="15.54296875" style="87" customWidth="1"/>
    <col min="4" max="4" width="12" style="87" customWidth="1"/>
    <col min="5" max="5" width="12.81640625" style="88" customWidth="1"/>
    <col min="6" max="6" width="16" style="121" customWidth="1"/>
    <col min="7" max="7" width="9.1796875" style="46" customWidth="1"/>
    <col min="8" max="8" width="29.453125" style="46" customWidth="1"/>
    <col min="9" max="9" width="14" style="46" customWidth="1"/>
    <col min="10" max="10" width="14.1796875" style="46" customWidth="1"/>
    <col min="11" max="11" width="6" style="46" customWidth="1"/>
    <col min="12" max="12" width="14" style="92" customWidth="1"/>
    <col min="13" max="13" width="1.7265625" style="89" customWidth="1"/>
    <col min="14" max="14" width="17.54296875" style="46" customWidth="1"/>
    <col min="15" max="15" width="1.54296875" style="46" customWidth="1"/>
    <col min="16" max="16" width="14.26953125" style="46" customWidth="1"/>
    <col min="17" max="17" width="2.54296875" style="89" customWidth="1"/>
    <col min="18" max="18" width="12.26953125" style="90" customWidth="1"/>
    <col min="19" max="19" width="20.26953125" style="91" customWidth="1"/>
    <col min="20" max="20" width="2.1796875" style="50" customWidth="1"/>
    <col min="21" max="21" width="11.26953125" style="50" customWidth="1"/>
    <col min="22" max="22" width="13.26953125" style="50" customWidth="1"/>
    <col min="23" max="24" width="9.1796875" style="50"/>
    <col min="25" max="16384" width="9.1796875" style="46"/>
  </cols>
  <sheetData>
    <row r="1" spans="1:24" ht="20.25" customHeight="1" thickBot="1" x14ac:dyDescent="0.3">
      <c r="A1" s="1081" t="s">
        <v>258</v>
      </c>
      <c r="B1" s="1082"/>
      <c r="C1" s="1082"/>
      <c r="D1" s="1082"/>
      <c r="E1" s="1082"/>
      <c r="F1" s="1082"/>
      <c r="G1" s="1082"/>
      <c r="H1" s="1082"/>
      <c r="I1" s="1082"/>
      <c r="J1" s="1082"/>
      <c r="K1" s="1082"/>
      <c r="L1" s="1079" t="s">
        <v>282</v>
      </c>
      <c r="M1" s="1079"/>
      <c r="N1" s="1079"/>
      <c r="O1" s="1079"/>
      <c r="P1" s="1079"/>
      <c r="Q1" s="1079"/>
      <c r="R1" s="1079"/>
      <c r="S1" s="1080"/>
    </row>
    <row r="2" spans="1:24" s="50" customFormat="1" ht="11.25" customHeight="1" thickBot="1" x14ac:dyDescent="0.3">
      <c r="A2" s="47"/>
      <c r="B2" s="47"/>
      <c r="C2" s="47"/>
      <c r="D2" s="47"/>
      <c r="E2" s="47"/>
      <c r="F2" s="47"/>
      <c r="G2" s="47"/>
      <c r="H2" s="47"/>
      <c r="I2" s="47"/>
      <c r="J2" s="47"/>
      <c r="K2" s="48"/>
      <c r="L2" s="48"/>
      <c r="M2" s="48"/>
      <c r="N2" s="48"/>
      <c r="O2" s="48"/>
      <c r="P2" s="49"/>
      <c r="Q2" s="49"/>
      <c r="R2" s="49"/>
      <c r="S2" s="49"/>
    </row>
    <row r="3" spans="1:24" s="50" customFormat="1" ht="19.5" thickTop="1" thickBot="1" x14ac:dyDescent="0.3">
      <c r="A3" s="1088" t="s">
        <v>234</v>
      </c>
      <c r="B3" s="1089"/>
      <c r="C3" s="1089"/>
      <c r="D3" s="1089"/>
      <c r="E3" s="1089"/>
      <c r="F3" s="1089"/>
      <c r="G3" s="1089"/>
      <c r="H3" s="1089"/>
      <c r="I3" s="1089"/>
      <c r="J3" s="1089"/>
      <c r="K3" s="1089"/>
      <c r="L3" s="1089"/>
      <c r="M3" s="1089"/>
      <c r="N3" s="1090"/>
      <c r="O3" s="160"/>
      <c r="P3" s="1091" t="s">
        <v>261</v>
      </c>
      <c r="Q3" s="1092"/>
      <c r="R3" s="1092"/>
      <c r="S3" s="1093"/>
      <c r="U3" s="159" t="s">
        <v>250</v>
      </c>
    </row>
    <row r="4" spans="1:24" s="53" customFormat="1" ht="15.5" x14ac:dyDescent="0.25">
      <c r="A4" s="904" t="s">
        <v>231</v>
      </c>
      <c r="B4" s="905"/>
      <c r="C4" s="905"/>
      <c r="D4" s="906" t="str">
        <f>L1</f>
        <v>CASE NUMBER</v>
      </c>
      <c r="E4" s="907"/>
      <c r="F4" s="1100" t="s">
        <v>28</v>
      </c>
      <c r="G4" s="1087"/>
      <c r="H4" s="190"/>
      <c r="I4" s="963" t="s">
        <v>263</v>
      </c>
      <c r="J4" s="1085"/>
      <c r="K4" s="1087" t="s">
        <v>257</v>
      </c>
      <c r="L4" s="1087"/>
      <c r="M4" s="1087"/>
      <c r="N4" s="191">
        <v>390</v>
      </c>
      <c r="O4" s="52"/>
      <c r="P4" s="1094" t="s">
        <v>236</v>
      </c>
      <c r="Q4" s="1095"/>
      <c r="R4" s="1095"/>
      <c r="S4" s="1096"/>
      <c r="U4" s="157" t="s">
        <v>31</v>
      </c>
      <c r="V4" s="161">
        <f>SUMIF(G16:G43,"STATE",L16:L43)</f>
        <v>860.54000000000008</v>
      </c>
    </row>
    <row r="5" spans="1:24" s="53" customFormat="1" ht="15.5" x14ac:dyDescent="0.25">
      <c r="A5" s="882" t="s">
        <v>4</v>
      </c>
      <c r="B5" s="883"/>
      <c r="C5" s="883"/>
      <c r="D5" s="894"/>
      <c r="E5" s="885"/>
      <c r="F5" s="845" t="s">
        <v>244</v>
      </c>
      <c r="G5" s="1086"/>
      <c r="H5" s="167"/>
      <c r="I5" s="884" t="s">
        <v>265</v>
      </c>
      <c r="J5" s="896"/>
      <c r="K5" s="1086" t="s">
        <v>22</v>
      </c>
      <c r="L5" s="1086"/>
      <c r="M5" s="1086"/>
      <c r="N5" s="54"/>
      <c r="O5" s="52"/>
      <c r="P5" s="1097" t="s">
        <v>237</v>
      </c>
      <c r="Q5" s="1098"/>
      <c r="R5" s="1098"/>
      <c r="S5" s="1099"/>
      <c r="U5" s="157" t="s">
        <v>32</v>
      </c>
      <c r="V5" s="161">
        <f>SUMIF(G16:G43,"COUNTY",L16:L43)</f>
        <v>1069.46</v>
      </c>
    </row>
    <row r="6" spans="1:24" s="53" customFormat="1" ht="16" thickBot="1" x14ac:dyDescent="0.3">
      <c r="A6" s="882" t="s">
        <v>12</v>
      </c>
      <c r="B6" s="883"/>
      <c r="C6" s="883"/>
      <c r="D6" s="884"/>
      <c r="E6" s="885"/>
      <c r="F6" s="845" t="s">
        <v>20</v>
      </c>
      <c r="G6" s="1086"/>
      <c r="H6" s="167"/>
      <c r="I6" s="884" t="s">
        <v>266</v>
      </c>
      <c r="J6" s="896"/>
      <c r="K6" s="1077" t="s">
        <v>233</v>
      </c>
      <c r="L6" s="1077"/>
      <c r="M6" s="1077"/>
      <c r="N6" s="194">
        <f>N4+N5*10</f>
        <v>390</v>
      </c>
      <c r="O6" s="52"/>
      <c r="P6" s="1114" t="s">
        <v>238</v>
      </c>
      <c r="Q6" s="1115"/>
      <c r="R6" s="1115"/>
      <c r="S6" s="1116"/>
      <c r="U6" s="157" t="s">
        <v>52</v>
      </c>
      <c r="V6" s="161">
        <f>SUMIF(G16:G43,"CITY",L16:L43)</f>
        <v>0</v>
      </c>
    </row>
    <row r="7" spans="1:24" s="53" customFormat="1" ht="16" thickBot="1" x14ac:dyDescent="0.3">
      <c r="A7" s="882" t="s">
        <v>5</v>
      </c>
      <c r="B7" s="883"/>
      <c r="C7" s="883"/>
      <c r="D7" s="884" t="s">
        <v>264</v>
      </c>
      <c r="E7" s="885"/>
      <c r="F7" s="857" t="s">
        <v>21</v>
      </c>
      <c r="G7" s="1069"/>
      <c r="H7" s="168"/>
      <c r="I7" s="1068"/>
      <c r="J7" s="886"/>
      <c r="K7" s="1103"/>
      <c r="L7" s="1104"/>
      <c r="M7" s="1104"/>
      <c r="N7" s="195"/>
      <c r="O7" s="52"/>
      <c r="P7" s="1117" t="s">
        <v>235</v>
      </c>
      <c r="Q7" s="1118"/>
      <c r="R7" s="1118"/>
      <c r="S7" s="1119"/>
      <c r="U7" s="157" t="s">
        <v>230</v>
      </c>
      <c r="V7" s="161">
        <f>SUMIF(G16:G43,"COURT",L16:L43)</f>
        <v>0</v>
      </c>
    </row>
    <row r="8" spans="1:24" s="53" customFormat="1" ht="15.5" x14ac:dyDescent="0.25">
      <c r="A8" s="1107" t="s">
        <v>54</v>
      </c>
      <c r="B8" s="1086"/>
      <c r="C8" s="1086"/>
      <c r="D8" s="1083">
        <v>1</v>
      </c>
      <c r="E8" s="1084"/>
      <c r="F8" s="878" t="s">
        <v>253</v>
      </c>
      <c r="G8" s="905"/>
      <c r="H8" s="169"/>
      <c r="I8" s="983"/>
      <c r="J8" s="909"/>
      <c r="K8" s="905" t="s">
        <v>257</v>
      </c>
      <c r="L8" s="905"/>
      <c r="M8" s="905"/>
      <c r="N8" s="51">
        <v>0</v>
      </c>
      <c r="O8" s="52"/>
      <c r="P8" s="1131" t="s">
        <v>255</v>
      </c>
      <c r="Q8" s="863"/>
      <c r="R8" s="863"/>
      <c r="S8" s="1132"/>
      <c r="U8" s="176" t="s">
        <v>251</v>
      </c>
      <c r="V8" s="161">
        <f>SUMIF(G16:G43,"Crt OR Cty",L16:L43)</f>
        <v>10</v>
      </c>
    </row>
    <row r="9" spans="1:24" s="53" customFormat="1" ht="18" customHeight="1" thickBot="1" x14ac:dyDescent="0.3">
      <c r="A9" s="1106" t="s">
        <v>53</v>
      </c>
      <c r="B9" s="1077"/>
      <c r="C9" s="1077"/>
      <c r="D9" s="870">
        <f>100%-D8</f>
        <v>0</v>
      </c>
      <c r="E9" s="871"/>
      <c r="F9" s="845" t="s">
        <v>244</v>
      </c>
      <c r="G9" s="1086"/>
      <c r="H9" s="167"/>
      <c r="I9" s="884"/>
      <c r="J9" s="896"/>
      <c r="K9" s="1086" t="s">
        <v>22</v>
      </c>
      <c r="L9" s="1086"/>
      <c r="M9" s="1086"/>
      <c r="N9" s="54"/>
      <c r="P9" s="1133"/>
      <c r="Q9" s="866"/>
      <c r="R9" s="866"/>
      <c r="S9" s="1134"/>
      <c r="U9" s="158" t="s">
        <v>246</v>
      </c>
      <c r="V9" s="134">
        <f>SUM(V4:V8)</f>
        <v>1940</v>
      </c>
      <c r="W9" s="59"/>
    </row>
    <row r="10" spans="1:24" s="53" customFormat="1" ht="16.5" customHeight="1" thickBot="1" x14ac:dyDescent="0.3">
      <c r="A10" s="840" t="s">
        <v>276</v>
      </c>
      <c r="B10" s="841"/>
      <c r="C10" s="841"/>
      <c r="D10" s="1066">
        <f>N6+N10</f>
        <v>390</v>
      </c>
      <c r="E10" s="1067"/>
      <c r="F10" s="845" t="s">
        <v>20</v>
      </c>
      <c r="G10" s="1086"/>
      <c r="H10" s="167"/>
      <c r="I10" s="884"/>
      <c r="J10" s="896"/>
      <c r="K10" s="1077" t="s">
        <v>233</v>
      </c>
      <c r="L10" s="1077"/>
      <c r="M10" s="1077"/>
      <c r="N10" s="194">
        <f>N8+N9*10</f>
        <v>0</v>
      </c>
      <c r="P10" s="1128" t="s">
        <v>239</v>
      </c>
      <c r="Q10" s="1129"/>
      <c r="R10" s="1129"/>
      <c r="S10" s="1130"/>
      <c r="V10" s="162">
        <f>V9-L45</f>
        <v>0</v>
      </c>
      <c r="W10" s="59"/>
    </row>
    <row r="11" spans="1:24" s="53" customFormat="1" ht="16.5" customHeight="1" thickBot="1" x14ac:dyDescent="0.3">
      <c r="A11" s="852" t="s">
        <v>277</v>
      </c>
      <c r="B11" s="853"/>
      <c r="C11" s="853"/>
      <c r="D11" s="854">
        <f>ROUNDUP(D10/10,0)</f>
        <v>39</v>
      </c>
      <c r="E11" s="855"/>
      <c r="F11" s="857" t="s">
        <v>21</v>
      </c>
      <c r="G11" s="1069"/>
      <c r="H11" s="168"/>
      <c r="I11" s="1068"/>
      <c r="J11" s="886"/>
      <c r="K11" s="1075"/>
      <c r="L11" s="1076"/>
      <c r="M11" s="1076"/>
      <c r="N11" s="196"/>
      <c r="P11" s="1108" t="s">
        <v>245</v>
      </c>
      <c r="Q11" s="1109"/>
      <c r="R11" s="1109"/>
      <c r="S11" s="1110"/>
      <c r="W11" s="59"/>
    </row>
    <row r="12" spans="1:24" s="53" customFormat="1" ht="15" customHeight="1" thickBot="1" x14ac:dyDescent="0.3">
      <c r="A12" s="193"/>
      <c r="B12" s="193"/>
      <c r="C12" s="173"/>
      <c r="D12" s="173"/>
      <c r="E12" s="173"/>
      <c r="F12" s="60"/>
      <c r="G12" s="55"/>
      <c r="H12" s="56"/>
      <c r="I12" s="57"/>
      <c r="J12" s="57"/>
      <c r="K12" s="57"/>
      <c r="L12" s="57"/>
      <c r="M12" s="57"/>
      <c r="P12" s="52"/>
      <c r="Q12" s="52"/>
      <c r="R12" s="58"/>
      <c r="S12" s="56"/>
      <c r="W12" s="59"/>
    </row>
    <row r="13" spans="1:24" s="98" customFormat="1" ht="15.75" customHeight="1" thickBot="1" x14ac:dyDescent="0.3">
      <c r="A13" s="174"/>
      <c r="B13" s="174"/>
      <c r="C13" s="174"/>
      <c r="D13" s="174"/>
      <c r="E13" s="174"/>
      <c r="F13" s="96"/>
      <c r="G13" s="97"/>
      <c r="I13" s="1070" t="s">
        <v>228</v>
      </c>
      <c r="J13" s="1071"/>
      <c r="K13" s="1071"/>
      <c r="L13" s="1072"/>
      <c r="M13" s="99"/>
      <c r="N13" s="1111" t="s">
        <v>229</v>
      </c>
      <c r="O13" s="1112"/>
      <c r="P13" s="1113"/>
      <c r="Q13" s="100"/>
      <c r="R13" s="143"/>
      <c r="S13" s="144"/>
      <c r="T13" s="97"/>
      <c r="U13" s="97"/>
      <c r="V13" s="97"/>
      <c r="W13" s="97"/>
      <c r="X13" s="97"/>
    </row>
    <row r="14" spans="1:24" ht="44.25" customHeight="1" thickBot="1" x14ac:dyDescent="0.3">
      <c r="A14" s="101">
        <v>0.02</v>
      </c>
      <c r="B14" s="101" t="s">
        <v>58</v>
      </c>
      <c r="C14" s="827" t="s">
        <v>226</v>
      </c>
      <c r="D14" s="828"/>
      <c r="E14" s="828"/>
      <c r="F14" s="829"/>
      <c r="G14" s="102" t="s">
        <v>249</v>
      </c>
      <c r="H14" s="103" t="s">
        <v>0</v>
      </c>
      <c r="I14" s="170" t="s">
        <v>247</v>
      </c>
      <c r="J14" s="109" t="s">
        <v>252</v>
      </c>
      <c r="K14" s="107" t="s">
        <v>6</v>
      </c>
      <c r="L14" s="108" t="s">
        <v>240</v>
      </c>
      <c r="M14" s="61"/>
      <c r="N14" s="1122" t="s">
        <v>260</v>
      </c>
      <c r="O14" s="1123"/>
      <c r="P14" s="109" t="s">
        <v>248</v>
      </c>
      <c r="Q14" s="110"/>
      <c r="R14" s="1126" t="s">
        <v>256</v>
      </c>
      <c r="S14" s="1124" t="s">
        <v>61</v>
      </c>
    </row>
    <row r="15" spans="1:24" ht="19.5" customHeight="1" thickBot="1" x14ac:dyDescent="0.3">
      <c r="A15" s="104"/>
      <c r="B15" s="104"/>
      <c r="C15" s="830"/>
      <c r="D15" s="831"/>
      <c r="E15" s="831"/>
      <c r="F15" s="832"/>
      <c r="G15" s="105"/>
      <c r="H15" s="105"/>
      <c r="I15" s="106"/>
      <c r="J15" s="146">
        <f>J33/I33</f>
        <v>0.71794871794871795</v>
      </c>
      <c r="K15" s="1101" t="s">
        <v>227</v>
      </c>
      <c r="L15" s="1102"/>
      <c r="M15" s="62"/>
      <c r="N15" s="1120"/>
      <c r="O15" s="1121"/>
      <c r="P15" s="171"/>
      <c r="Q15" s="110"/>
      <c r="R15" s="1127"/>
      <c r="S15" s="1125"/>
    </row>
    <row r="16" spans="1:24" s="68" customFormat="1" ht="15.75" customHeight="1" thickTop="1" x14ac:dyDescent="0.25">
      <c r="A16" s="63" t="s">
        <v>8</v>
      </c>
      <c r="B16" s="1073" t="s">
        <v>241</v>
      </c>
      <c r="C16" s="1105" t="s">
        <v>242</v>
      </c>
      <c r="D16" s="1105"/>
      <c r="E16" s="1105"/>
      <c r="F16" s="1105"/>
      <c r="G16" s="64" t="s">
        <v>32</v>
      </c>
      <c r="H16" s="65" t="s">
        <v>14</v>
      </c>
      <c r="I16" s="139">
        <v>50</v>
      </c>
      <c r="J16" s="145">
        <f>I16</f>
        <v>50</v>
      </c>
      <c r="K16" s="147">
        <f>IF(A16="Y", IF($K$15="BASE-UP",I16*2%, IF($K$15="TOP-DOWN", J16*2%,0)),0)</f>
        <v>1</v>
      </c>
      <c r="L16" s="151">
        <f t="shared" ref="L16:L32" si="0">IF($K$15="BASE-UP", I16-K16, IF($K$15="TOP-DOWN", J16-K16,0))</f>
        <v>49</v>
      </c>
      <c r="M16" s="149"/>
      <c r="N16" s="1135"/>
      <c r="O16" s="1136"/>
      <c r="P16" s="172">
        <v>50</v>
      </c>
      <c r="Q16" s="66"/>
      <c r="R16" s="145">
        <f>P16-L16</f>
        <v>1</v>
      </c>
      <c r="S16" s="94"/>
      <c r="T16" s="114"/>
      <c r="U16" s="114"/>
      <c r="V16" s="114"/>
      <c r="W16" s="114"/>
      <c r="X16" s="114"/>
    </row>
    <row r="17" spans="1:24" s="68" customFormat="1" ht="15.75" customHeight="1" x14ac:dyDescent="0.25">
      <c r="A17" s="63" t="s">
        <v>8</v>
      </c>
      <c r="B17" s="1073"/>
      <c r="C17" s="812" t="s">
        <v>283</v>
      </c>
      <c r="D17" s="812"/>
      <c r="E17" s="812"/>
      <c r="F17" s="812"/>
      <c r="G17" s="70" t="s">
        <v>32</v>
      </c>
      <c r="H17" s="71" t="s">
        <v>14</v>
      </c>
      <c r="I17" s="141">
        <v>50</v>
      </c>
      <c r="J17" s="140">
        <f>I17</f>
        <v>50</v>
      </c>
      <c r="K17" s="147">
        <f t="shared" ref="K17:K42" si="1">IF(A17="Y", IF($K$15="BASE-UP",I17*2%, IF($K$15="TOP-DOWN", J17*2%,0)),0)</f>
        <v>1</v>
      </c>
      <c r="L17" s="152">
        <f t="shared" si="0"/>
        <v>49</v>
      </c>
      <c r="M17" s="149"/>
      <c r="N17" s="804"/>
      <c r="O17" s="1078"/>
      <c r="P17" s="72"/>
      <c r="Q17" s="66"/>
      <c r="R17" s="140">
        <f t="shared" ref="R17:R43" si="2">P17-L17</f>
        <v>-49</v>
      </c>
      <c r="S17" s="67"/>
      <c r="T17" s="114"/>
      <c r="U17" s="114"/>
      <c r="V17" s="114"/>
      <c r="W17" s="114"/>
      <c r="X17" s="114"/>
    </row>
    <row r="18" spans="1:24" s="68" customFormat="1" ht="15.75" customHeight="1" x14ac:dyDescent="0.25">
      <c r="A18" s="63" t="s">
        <v>8</v>
      </c>
      <c r="B18" s="1073"/>
      <c r="C18" s="812" t="s">
        <v>243</v>
      </c>
      <c r="D18" s="812"/>
      <c r="E18" s="812"/>
      <c r="F18" s="812"/>
      <c r="G18" s="70" t="s">
        <v>31</v>
      </c>
      <c r="H18" s="71" t="s">
        <v>51</v>
      </c>
      <c r="I18" s="141">
        <v>20</v>
      </c>
      <c r="J18" s="140">
        <f>I18</f>
        <v>20</v>
      </c>
      <c r="K18" s="147">
        <f t="shared" si="1"/>
        <v>0.4</v>
      </c>
      <c r="L18" s="152">
        <f t="shared" si="0"/>
        <v>19.600000000000001</v>
      </c>
      <c r="M18" s="149"/>
      <c r="N18" s="804"/>
      <c r="O18" s="1078"/>
      <c r="P18" s="72"/>
      <c r="Q18" s="66"/>
      <c r="R18" s="140">
        <f t="shared" si="2"/>
        <v>-19.600000000000001</v>
      </c>
      <c r="S18" s="67"/>
      <c r="T18" s="114"/>
      <c r="U18" s="114"/>
      <c r="V18" s="114"/>
      <c r="W18" s="114"/>
      <c r="X18" s="114"/>
    </row>
    <row r="19" spans="1:24" s="68" customFormat="1" ht="15.75" customHeight="1" x14ac:dyDescent="0.25">
      <c r="A19" s="63" t="s">
        <v>8</v>
      </c>
      <c r="B19" s="1073"/>
      <c r="C19" s="812" t="s">
        <v>212</v>
      </c>
      <c r="D19" s="812"/>
      <c r="E19" s="812"/>
      <c r="F19" s="812"/>
      <c r="G19" s="70" t="s">
        <v>32</v>
      </c>
      <c r="H19" s="71" t="s">
        <v>27</v>
      </c>
      <c r="I19" s="140">
        <f>(D10-SUM(I16:I18))*D8</f>
        <v>270</v>
      </c>
      <c r="J19" s="140">
        <f>((SUM(I16:I20)*J15)-SUM(J16:J18))*D8</f>
        <v>160</v>
      </c>
      <c r="K19" s="147">
        <f t="shared" si="1"/>
        <v>5.4</v>
      </c>
      <c r="L19" s="152">
        <f t="shared" si="0"/>
        <v>264.60000000000002</v>
      </c>
      <c r="M19" s="149"/>
      <c r="N19" s="804"/>
      <c r="O19" s="1078"/>
      <c r="P19" s="72"/>
      <c r="Q19" s="66"/>
      <c r="R19" s="140">
        <f t="shared" si="2"/>
        <v>-264.60000000000002</v>
      </c>
      <c r="S19" s="67"/>
      <c r="T19" s="114"/>
      <c r="U19" s="114"/>
      <c r="V19" s="114"/>
      <c r="W19" s="114"/>
      <c r="X19" s="114"/>
    </row>
    <row r="20" spans="1:24" s="68" customFormat="1" ht="15.75" customHeight="1" x14ac:dyDescent="0.25">
      <c r="A20" s="63" t="s">
        <v>8</v>
      </c>
      <c r="B20" s="1074"/>
      <c r="C20" s="812" t="s">
        <v>213</v>
      </c>
      <c r="D20" s="812"/>
      <c r="E20" s="812"/>
      <c r="F20" s="812"/>
      <c r="G20" s="70" t="s">
        <v>52</v>
      </c>
      <c r="H20" s="71" t="s">
        <v>25</v>
      </c>
      <c r="I20" s="140">
        <f>(D10-SUM(I16:I18))*D9</f>
        <v>0</v>
      </c>
      <c r="J20" s="140">
        <f>((SUM(I16:I20)*J15)-SUM(J16:J18))*D9</f>
        <v>0</v>
      </c>
      <c r="K20" s="147">
        <f t="shared" si="1"/>
        <v>0</v>
      </c>
      <c r="L20" s="152">
        <f t="shared" si="0"/>
        <v>0</v>
      </c>
      <c r="M20" s="149"/>
      <c r="N20" s="804"/>
      <c r="O20" s="1078"/>
      <c r="P20" s="72"/>
      <c r="Q20" s="66"/>
      <c r="R20" s="140">
        <f t="shared" si="2"/>
        <v>0</v>
      </c>
      <c r="S20" s="67"/>
      <c r="T20" s="114"/>
      <c r="U20" s="114"/>
      <c r="V20" s="114"/>
      <c r="W20" s="114"/>
      <c r="X20" s="114"/>
    </row>
    <row r="21" spans="1:24" s="68" customFormat="1" ht="15.75" customHeight="1" x14ac:dyDescent="0.25">
      <c r="A21" s="63" t="s">
        <v>8</v>
      </c>
      <c r="B21" s="69">
        <v>7</v>
      </c>
      <c r="C21" s="812" t="s">
        <v>214</v>
      </c>
      <c r="D21" s="812"/>
      <c r="E21" s="812"/>
      <c r="F21" s="812"/>
      <c r="G21" s="70" t="s">
        <v>31</v>
      </c>
      <c r="H21" s="71" t="s">
        <v>26</v>
      </c>
      <c r="I21" s="140">
        <f>$D$11*B21</f>
        <v>273</v>
      </c>
      <c r="J21" s="140">
        <f>$J$15*I21</f>
        <v>196</v>
      </c>
      <c r="K21" s="147">
        <f t="shared" si="1"/>
        <v>5.46</v>
      </c>
      <c r="L21" s="152">
        <f t="shared" si="0"/>
        <v>267.54000000000002</v>
      </c>
      <c r="M21" s="149"/>
      <c r="N21" s="804"/>
      <c r="O21" s="1078"/>
      <c r="P21" s="74"/>
      <c r="Q21" s="75"/>
      <c r="R21" s="140">
        <f t="shared" si="2"/>
        <v>-267.54000000000002</v>
      </c>
      <c r="S21" s="67"/>
      <c r="T21" s="114"/>
      <c r="U21" s="114"/>
      <c r="V21" s="114"/>
      <c r="W21" s="114"/>
      <c r="X21" s="114"/>
    </row>
    <row r="22" spans="1:24" s="68" customFormat="1" ht="15.75" customHeight="1" x14ac:dyDescent="0.25">
      <c r="A22" s="63" t="s">
        <v>8</v>
      </c>
      <c r="B22" s="69">
        <v>3</v>
      </c>
      <c r="C22" s="804" t="s">
        <v>215</v>
      </c>
      <c r="D22" s="805"/>
      <c r="E22" s="805"/>
      <c r="F22" s="945"/>
      <c r="G22" s="70" t="s">
        <v>32</v>
      </c>
      <c r="H22" s="71" t="s">
        <v>27</v>
      </c>
      <c r="I22" s="140">
        <f t="shared" ref="I22:I31" si="3">$D$11*B22</f>
        <v>117</v>
      </c>
      <c r="J22" s="140">
        <f t="shared" ref="J22:J32" si="4">$J$15*I22</f>
        <v>84</v>
      </c>
      <c r="K22" s="147">
        <f t="shared" si="1"/>
        <v>2.34</v>
      </c>
      <c r="L22" s="152">
        <f t="shared" si="0"/>
        <v>114.66</v>
      </c>
      <c r="M22" s="149"/>
      <c r="N22" s="804"/>
      <c r="O22" s="1078"/>
      <c r="P22" s="72"/>
      <c r="Q22" s="66"/>
      <c r="R22" s="140">
        <f t="shared" si="2"/>
        <v>-114.66</v>
      </c>
      <c r="S22" s="67"/>
      <c r="T22" s="114"/>
      <c r="U22" s="114"/>
      <c r="V22" s="114"/>
      <c r="W22" s="114"/>
      <c r="X22" s="114"/>
    </row>
    <row r="23" spans="1:24" s="68" customFormat="1" ht="15.75" customHeight="1" x14ac:dyDescent="0.25">
      <c r="A23" s="63" t="s">
        <v>8</v>
      </c>
      <c r="B23" s="69">
        <v>1</v>
      </c>
      <c r="C23" s="804" t="s">
        <v>216</v>
      </c>
      <c r="D23" s="805"/>
      <c r="E23" s="805"/>
      <c r="F23" s="945"/>
      <c r="G23" s="70" t="s">
        <v>32</v>
      </c>
      <c r="H23" s="71" t="s">
        <v>55</v>
      </c>
      <c r="I23" s="140">
        <f t="shared" si="3"/>
        <v>39</v>
      </c>
      <c r="J23" s="140">
        <f t="shared" si="4"/>
        <v>28</v>
      </c>
      <c r="K23" s="147">
        <f t="shared" si="1"/>
        <v>0.78</v>
      </c>
      <c r="L23" s="152">
        <f t="shared" si="0"/>
        <v>38.22</v>
      </c>
      <c r="M23" s="149"/>
      <c r="N23" s="804"/>
      <c r="O23" s="1078"/>
      <c r="P23" s="72"/>
      <c r="Q23" s="66"/>
      <c r="R23" s="140">
        <f t="shared" si="2"/>
        <v>-38.22</v>
      </c>
      <c r="S23" s="67"/>
      <c r="T23" s="114"/>
      <c r="U23" s="114"/>
      <c r="V23" s="114"/>
      <c r="W23" s="114"/>
      <c r="X23" s="114"/>
    </row>
    <row r="24" spans="1:24" s="68" customFormat="1" ht="15.75" customHeight="1" x14ac:dyDescent="0.25">
      <c r="A24" s="63" t="s">
        <v>8</v>
      </c>
      <c r="B24" s="69">
        <v>3</v>
      </c>
      <c r="C24" s="804" t="s">
        <v>278</v>
      </c>
      <c r="D24" s="805"/>
      <c r="E24" s="805"/>
      <c r="F24" s="945"/>
      <c r="G24" s="70" t="s">
        <v>31</v>
      </c>
      <c r="H24" s="71" t="s">
        <v>72</v>
      </c>
      <c r="I24" s="140">
        <f t="shared" si="3"/>
        <v>117</v>
      </c>
      <c r="J24" s="140">
        <f t="shared" si="4"/>
        <v>84</v>
      </c>
      <c r="K24" s="147">
        <f t="shared" si="1"/>
        <v>2.34</v>
      </c>
      <c r="L24" s="152">
        <f t="shared" si="0"/>
        <v>114.66</v>
      </c>
      <c r="M24" s="149"/>
      <c r="N24" s="804"/>
      <c r="O24" s="1078"/>
      <c r="P24" s="72"/>
      <c r="Q24" s="66"/>
      <c r="R24" s="140">
        <f t="shared" si="2"/>
        <v>-114.66</v>
      </c>
      <c r="S24" s="67"/>
      <c r="T24" s="114"/>
      <c r="U24" s="114"/>
      <c r="V24" s="114"/>
      <c r="W24" s="114"/>
      <c r="X24" s="114"/>
    </row>
    <row r="25" spans="1:24" s="68" customFormat="1" ht="15.75" customHeight="1" x14ac:dyDescent="0.25">
      <c r="A25" s="63" t="s">
        <v>8</v>
      </c>
      <c r="B25" s="163">
        <v>2</v>
      </c>
      <c r="C25" s="812" t="s">
        <v>217</v>
      </c>
      <c r="D25" s="812"/>
      <c r="E25" s="995" t="str">
        <f>IF(SUM(B25:B28)=7,"GC 76000 PA ($7 for every 10) breakdown per local board of supervisor resolution (BOS).","ERROR! GC 76000 PA total is not $7. Check Court's board resolution.")</f>
        <v>GC 76000 PA ($7 for every 10) breakdown per local board of supervisor resolution (BOS).</v>
      </c>
      <c r="F25" s="996"/>
      <c r="G25" s="70" t="s">
        <v>32</v>
      </c>
      <c r="H25" s="71" t="s">
        <v>64</v>
      </c>
      <c r="I25" s="140">
        <f t="shared" si="3"/>
        <v>78</v>
      </c>
      <c r="J25" s="140">
        <f t="shared" si="4"/>
        <v>56</v>
      </c>
      <c r="K25" s="147">
        <f t="shared" si="1"/>
        <v>1.56</v>
      </c>
      <c r="L25" s="152">
        <f t="shared" si="0"/>
        <v>76.44</v>
      </c>
      <c r="M25" s="149"/>
      <c r="N25" s="804"/>
      <c r="O25" s="1078"/>
      <c r="P25" s="72"/>
      <c r="Q25" s="66"/>
      <c r="R25" s="140">
        <f t="shared" si="2"/>
        <v>-76.44</v>
      </c>
      <c r="S25" s="67"/>
      <c r="T25" s="114"/>
      <c r="U25" s="114"/>
      <c r="V25" s="114"/>
      <c r="W25" s="114"/>
      <c r="X25" s="114"/>
    </row>
    <row r="26" spans="1:24" s="68" customFormat="1" ht="15.75" customHeight="1" x14ac:dyDescent="0.25">
      <c r="A26" s="63" t="s">
        <v>8</v>
      </c>
      <c r="B26" s="163">
        <v>3</v>
      </c>
      <c r="C26" s="812" t="s">
        <v>218</v>
      </c>
      <c r="D26" s="812"/>
      <c r="E26" s="997"/>
      <c r="F26" s="998"/>
      <c r="G26" s="70" t="s">
        <v>32</v>
      </c>
      <c r="H26" s="71" t="s">
        <v>35</v>
      </c>
      <c r="I26" s="140">
        <f t="shared" si="3"/>
        <v>117</v>
      </c>
      <c r="J26" s="140">
        <f t="shared" si="4"/>
        <v>84</v>
      </c>
      <c r="K26" s="147">
        <f t="shared" si="1"/>
        <v>2.34</v>
      </c>
      <c r="L26" s="152">
        <f t="shared" si="0"/>
        <v>114.66</v>
      </c>
      <c r="M26" s="149"/>
      <c r="N26" s="804"/>
      <c r="O26" s="1078"/>
      <c r="P26" s="72"/>
      <c r="Q26" s="66"/>
      <c r="R26" s="140">
        <f t="shared" si="2"/>
        <v>-114.66</v>
      </c>
      <c r="S26" s="67"/>
      <c r="T26" s="114"/>
      <c r="U26" s="114"/>
      <c r="V26" s="114"/>
      <c r="W26" s="114"/>
      <c r="X26" s="114"/>
    </row>
    <row r="27" spans="1:24" s="68" customFormat="1" ht="15.75" customHeight="1" x14ac:dyDescent="0.25">
      <c r="A27" s="63" t="s">
        <v>8</v>
      </c>
      <c r="B27" s="163">
        <v>2</v>
      </c>
      <c r="C27" s="812" t="s">
        <v>219</v>
      </c>
      <c r="D27" s="812"/>
      <c r="E27" s="997"/>
      <c r="F27" s="998"/>
      <c r="G27" s="70" t="s">
        <v>32</v>
      </c>
      <c r="H27" s="71" t="s">
        <v>65</v>
      </c>
      <c r="I27" s="140">
        <f t="shared" si="3"/>
        <v>78</v>
      </c>
      <c r="J27" s="140">
        <f t="shared" si="4"/>
        <v>56</v>
      </c>
      <c r="K27" s="147">
        <f t="shared" si="1"/>
        <v>1.56</v>
      </c>
      <c r="L27" s="152">
        <f t="shared" si="0"/>
        <v>76.44</v>
      </c>
      <c r="M27" s="149"/>
      <c r="N27" s="804"/>
      <c r="O27" s="1078"/>
      <c r="P27" s="72"/>
      <c r="Q27" s="66"/>
      <c r="R27" s="140">
        <f t="shared" si="2"/>
        <v>-76.44</v>
      </c>
      <c r="S27" s="67"/>
      <c r="T27" s="114"/>
      <c r="U27" s="114"/>
      <c r="V27" s="114"/>
      <c r="W27" s="114"/>
      <c r="X27" s="114"/>
    </row>
    <row r="28" spans="1:24" s="68" customFormat="1" ht="15.75" customHeight="1" x14ac:dyDescent="0.25">
      <c r="A28" s="63" t="s">
        <v>8</v>
      </c>
      <c r="B28" s="163"/>
      <c r="C28" s="812" t="s">
        <v>254</v>
      </c>
      <c r="D28" s="812"/>
      <c r="E28" s="999"/>
      <c r="F28" s="1000"/>
      <c r="G28" s="70" t="s">
        <v>32</v>
      </c>
      <c r="H28" s="71"/>
      <c r="I28" s="140">
        <f t="shared" si="3"/>
        <v>0</v>
      </c>
      <c r="J28" s="140">
        <f t="shared" si="4"/>
        <v>0</v>
      </c>
      <c r="K28" s="147">
        <f t="shared" si="1"/>
        <v>0</v>
      </c>
      <c r="L28" s="152">
        <f t="shared" si="0"/>
        <v>0</v>
      </c>
      <c r="M28" s="149"/>
      <c r="N28" s="804"/>
      <c r="O28" s="1078"/>
      <c r="P28" s="72"/>
      <c r="Q28" s="66"/>
      <c r="R28" s="140">
        <f t="shared" si="2"/>
        <v>0</v>
      </c>
      <c r="S28" s="67"/>
      <c r="T28" s="114"/>
      <c r="U28" s="114"/>
      <c r="V28" s="114"/>
      <c r="W28" s="114"/>
      <c r="X28" s="114"/>
    </row>
    <row r="29" spans="1:24" s="68" customFormat="1" ht="15.75" customHeight="1" x14ac:dyDescent="0.25">
      <c r="A29" s="63" t="s">
        <v>8</v>
      </c>
      <c r="B29" s="73">
        <v>2</v>
      </c>
      <c r="C29" s="804" t="s">
        <v>286</v>
      </c>
      <c r="D29" s="805"/>
      <c r="E29" s="805"/>
      <c r="F29" s="945"/>
      <c r="G29" s="70" t="s">
        <v>32</v>
      </c>
      <c r="H29" s="71" t="s">
        <v>36</v>
      </c>
      <c r="I29" s="140">
        <f t="shared" si="3"/>
        <v>78</v>
      </c>
      <c r="J29" s="140">
        <f t="shared" si="4"/>
        <v>56</v>
      </c>
      <c r="K29" s="147">
        <f t="shared" si="1"/>
        <v>1.56</v>
      </c>
      <c r="L29" s="152">
        <f t="shared" si="0"/>
        <v>76.44</v>
      </c>
      <c r="M29" s="149"/>
      <c r="N29" s="804"/>
      <c r="O29" s="1078"/>
      <c r="P29" s="72"/>
      <c r="Q29" s="66"/>
      <c r="R29" s="140">
        <f>P29-L29</f>
        <v>-76.44</v>
      </c>
      <c r="S29" s="67"/>
      <c r="T29" s="114"/>
      <c r="U29" s="114"/>
      <c r="V29" s="114"/>
      <c r="W29" s="114"/>
      <c r="X29" s="114"/>
    </row>
    <row r="30" spans="1:24" s="68" customFormat="1" ht="15.75" customHeight="1" x14ac:dyDescent="0.25">
      <c r="A30" s="63" t="s">
        <v>8</v>
      </c>
      <c r="B30" s="164">
        <f>5-B25</f>
        <v>3</v>
      </c>
      <c r="C30" s="804" t="s">
        <v>280</v>
      </c>
      <c r="D30" s="805"/>
      <c r="E30" s="805"/>
      <c r="F30" s="1008" t="s">
        <v>281</v>
      </c>
      <c r="G30" s="70" t="s">
        <v>31</v>
      </c>
      <c r="H30" s="71" t="s">
        <v>37</v>
      </c>
      <c r="I30" s="140">
        <f t="shared" si="3"/>
        <v>117</v>
      </c>
      <c r="J30" s="140">
        <f t="shared" si="4"/>
        <v>84</v>
      </c>
      <c r="K30" s="147">
        <f t="shared" si="1"/>
        <v>2.34</v>
      </c>
      <c r="L30" s="152">
        <f t="shared" si="0"/>
        <v>114.66</v>
      </c>
      <c r="M30" s="149"/>
      <c r="N30" s="804"/>
      <c r="O30" s="1078"/>
      <c r="P30" s="72"/>
      <c r="Q30" s="66"/>
      <c r="R30" s="140">
        <f t="shared" si="2"/>
        <v>-114.66</v>
      </c>
      <c r="S30" s="67"/>
      <c r="T30" s="114"/>
      <c r="U30" s="114"/>
      <c r="V30" s="114"/>
      <c r="W30" s="114"/>
      <c r="X30" s="114"/>
    </row>
    <row r="31" spans="1:24" s="68" customFormat="1" ht="15.75" customHeight="1" x14ac:dyDescent="0.25">
      <c r="A31" s="63" t="s">
        <v>8</v>
      </c>
      <c r="B31" s="164">
        <f>B25</f>
        <v>2</v>
      </c>
      <c r="C31" s="804" t="s">
        <v>279</v>
      </c>
      <c r="D31" s="805"/>
      <c r="E31" s="805"/>
      <c r="F31" s="1009"/>
      <c r="G31" s="70" t="s">
        <v>31</v>
      </c>
      <c r="H31" s="71" t="s">
        <v>197</v>
      </c>
      <c r="I31" s="140">
        <f t="shared" si="3"/>
        <v>78</v>
      </c>
      <c r="J31" s="140">
        <f t="shared" si="4"/>
        <v>56</v>
      </c>
      <c r="K31" s="147">
        <f t="shared" si="1"/>
        <v>1.56</v>
      </c>
      <c r="L31" s="152">
        <f t="shared" si="0"/>
        <v>76.44</v>
      </c>
      <c r="M31" s="149"/>
      <c r="N31" s="804"/>
      <c r="O31" s="1078"/>
      <c r="P31" s="72"/>
      <c r="Q31" s="66"/>
      <c r="R31" s="140">
        <f t="shared" si="2"/>
        <v>-76.44</v>
      </c>
      <c r="S31" s="67"/>
      <c r="T31" s="114"/>
      <c r="U31" s="114"/>
      <c r="V31" s="114"/>
      <c r="W31" s="114"/>
      <c r="X31" s="114"/>
    </row>
    <row r="32" spans="1:24" s="68" customFormat="1" ht="15.75" customHeight="1" x14ac:dyDescent="0.25">
      <c r="A32" s="63"/>
      <c r="B32" s="69"/>
      <c r="C32" s="804" t="s">
        <v>220</v>
      </c>
      <c r="D32" s="805"/>
      <c r="E32" s="805"/>
      <c r="F32" s="945"/>
      <c r="G32" s="70" t="s">
        <v>31</v>
      </c>
      <c r="H32" s="71" t="s">
        <v>10</v>
      </c>
      <c r="I32" s="140">
        <f>$D$10*20%</f>
        <v>78</v>
      </c>
      <c r="J32" s="140">
        <f t="shared" si="4"/>
        <v>56</v>
      </c>
      <c r="K32" s="147"/>
      <c r="L32" s="152">
        <f t="shared" si="0"/>
        <v>78</v>
      </c>
      <c r="M32" s="149"/>
      <c r="N32" s="804"/>
      <c r="O32" s="1078"/>
      <c r="P32" s="72"/>
      <c r="Q32" s="66"/>
      <c r="R32" s="140">
        <f t="shared" si="2"/>
        <v>-78</v>
      </c>
      <c r="S32" s="67"/>
      <c r="T32" s="114"/>
      <c r="U32" s="114"/>
      <c r="V32" s="114"/>
      <c r="W32" s="114"/>
      <c r="X32" s="114"/>
    </row>
    <row r="33" spans="1:24" s="80" customFormat="1" ht="15.75" customHeight="1" x14ac:dyDescent="0.25">
      <c r="A33" s="63"/>
      <c r="B33" s="76"/>
      <c r="C33" s="810" t="s">
        <v>221</v>
      </c>
      <c r="D33" s="811"/>
      <c r="E33" s="811"/>
      <c r="F33" s="946"/>
      <c r="G33" s="77"/>
      <c r="H33" s="78"/>
      <c r="I33" s="142">
        <f>SUM(I16:I32)</f>
        <v>1560</v>
      </c>
      <c r="J33" s="142">
        <f>J45-SUM(J34:J42)</f>
        <v>1120</v>
      </c>
      <c r="K33" s="147"/>
      <c r="L33" s="153">
        <f>SUM(L16:L32)</f>
        <v>1530.3600000000004</v>
      </c>
      <c r="M33" s="150"/>
      <c r="N33" s="804"/>
      <c r="O33" s="1078"/>
      <c r="P33" s="166">
        <f>SUM(P16:P32)</f>
        <v>50</v>
      </c>
      <c r="Q33" s="111"/>
      <c r="R33" s="142">
        <f t="shared" si="2"/>
        <v>-1480.3600000000004</v>
      </c>
      <c r="S33" s="79"/>
      <c r="T33" s="129"/>
      <c r="U33" s="129"/>
      <c r="V33" s="129"/>
      <c r="W33" s="129"/>
      <c r="X33" s="129"/>
    </row>
    <row r="34" spans="1:24" s="68" customFormat="1" ht="15.75" customHeight="1" x14ac:dyDescent="0.25">
      <c r="A34" s="63" t="s">
        <v>7</v>
      </c>
      <c r="B34" s="69"/>
      <c r="C34" s="804" t="s">
        <v>287</v>
      </c>
      <c r="D34" s="805"/>
      <c r="E34" s="805"/>
      <c r="F34" s="945"/>
      <c r="G34" s="70" t="s">
        <v>31</v>
      </c>
      <c r="H34" s="81" t="s">
        <v>39</v>
      </c>
      <c r="I34" s="186">
        <v>30</v>
      </c>
      <c r="J34" s="140">
        <f>I34</f>
        <v>30</v>
      </c>
      <c r="K34" s="147">
        <f t="shared" si="1"/>
        <v>0</v>
      </c>
      <c r="L34" s="152">
        <f t="shared" ref="L34:L42" si="5">IF($K$15="BASE-UP", I34-K34, IF($K$15="TOP-DOWN", J34-K34,0))</f>
        <v>30</v>
      </c>
      <c r="M34" s="149"/>
      <c r="N34" s="804"/>
      <c r="O34" s="1078"/>
      <c r="P34" s="72"/>
      <c r="Q34" s="66"/>
      <c r="R34" s="140">
        <f t="shared" si="2"/>
        <v>-30</v>
      </c>
      <c r="S34" s="67"/>
      <c r="T34" s="114"/>
      <c r="U34" s="114"/>
      <c r="V34" s="114"/>
      <c r="W34" s="114"/>
      <c r="X34" s="114"/>
    </row>
    <row r="35" spans="1:24" s="68" customFormat="1" ht="15.75" customHeight="1" x14ac:dyDescent="0.25">
      <c r="A35" s="63" t="s">
        <v>7</v>
      </c>
      <c r="B35" s="69"/>
      <c r="C35" s="806" t="s">
        <v>259</v>
      </c>
      <c r="D35" s="807"/>
      <c r="E35" s="807"/>
      <c r="F35" s="944"/>
      <c r="G35" s="84" t="s">
        <v>31</v>
      </c>
      <c r="H35" s="82" t="s">
        <v>197</v>
      </c>
      <c r="I35" s="186">
        <v>30</v>
      </c>
      <c r="J35" s="140">
        <f t="shared" ref="J35:J42" si="6">I35</f>
        <v>30</v>
      </c>
      <c r="K35" s="147">
        <f t="shared" si="1"/>
        <v>0</v>
      </c>
      <c r="L35" s="152">
        <f t="shared" si="5"/>
        <v>30</v>
      </c>
      <c r="M35" s="149"/>
      <c r="N35" s="804"/>
      <c r="O35" s="1078"/>
      <c r="P35" s="72"/>
      <c r="Q35" s="66"/>
      <c r="R35" s="140">
        <f t="shared" si="2"/>
        <v>-30</v>
      </c>
      <c r="S35" s="67"/>
      <c r="T35" s="114"/>
      <c r="U35" s="114"/>
      <c r="V35" s="114"/>
      <c r="W35" s="114"/>
      <c r="X35" s="114"/>
    </row>
    <row r="36" spans="1:24" s="68" customFormat="1" ht="15.75" customHeight="1" x14ac:dyDescent="0.25">
      <c r="A36" s="63" t="s">
        <v>7</v>
      </c>
      <c r="B36" s="83"/>
      <c r="C36" s="806" t="s">
        <v>232</v>
      </c>
      <c r="D36" s="807"/>
      <c r="E36" s="807"/>
      <c r="F36" s="944"/>
      <c r="G36" s="84" t="s">
        <v>251</v>
      </c>
      <c r="H36" s="82" t="s">
        <v>24</v>
      </c>
      <c r="I36" s="186">
        <v>10</v>
      </c>
      <c r="J36" s="140">
        <f t="shared" si="6"/>
        <v>10</v>
      </c>
      <c r="K36" s="147">
        <f t="shared" si="1"/>
        <v>0</v>
      </c>
      <c r="L36" s="152">
        <f t="shared" si="5"/>
        <v>10</v>
      </c>
      <c r="M36" s="149"/>
      <c r="N36" s="804"/>
      <c r="O36" s="1078"/>
      <c r="P36" s="72"/>
      <c r="Q36" s="66"/>
      <c r="R36" s="140">
        <f t="shared" si="2"/>
        <v>-10</v>
      </c>
      <c r="S36" s="71"/>
      <c r="T36" s="114"/>
      <c r="U36" s="114"/>
      <c r="V36" s="114"/>
      <c r="W36" s="114"/>
      <c r="X36" s="114"/>
    </row>
    <row r="37" spans="1:24" s="68" customFormat="1" ht="15.75" customHeight="1" x14ac:dyDescent="0.25">
      <c r="A37" s="63" t="s">
        <v>7</v>
      </c>
      <c r="B37" s="83"/>
      <c r="C37" s="806" t="s">
        <v>222</v>
      </c>
      <c r="D37" s="807"/>
      <c r="E37" s="807"/>
      <c r="F37" s="944"/>
      <c r="G37" s="84" t="s">
        <v>32</v>
      </c>
      <c r="H37" s="82" t="s">
        <v>15</v>
      </c>
      <c r="I37" s="186">
        <v>50</v>
      </c>
      <c r="J37" s="140">
        <f t="shared" si="6"/>
        <v>50</v>
      </c>
      <c r="K37" s="147">
        <f t="shared" si="1"/>
        <v>0</v>
      </c>
      <c r="L37" s="152">
        <f t="shared" si="5"/>
        <v>50</v>
      </c>
      <c r="M37" s="149"/>
      <c r="N37" s="804"/>
      <c r="O37" s="1078"/>
      <c r="P37" s="72"/>
      <c r="Q37" s="66"/>
      <c r="R37" s="140">
        <f t="shared" si="2"/>
        <v>-50</v>
      </c>
      <c r="S37" s="71"/>
      <c r="T37" s="114"/>
      <c r="U37" s="114"/>
      <c r="V37" s="114"/>
      <c r="W37" s="114"/>
      <c r="X37" s="114"/>
    </row>
    <row r="38" spans="1:24" s="68" customFormat="1" ht="15.75" customHeight="1" x14ac:dyDescent="0.25">
      <c r="A38" s="63" t="s">
        <v>7</v>
      </c>
      <c r="B38" s="83"/>
      <c r="C38" s="806" t="s">
        <v>284</v>
      </c>
      <c r="D38" s="807"/>
      <c r="E38" s="807"/>
      <c r="F38" s="944"/>
      <c r="G38" s="84" t="s">
        <v>32</v>
      </c>
      <c r="H38" s="82" t="s">
        <v>27</v>
      </c>
      <c r="I38" s="186">
        <v>150</v>
      </c>
      <c r="J38" s="140">
        <f t="shared" si="6"/>
        <v>150</v>
      </c>
      <c r="K38" s="147">
        <f t="shared" si="1"/>
        <v>0</v>
      </c>
      <c r="L38" s="152">
        <f t="shared" si="5"/>
        <v>150</v>
      </c>
      <c r="M38" s="149"/>
      <c r="N38" s="804"/>
      <c r="O38" s="1078"/>
      <c r="P38" s="72"/>
      <c r="Q38" s="66"/>
      <c r="R38" s="140">
        <f t="shared" si="2"/>
        <v>-150</v>
      </c>
      <c r="S38" s="71"/>
      <c r="T38" s="114"/>
      <c r="U38" s="114"/>
      <c r="V38" s="114"/>
      <c r="W38" s="114"/>
      <c r="X38" s="114"/>
    </row>
    <row r="39" spans="1:24" s="68" customFormat="1" ht="15.75" customHeight="1" x14ac:dyDescent="0.25">
      <c r="A39" s="63" t="s">
        <v>8</v>
      </c>
      <c r="B39" s="83"/>
      <c r="C39" s="806" t="s">
        <v>223</v>
      </c>
      <c r="D39" s="807"/>
      <c r="E39" s="807"/>
      <c r="F39" s="944"/>
      <c r="G39" s="84" t="s">
        <v>31</v>
      </c>
      <c r="H39" s="82" t="s">
        <v>13</v>
      </c>
      <c r="I39" s="186">
        <v>100</v>
      </c>
      <c r="J39" s="140">
        <f t="shared" si="6"/>
        <v>100</v>
      </c>
      <c r="K39" s="147">
        <f t="shared" si="1"/>
        <v>2</v>
      </c>
      <c r="L39" s="152">
        <f t="shared" si="5"/>
        <v>98</v>
      </c>
      <c r="M39" s="149"/>
      <c r="N39" s="804"/>
      <c r="O39" s="1078"/>
      <c r="P39" s="72"/>
      <c r="Q39" s="66"/>
      <c r="R39" s="140">
        <f t="shared" si="2"/>
        <v>-98</v>
      </c>
      <c r="S39" s="71"/>
      <c r="T39" s="114"/>
      <c r="U39" s="114"/>
      <c r="V39" s="114"/>
      <c r="W39" s="114"/>
      <c r="X39" s="114"/>
    </row>
    <row r="40" spans="1:24" s="68" customFormat="1" ht="15.75" customHeight="1" x14ac:dyDescent="0.25">
      <c r="A40" s="63" t="s">
        <v>7</v>
      </c>
      <c r="B40" s="83"/>
      <c r="C40" s="806" t="s">
        <v>262</v>
      </c>
      <c r="D40" s="807"/>
      <c r="E40" s="807"/>
      <c r="F40" s="944"/>
      <c r="G40" s="84" t="s">
        <v>32</v>
      </c>
      <c r="H40" s="82" t="s">
        <v>27</v>
      </c>
      <c r="I40" s="186">
        <v>10</v>
      </c>
      <c r="J40" s="140">
        <f t="shared" si="6"/>
        <v>10</v>
      </c>
      <c r="K40" s="147">
        <f t="shared" si="1"/>
        <v>0</v>
      </c>
      <c r="L40" s="152">
        <f t="shared" si="5"/>
        <v>10</v>
      </c>
      <c r="M40" s="149"/>
      <c r="N40" s="804"/>
      <c r="O40" s="1078"/>
      <c r="P40" s="72"/>
      <c r="Q40" s="66"/>
      <c r="R40" s="140">
        <f t="shared" si="2"/>
        <v>-10</v>
      </c>
      <c r="S40" s="71"/>
      <c r="T40" s="114"/>
      <c r="U40" s="114"/>
      <c r="V40" s="114"/>
      <c r="W40" s="114"/>
      <c r="X40" s="114"/>
    </row>
    <row r="41" spans="1:24" s="68" customFormat="1" ht="15.75" customHeight="1" x14ac:dyDescent="0.25">
      <c r="A41" s="63" t="s">
        <v>7</v>
      </c>
      <c r="B41" s="83"/>
      <c r="C41" s="806" t="s">
        <v>285</v>
      </c>
      <c r="D41" s="807"/>
      <c r="E41" s="807"/>
      <c r="F41" s="944"/>
      <c r="G41" s="84" t="s">
        <v>230</v>
      </c>
      <c r="H41" s="82" t="s">
        <v>82</v>
      </c>
      <c r="I41" s="186">
        <v>0</v>
      </c>
      <c r="J41" s="140">
        <f t="shared" si="6"/>
        <v>0</v>
      </c>
      <c r="K41" s="147">
        <f t="shared" si="1"/>
        <v>0</v>
      </c>
      <c r="L41" s="152">
        <f t="shared" si="5"/>
        <v>0</v>
      </c>
      <c r="M41" s="149"/>
      <c r="N41" s="804"/>
      <c r="O41" s="1078"/>
      <c r="P41" s="72"/>
      <c r="Q41" s="66"/>
      <c r="R41" s="140">
        <f t="shared" si="2"/>
        <v>0</v>
      </c>
      <c r="S41" s="71"/>
      <c r="T41" s="114"/>
      <c r="U41" s="114"/>
      <c r="V41" s="114"/>
      <c r="W41" s="114"/>
      <c r="X41" s="114"/>
    </row>
    <row r="42" spans="1:24" s="68" customFormat="1" ht="15.75" customHeight="1" x14ac:dyDescent="0.25">
      <c r="A42" s="63" t="s">
        <v>7</v>
      </c>
      <c r="B42" s="83"/>
      <c r="C42" s="806" t="s">
        <v>225</v>
      </c>
      <c r="D42" s="807"/>
      <c r="E42" s="807"/>
      <c r="F42" s="944"/>
      <c r="G42" s="84" t="s">
        <v>31</v>
      </c>
      <c r="H42" s="82" t="s">
        <v>80</v>
      </c>
      <c r="I42" s="187"/>
      <c r="J42" s="140">
        <f t="shared" si="6"/>
        <v>0</v>
      </c>
      <c r="K42" s="147">
        <f t="shared" si="1"/>
        <v>0</v>
      </c>
      <c r="L42" s="152">
        <f t="shared" si="5"/>
        <v>0</v>
      </c>
      <c r="M42" s="149"/>
      <c r="N42" s="804"/>
      <c r="O42" s="1078"/>
      <c r="P42" s="72"/>
      <c r="Q42" s="66"/>
      <c r="R42" s="140">
        <f t="shared" si="2"/>
        <v>0</v>
      </c>
      <c r="S42" s="71"/>
      <c r="T42" s="114"/>
      <c r="U42" s="114"/>
      <c r="V42" s="114"/>
      <c r="W42" s="114"/>
      <c r="X42" s="114"/>
    </row>
    <row r="43" spans="1:24" s="68" customFormat="1" ht="15.75" customHeight="1" x14ac:dyDescent="0.25">
      <c r="A43" s="83" t="s">
        <v>7</v>
      </c>
      <c r="B43" s="83"/>
      <c r="C43" s="806" t="s">
        <v>224</v>
      </c>
      <c r="D43" s="807"/>
      <c r="E43" s="807"/>
      <c r="F43" s="944"/>
      <c r="G43" s="84" t="s">
        <v>31</v>
      </c>
      <c r="H43" s="85" t="s">
        <v>41</v>
      </c>
      <c r="I43" s="86"/>
      <c r="J43" s="93"/>
      <c r="K43" s="148"/>
      <c r="L43" s="154">
        <f>K44</f>
        <v>31.639999999999997</v>
      </c>
      <c r="M43" s="149"/>
      <c r="N43" s="804"/>
      <c r="O43" s="1078"/>
      <c r="P43" s="72"/>
      <c r="Q43" s="66"/>
      <c r="R43" s="140">
        <f t="shared" si="2"/>
        <v>-31.639999999999997</v>
      </c>
      <c r="S43" s="71"/>
      <c r="T43" s="114"/>
      <c r="U43" s="114"/>
      <c r="V43" s="114"/>
      <c r="W43" s="114"/>
      <c r="X43" s="114"/>
    </row>
    <row r="44" spans="1:24" s="114" customFormat="1" ht="14.5" x14ac:dyDescent="0.25">
      <c r="A44" s="112"/>
      <c r="B44" s="112"/>
      <c r="C44" s="112"/>
      <c r="D44" s="112"/>
      <c r="E44" s="113"/>
      <c r="F44" s="113"/>
      <c r="K44" s="115">
        <f>SUM(K16:K43)</f>
        <v>31.639999999999997</v>
      </c>
      <c r="L44" s="155"/>
      <c r="P44" s="116"/>
      <c r="Q44" s="117"/>
      <c r="R44" s="165"/>
      <c r="S44" s="118"/>
    </row>
    <row r="45" spans="1:24" s="95" customFormat="1" ht="16" thickBot="1" x14ac:dyDescent="0.3">
      <c r="A45" s="130"/>
      <c r="B45" s="130"/>
      <c r="C45" s="130"/>
      <c r="D45" s="130"/>
      <c r="E45" s="119"/>
      <c r="F45" s="131" t="s">
        <v>81</v>
      </c>
      <c r="G45" s="132"/>
      <c r="H45" s="133" t="s">
        <v>1</v>
      </c>
      <c r="I45" s="134">
        <f>SUM(I33:I44)</f>
        <v>1940</v>
      </c>
      <c r="J45" s="188">
        <v>1500</v>
      </c>
      <c r="K45" s="135"/>
      <c r="L45" s="156">
        <f>SUM(L33:L44)</f>
        <v>1940.0000000000005</v>
      </c>
      <c r="M45" s="136"/>
      <c r="N45" s="130" t="s">
        <v>1</v>
      </c>
      <c r="O45" s="130"/>
      <c r="P45" s="137">
        <f>SUM(P33:P44)</f>
        <v>50</v>
      </c>
      <c r="Q45" s="136"/>
      <c r="R45" s="175">
        <f>SUM(R33:R44)</f>
        <v>-1890.0000000000005</v>
      </c>
      <c r="S45" s="138"/>
    </row>
    <row r="46" spans="1:24" s="50" customFormat="1" ht="15.75" customHeight="1" thickTop="1" x14ac:dyDescent="0.25">
      <c r="A46" s="1064" t="s">
        <v>61</v>
      </c>
      <c r="B46" s="1064"/>
      <c r="C46" s="1064"/>
      <c r="D46" s="192"/>
      <c r="E46" s="121"/>
      <c r="F46" s="121"/>
      <c r="J46" s="122"/>
      <c r="L46" s="123"/>
      <c r="M46" s="122"/>
      <c r="R46" s="124"/>
      <c r="S46" s="125"/>
    </row>
    <row r="47" spans="1:24" s="127" customFormat="1" ht="18" customHeight="1" x14ac:dyDescent="0.25">
      <c r="A47" s="126">
        <v>1</v>
      </c>
      <c r="B47" s="1065"/>
      <c r="C47" s="1065"/>
      <c r="D47" s="1065"/>
      <c r="E47" s="1065"/>
      <c r="F47" s="1065"/>
      <c r="G47" s="1065"/>
      <c r="H47" s="1065"/>
      <c r="I47" s="1065"/>
      <c r="J47" s="1065"/>
      <c r="K47" s="1065"/>
      <c r="L47" s="1065"/>
      <c r="M47" s="1065"/>
      <c r="N47" s="1065"/>
      <c r="O47" s="1065"/>
      <c r="P47" s="1065"/>
      <c r="Q47" s="1065"/>
      <c r="R47" s="1065"/>
      <c r="S47" s="1065"/>
    </row>
    <row r="48" spans="1:24" s="127" customFormat="1" ht="18" customHeight="1" x14ac:dyDescent="0.25">
      <c r="A48" s="126">
        <v>2</v>
      </c>
      <c r="B48" s="1065"/>
      <c r="C48" s="1065"/>
      <c r="D48" s="1065"/>
      <c r="E48" s="1065"/>
      <c r="F48" s="1065"/>
      <c r="G48" s="1065"/>
      <c r="H48" s="1065"/>
      <c r="I48" s="1065"/>
      <c r="J48" s="1065"/>
      <c r="K48" s="1065"/>
      <c r="L48" s="1065"/>
      <c r="M48" s="1065"/>
      <c r="N48" s="1065"/>
      <c r="O48" s="1065"/>
      <c r="P48" s="1065"/>
      <c r="Q48" s="1065"/>
      <c r="R48" s="1065"/>
      <c r="S48" s="1065"/>
    </row>
    <row r="49" spans="1:19" s="127" customFormat="1" ht="18" customHeight="1" x14ac:dyDescent="0.25">
      <c r="A49" s="126">
        <v>3</v>
      </c>
      <c r="B49" s="1065"/>
      <c r="C49" s="1065"/>
      <c r="D49" s="1065"/>
      <c r="E49" s="1065"/>
      <c r="F49" s="1065"/>
      <c r="G49" s="1065"/>
      <c r="H49" s="1065"/>
      <c r="I49" s="1065"/>
      <c r="J49" s="1065"/>
      <c r="K49" s="1065"/>
      <c r="L49" s="1065"/>
      <c r="M49" s="1065"/>
      <c r="N49" s="1065"/>
      <c r="O49" s="1065"/>
      <c r="P49" s="1065"/>
      <c r="Q49" s="1065"/>
      <c r="R49" s="1065"/>
      <c r="S49" s="1065"/>
    </row>
    <row r="50" spans="1:19" s="50" customFormat="1" x14ac:dyDescent="0.25">
      <c r="A50" s="120"/>
      <c r="B50" s="120"/>
      <c r="C50" s="120"/>
      <c r="D50" s="120"/>
      <c r="E50" s="121"/>
      <c r="F50" s="121"/>
      <c r="L50" s="128"/>
      <c r="R50" s="124"/>
      <c r="S50" s="125"/>
    </row>
  </sheetData>
  <sheetProtection insertRows="0"/>
  <customSheetViews>
    <customSheetView guid="{07F1F502-9FC7-4878-A746-52E1655BD4FA}" scale="75" fitToPage="1" hiddenColumns="1" showRuler="0">
      <selection activeCell="U19" sqref="U19"/>
      <pageMargins left="0.25" right="0.25" top="0.75" bottom="0.5" header="0.25" footer="0.25"/>
      <printOptions horizontalCentered="1"/>
      <pageSetup scale="59" orientation="landscape" r:id="rId1"/>
      <headerFooter alignWithMargins="0">
        <oddHeader>&amp;CSUPERIOR OF COURT OF _________ COUNTY
Revenue Calculation and Distribution Worksheet</oddHeader>
        <oddFooter>&amp;L&amp;F&amp;R&amp;P of &amp;N</oddFooter>
      </headerFooter>
    </customSheetView>
  </customSheetViews>
  <mergeCells count="122">
    <mergeCell ref="P11:S11"/>
    <mergeCell ref="N13:P13"/>
    <mergeCell ref="P6:S6"/>
    <mergeCell ref="P7:S7"/>
    <mergeCell ref="N23:O23"/>
    <mergeCell ref="N24:O24"/>
    <mergeCell ref="N15:O15"/>
    <mergeCell ref="N14:O14"/>
    <mergeCell ref="S14:S15"/>
    <mergeCell ref="R14:R15"/>
    <mergeCell ref="P10:S10"/>
    <mergeCell ref="P8:S9"/>
    <mergeCell ref="N17:O17"/>
    <mergeCell ref="N16:O16"/>
    <mergeCell ref="N25:O25"/>
    <mergeCell ref="C24:F24"/>
    <mergeCell ref="C23:F23"/>
    <mergeCell ref="C22:F22"/>
    <mergeCell ref="C21:F21"/>
    <mergeCell ref="N20:O20"/>
    <mergeCell ref="N21:O21"/>
    <mergeCell ref="N22:O22"/>
    <mergeCell ref="N19:O19"/>
    <mergeCell ref="C20:F20"/>
    <mergeCell ref="C19:F19"/>
    <mergeCell ref="N26:O26"/>
    <mergeCell ref="N27:O27"/>
    <mergeCell ref="N30:O30"/>
    <mergeCell ref="N29:O29"/>
    <mergeCell ref="N28:O28"/>
    <mergeCell ref="C34:F34"/>
    <mergeCell ref="N31:O31"/>
    <mergeCell ref="C30:E30"/>
    <mergeCell ref="C29:F29"/>
    <mergeCell ref="N32:O32"/>
    <mergeCell ref="N33:O33"/>
    <mergeCell ref="N34:O34"/>
    <mergeCell ref="N40:O40"/>
    <mergeCell ref="N41:O41"/>
    <mergeCell ref="C33:F33"/>
    <mergeCell ref="C32:F32"/>
    <mergeCell ref="C37:F37"/>
    <mergeCell ref="C36:F36"/>
    <mergeCell ref="N43:O43"/>
    <mergeCell ref="N35:O35"/>
    <mergeCell ref="N36:O36"/>
    <mergeCell ref="N37:O37"/>
    <mergeCell ref="N38:O38"/>
    <mergeCell ref="N39:O39"/>
    <mergeCell ref="N42:O42"/>
    <mergeCell ref="C43:F43"/>
    <mergeCell ref="C42:F42"/>
    <mergeCell ref="C41:F41"/>
    <mergeCell ref="C40:F40"/>
    <mergeCell ref="C39:F39"/>
    <mergeCell ref="C38:F38"/>
    <mergeCell ref="C35:F35"/>
    <mergeCell ref="C18:F18"/>
    <mergeCell ref="C17:F17"/>
    <mergeCell ref="C16:F16"/>
    <mergeCell ref="F7:G7"/>
    <mergeCell ref="A9:C9"/>
    <mergeCell ref="A8:C8"/>
    <mergeCell ref="A7:C7"/>
    <mergeCell ref="F10:G10"/>
    <mergeCell ref="F9:G9"/>
    <mergeCell ref="K15:L15"/>
    <mergeCell ref="F6:G6"/>
    <mergeCell ref="D5:E5"/>
    <mergeCell ref="K9:M9"/>
    <mergeCell ref="K8:M8"/>
    <mergeCell ref="K7:M7"/>
    <mergeCell ref="K6:M6"/>
    <mergeCell ref="F5:G5"/>
    <mergeCell ref="I6:J6"/>
    <mergeCell ref="I5:J5"/>
    <mergeCell ref="D6:E6"/>
    <mergeCell ref="I7:J7"/>
    <mergeCell ref="I8:J8"/>
    <mergeCell ref="L1:S1"/>
    <mergeCell ref="A1:K1"/>
    <mergeCell ref="D9:E9"/>
    <mergeCell ref="D8:E8"/>
    <mergeCell ref="D7:E7"/>
    <mergeCell ref="I4:J4"/>
    <mergeCell ref="K5:M5"/>
    <mergeCell ref="K4:M4"/>
    <mergeCell ref="I9:J9"/>
    <mergeCell ref="F8:G8"/>
    <mergeCell ref="A6:C6"/>
    <mergeCell ref="A5:C5"/>
    <mergeCell ref="A4:C4"/>
    <mergeCell ref="D4:E4"/>
    <mergeCell ref="A3:N3"/>
    <mergeCell ref="P3:S3"/>
    <mergeCell ref="P4:S4"/>
    <mergeCell ref="P5:S5"/>
    <mergeCell ref="F4:G4"/>
    <mergeCell ref="A46:C46"/>
    <mergeCell ref="B49:S49"/>
    <mergeCell ref="B48:S48"/>
    <mergeCell ref="B47:S47"/>
    <mergeCell ref="D11:E11"/>
    <mergeCell ref="D10:E10"/>
    <mergeCell ref="A11:C11"/>
    <mergeCell ref="A10:C10"/>
    <mergeCell ref="F30:F31"/>
    <mergeCell ref="C31:E31"/>
    <mergeCell ref="I11:J11"/>
    <mergeCell ref="I10:J10"/>
    <mergeCell ref="C14:F15"/>
    <mergeCell ref="E25:F28"/>
    <mergeCell ref="C25:D25"/>
    <mergeCell ref="F11:G11"/>
    <mergeCell ref="I13:L13"/>
    <mergeCell ref="B16:B20"/>
    <mergeCell ref="C28:D28"/>
    <mergeCell ref="C27:D27"/>
    <mergeCell ref="C26:D26"/>
    <mergeCell ref="K11:M11"/>
    <mergeCell ref="K10:M10"/>
    <mergeCell ref="N18:O18"/>
  </mergeCells>
  <phoneticPr fontId="3" type="noConversion"/>
  <conditionalFormatting sqref="E25">
    <cfRule type="cellIs" dxfId="125" priority="2" operator="notEqual">
      <formula>"GC 76000 PA ($7 for every 10) breakdown per local board of supervisor resolution (BOS)."</formula>
    </cfRule>
  </conditionalFormatting>
  <conditionalFormatting sqref="H16:H24 H29:H32">
    <cfRule type="expression" dxfId="124" priority="12" stopIfTrue="1">
      <formula>MOD(ROW(),2)=0</formula>
    </cfRule>
  </conditionalFormatting>
  <conditionalFormatting sqref="H25:H29">
    <cfRule type="expression" dxfId="123" priority="14" stopIfTrue="1">
      <formula>MOD(ROW(), 2)=0</formula>
    </cfRule>
  </conditionalFormatting>
  <conditionalFormatting sqref="I16:I18">
    <cfRule type="cellIs" dxfId="122" priority="15" stopIfTrue="1" operator="equal">
      <formula>0</formula>
    </cfRule>
  </conditionalFormatting>
  <conditionalFormatting sqref="J16:L32 K17:K42 I19:I32 I29:L29 J34:L43">
    <cfRule type="cellIs" dxfId="121" priority="11" stopIfTrue="1" operator="equal">
      <formula>0</formula>
    </cfRule>
  </conditionalFormatting>
  <conditionalFormatting sqref="R12:R13 R46 R50:R65536">
    <cfRule type="cellIs" dxfId="120" priority="13" stopIfTrue="1" operator="notEqual">
      <formula>0</formula>
    </cfRule>
  </conditionalFormatting>
  <dataValidations count="1">
    <dataValidation type="list" allowBlank="1" showInputMessage="1" showErrorMessage="1" sqref="K15:L15" xr:uid="{00000000-0002-0000-1500-000000000000}">
      <formula1>Distribution_Method</formula1>
    </dataValidation>
  </dataValidations>
  <printOptions horizontalCentered="1"/>
  <pageMargins left="0.25" right="0.25" top="0.75" bottom="0.5" header="0.25" footer="0.25"/>
  <pageSetup scale="50" orientation="landscape" r:id="rId2"/>
  <headerFooter alignWithMargins="0">
    <oddHeader>&amp;CSUPERIOR OF COURT OF _________ COUNTY
Revenue Calculation and Distribution Worksheet</oddHeader>
    <oddFooter>&amp;L&amp;F&amp;R&amp;P of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8678" r:id="rId5" name="Button 6">
              <controlPr defaultSize="0" print="0" autoFill="0" autoPict="0" macro="[0]!mcrGoToSummary">
                <anchor moveWithCells="1">
                  <from>
                    <xdr:col>0</xdr:col>
                    <xdr:colOff>31750</xdr:colOff>
                    <xdr:row>0</xdr:row>
                    <xdr:rowOff>0</xdr:rowOff>
                  </from>
                  <to>
                    <xdr:col>2</xdr:col>
                    <xdr:colOff>838200</xdr:colOff>
                    <xdr:row>1</xdr:row>
                    <xdr:rowOff>31750</xdr:rowOff>
                  </to>
                </anchor>
              </controlPr>
            </control>
          </mc:Choice>
        </mc:AlternateContent>
        <mc:AlternateContent xmlns:mc="http://schemas.openxmlformats.org/markup-compatibility/2006">
          <mc:Choice Requires="x14">
            <control shapeId="28695" r:id="rId6" name="Button 23">
              <controlPr defaultSize="0" print="0" autoFill="0" autoPict="0" macro="[0]!mcrDisableTwoPercentUnprotect">
                <anchor moveWithCells="1">
                  <from>
                    <xdr:col>0</xdr:col>
                    <xdr:colOff>12700</xdr:colOff>
                    <xdr:row>13</xdr:row>
                    <xdr:rowOff>527050</xdr:rowOff>
                  </from>
                  <to>
                    <xdr:col>0</xdr:col>
                    <xdr:colOff>279400</xdr:colOff>
                    <xdr:row>14</xdr:row>
                    <xdr:rowOff>222250</xdr:rowOff>
                  </to>
                </anchor>
              </controlPr>
            </control>
          </mc:Choice>
        </mc:AlternateContent>
        <mc:AlternateContent xmlns:mc="http://schemas.openxmlformats.org/markup-compatibility/2006">
          <mc:Choice Requires="x14">
            <control shapeId="28696" r:id="rId7" name="Button 24">
              <controlPr defaultSize="0" print="0" autoFill="0" autoPict="0" macro="[0]!mcrEnableTwoPercentUnprotect">
                <anchor moveWithCells="1">
                  <from>
                    <xdr:col>0</xdr:col>
                    <xdr:colOff>0</xdr:colOff>
                    <xdr:row>13</xdr:row>
                    <xdr:rowOff>222250</xdr:rowOff>
                  </from>
                  <to>
                    <xdr:col>0</xdr:col>
                    <xdr:colOff>260350</xdr:colOff>
                    <xdr:row>13</xdr:row>
                    <xdr:rowOff>546100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8">
    <tabColor theme="6"/>
    <pageSetUpPr fitToPage="1"/>
  </sheetPr>
  <dimension ref="A1:AC55"/>
  <sheetViews>
    <sheetView zoomScale="80" zoomScaleNormal="80" workbookViewId="0">
      <pane ySplit="1" topLeftCell="A20" activePane="bottomLeft" state="frozen"/>
      <selection pane="bottomLeft" sqref="A1:L1"/>
    </sheetView>
  </sheetViews>
  <sheetFormatPr defaultColWidth="9.1796875" defaultRowHeight="18.5" x14ac:dyDescent="0.25"/>
  <cols>
    <col min="1" max="1" width="4.26953125" style="87" customWidth="1"/>
    <col min="2" max="2" width="4.7265625" style="87" customWidth="1"/>
    <col min="3" max="3" width="13.54296875" style="87" customWidth="1"/>
    <col min="4" max="4" width="12" style="87" customWidth="1"/>
    <col min="5" max="5" width="9.453125" style="88" customWidth="1"/>
    <col min="6" max="6" width="22" style="121" customWidth="1"/>
    <col min="7" max="7" width="11.54296875" style="46" customWidth="1"/>
    <col min="8" max="8" width="29.453125" style="46" hidden="1" customWidth="1"/>
    <col min="9" max="9" width="9" style="46" customWidth="1"/>
    <col min="10" max="10" width="14.1796875" style="46" hidden="1" customWidth="1"/>
    <col min="11" max="11" width="6" style="46" customWidth="1"/>
    <col min="12" max="12" width="11.1796875" style="92" customWidth="1"/>
    <col min="13" max="13" width="1.7265625" style="89" customWidth="1"/>
    <col min="14" max="14" width="15.26953125" style="46" customWidth="1"/>
    <col min="15" max="15" width="1.54296875" style="46" customWidth="1"/>
    <col min="16" max="16" width="13.453125" style="46" bestFit="1" customWidth="1"/>
    <col min="17" max="17" width="1.81640625" style="89" customWidth="1"/>
    <col min="18" max="18" width="10.81640625" style="89" customWidth="1"/>
    <col min="19" max="19" width="6.453125" style="89" customWidth="1"/>
    <col min="20" max="20" width="10.7265625" style="89" customWidth="1"/>
    <col min="21" max="21" width="1.81640625" style="50" customWidth="1"/>
    <col min="22" max="22" width="12.453125" style="90" customWidth="1"/>
    <col min="23" max="23" width="5.81640625" style="90" customWidth="1"/>
    <col min="24" max="24" width="18.26953125" style="91" customWidth="1"/>
    <col min="25" max="25" width="2.1796875" style="50" customWidth="1"/>
    <col min="26" max="26" width="11.26953125" style="50" customWidth="1"/>
    <col min="27" max="27" width="11.1796875" style="50" customWidth="1"/>
    <col min="28" max="29" width="9.1796875" style="50"/>
    <col min="30" max="16384" width="9.1796875" style="46"/>
  </cols>
  <sheetData>
    <row r="1" spans="1:29" ht="20.25" customHeight="1" thickBot="1" x14ac:dyDescent="0.3">
      <c r="A1" s="1081" t="s">
        <v>258</v>
      </c>
      <c r="B1" s="1082"/>
      <c r="C1" s="1082"/>
      <c r="D1" s="1082"/>
      <c r="E1" s="1082"/>
      <c r="F1" s="1082"/>
      <c r="G1" s="1082"/>
      <c r="H1" s="1082"/>
      <c r="I1" s="1082"/>
      <c r="J1" s="1082"/>
      <c r="K1" s="1082"/>
      <c r="L1" s="1082"/>
      <c r="M1" s="1079"/>
      <c r="N1" s="1079"/>
      <c r="O1" s="1079"/>
      <c r="P1" s="1079"/>
      <c r="Q1" s="1079"/>
      <c r="R1" s="1079"/>
      <c r="S1" s="1079"/>
      <c r="T1" s="1079"/>
      <c r="U1" s="1079"/>
      <c r="V1" s="1079"/>
      <c r="W1" s="592" t="s">
        <v>485</v>
      </c>
      <c r="X1" s="612" t="str">
        <f>'Cover Page'!A3</f>
        <v>January 2014</v>
      </c>
    </row>
    <row r="2" spans="1:29" s="50" customFormat="1" ht="6" customHeight="1" thickBot="1" x14ac:dyDescent="0.3">
      <c r="A2" s="47"/>
      <c r="B2" s="47"/>
      <c r="C2" s="47"/>
      <c r="D2" s="47"/>
      <c r="E2" s="47"/>
      <c r="F2" s="47"/>
      <c r="G2" s="47"/>
      <c r="H2" s="47"/>
      <c r="I2" s="47"/>
      <c r="J2" s="47"/>
      <c r="K2" s="48"/>
      <c r="L2" s="48"/>
      <c r="M2" s="48"/>
      <c r="N2" s="48"/>
      <c r="O2" s="48"/>
      <c r="P2" s="49"/>
      <c r="Q2" s="49"/>
      <c r="R2" s="49"/>
      <c r="S2" s="49"/>
      <c r="T2" s="49"/>
      <c r="U2" s="49"/>
      <c r="V2" s="49"/>
      <c r="W2" s="49"/>
      <c r="X2" s="49"/>
    </row>
    <row r="3" spans="1:29" s="50" customFormat="1" ht="19" thickBot="1" x14ac:dyDescent="0.3">
      <c r="A3" s="1088" t="s">
        <v>234</v>
      </c>
      <c r="B3" s="1089"/>
      <c r="C3" s="1089"/>
      <c r="D3" s="1089"/>
      <c r="E3" s="1089"/>
      <c r="F3" s="1089"/>
      <c r="G3" s="1089"/>
      <c r="H3" s="1089"/>
      <c r="I3" s="1089"/>
      <c r="J3" s="1089"/>
      <c r="K3" s="1089"/>
      <c r="L3" s="1089"/>
      <c r="M3" s="1089"/>
      <c r="N3" s="1089"/>
      <c r="O3" s="1089"/>
      <c r="P3" s="1090"/>
      <c r="Q3" s="159"/>
      <c r="R3" s="901" t="s">
        <v>261</v>
      </c>
      <c r="S3" s="902"/>
      <c r="T3" s="902"/>
      <c r="U3" s="902"/>
      <c r="V3" s="902"/>
      <c r="W3" s="902"/>
      <c r="X3" s="903"/>
      <c r="Z3" s="159" t="s">
        <v>250</v>
      </c>
      <c r="AA3" s="120"/>
    </row>
    <row r="4" spans="1:29" s="53" customFormat="1" ht="15.5" x14ac:dyDescent="0.25">
      <c r="A4" s="904" t="s">
        <v>231</v>
      </c>
      <c r="B4" s="905"/>
      <c r="C4" s="905"/>
      <c r="D4" s="906">
        <f>M1</f>
        <v>0</v>
      </c>
      <c r="E4" s="907"/>
      <c r="F4" s="1168" t="s">
        <v>563</v>
      </c>
      <c r="G4" s="1169"/>
      <c r="H4" s="190"/>
      <c r="I4" s="1170"/>
      <c r="J4" s="1170"/>
      <c r="K4" s="1170"/>
      <c r="L4" s="1170"/>
      <c r="M4" s="1170"/>
      <c r="N4" s="910" t="s">
        <v>257</v>
      </c>
      <c r="O4" s="910"/>
      <c r="P4" s="191">
        <v>0</v>
      </c>
      <c r="Q4" s="95"/>
      <c r="R4" s="911" t="s">
        <v>236</v>
      </c>
      <c r="S4" s="912"/>
      <c r="T4" s="912"/>
      <c r="U4" s="912"/>
      <c r="V4" s="912"/>
      <c r="W4" s="912"/>
      <c r="X4" s="913"/>
      <c r="Z4" s="243" t="s">
        <v>308</v>
      </c>
      <c r="AA4" s="241" t="s">
        <v>309</v>
      </c>
      <c r="AB4" s="241" t="s">
        <v>310</v>
      </c>
    </row>
    <row r="5" spans="1:29" s="53" customFormat="1" ht="15.5" x14ac:dyDescent="0.25">
      <c r="A5" s="882" t="s">
        <v>4</v>
      </c>
      <c r="B5" s="883"/>
      <c r="C5" s="883"/>
      <c r="D5" s="894"/>
      <c r="E5" s="885"/>
      <c r="F5" s="1107" t="s">
        <v>244</v>
      </c>
      <c r="G5" s="1086"/>
      <c r="H5" s="167"/>
      <c r="I5" s="1160"/>
      <c r="J5" s="1160"/>
      <c r="K5" s="1160"/>
      <c r="L5" s="1160"/>
      <c r="M5" s="1160"/>
      <c r="N5" s="872" t="s">
        <v>22</v>
      </c>
      <c r="O5" s="872"/>
      <c r="P5" s="54"/>
      <c r="Q5" s="95"/>
      <c r="R5" s="897" t="s">
        <v>302</v>
      </c>
      <c r="S5" s="898"/>
      <c r="T5" s="898"/>
      <c r="U5" s="898"/>
      <c r="V5" s="898"/>
      <c r="W5" s="898"/>
      <c r="X5" s="899"/>
      <c r="Z5" s="157" t="s">
        <v>31</v>
      </c>
      <c r="AA5" s="161">
        <f>SUMIF($G$16:$G$48,"STATE",$L$16:$L$48)</f>
        <v>245.60000000000002</v>
      </c>
      <c r="AB5" s="161">
        <f>SUMIF($G$16:$G$48,"STATE",$T$16:$T$48)</f>
        <v>0</v>
      </c>
    </row>
    <row r="6" spans="1:29" s="53" customFormat="1" ht="16" thickBot="1" x14ac:dyDescent="0.3">
      <c r="A6" s="882" t="s">
        <v>12</v>
      </c>
      <c r="B6" s="883"/>
      <c r="C6" s="883"/>
      <c r="D6" s="894"/>
      <c r="E6" s="900"/>
      <c r="F6" s="1107" t="s">
        <v>20</v>
      </c>
      <c r="G6" s="1086"/>
      <c r="H6" s="167"/>
      <c r="I6" s="1160" t="s">
        <v>11</v>
      </c>
      <c r="J6" s="1160"/>
      <c r="K6" s="1160"/>
      <c r="L6" s="1160"/>
      <c r="M6" s="1160"/>
      <c r="N6" s="848" t="s">
        <v>233</v>
      </c>
      <c r="O6" s="848"/>
      <c r="P6" s="194">
        <f>P4+P5*10</f>
        <v>0</v>
      </c>
      <c r="Q6" s="95"/>
      <c r="R6" s="891" t="s">
        <v>573</v>
      </c>
      <c r="S6" s="892"/>
      <c r="T6" s="892"/>
      <c r="U6" s="892"/>
      <c r="V6" s="892"/>
      <c r="W6" s="892"/>
      <c r="X6" s="893"/>
      <c r="Z6" s="157" t="s">
        <v>32</v>
      </c>
      <c r="AA6" s="161">
        <f>SUMIF($G$16:$G$48,"COUNTY",$L$16:$L$48)</f>
        <v>29.400000000000006</v>
      </c>
      <c r="AB6" s="161">
        <f>SUMIF($G$16:$G$48,"COUNTY",$T$16:$T$48)</f>
        <v>0</v>
      </c>
    </row>
    <row r="7" spans="1:29" s="53" customFormat="1" ht="16" thickBot="1" x14ac:dyDescent="0.3">
      <c r="A7" s="882" t="s">
        <v>5</v>
      </c>
      <c r="B7" s="883"/>
      <c r="C7" s="883"/>
      <c r="D7" s="884"/>
      <c r="E7" s="885"/>
      <c r="F7" s="1106" t="s">
        <v>21</v>
      </c>
      <c r="G7" s="1077"/>
      <c r="H7" s="219"/>
      <c r="I7" s="1162"/>
      <c r="J7" s="1162"/>
      <c r="K7" s="1162"/>
      <c r="L7" s="1162"/>
      <c r="M7" s="967"/>
      <c r="N7" s="641"/>
      <c r="O7" s="220"/>
      <c r="P7" s="217"/>
      <c r="Q7" s="95"/>
      <c r="R7" s="888" t="s">
        <v>235</v>
      </c>
      <c r="S7" s="889"/>
      <c r="T7" s="889"/>
      <c r="U7" s="889"/>
      <c r="V7" s="889"/>
      <c r="W7" s="889"/>
      <c r="X7" s="890"/>
      <c r="Z7" s="157" t="s">
        <v>52</v>
      </c>
      <c r="AA7" s="161">
        <f>SUMIF($G$16:$G$48,"CITY",$L$16:$L$48)</f>
        <v>0</v>
      </c>
      <c r="AB7" s="161">
        <f>SUMIF($G$16:$G$48,"CITY",$T$16:$T$48)</f>
        <v>0</v>
      </c>
    </row>
    <row r="8" spans="1:29" s="53" customFormat="1" ht="15.75" customHeight="1" x14ac:dyDescent="0.25">
      <c r="A8" s="873" t="s">
        <v>54</v>
      </c>
      <c r="B8" s="874"/>
      <c r="C8" s="874"/>
      <c r="D8" s="1163">
        <v>1</v>
      </c>
      <c r="E8" s="1164"/>
      <c r="F8" s="1165" t="s">
        <v>564</v>
      </c>
      <c r="G8" s="1166"/>
      <c r="H8" s="643"/>
      <c r="I8" s="1167"/>
      <c r="J8" s="1167"/>
      <c r="K8" s="1167"/>
      <c r="L8" s="1167"/>
      <c r="M8" s="1167"/>
      <c r="N8" s="905" t="s">
        <v>257</v>
      </c>
      <c r="O8" s="905"/>
      <c r="P8" s="51">
        <v>0</v>
      </c>
      <c r="Q8" s="138"/>
      <c r="R8" s="862" t="s">
        <v>303</v>
      </c>
      <c r="S8" s="863"/>
      <c r="T8" s="863"/>
      <c r="U8" s="863"/>
      <c r="V8" s="863"/>
      <c r="W8" s="863"/>
      <c r="X8" s="864"/>
      <c r="Z8" s="157" t="s">
        <v>230</v>
      </c>
      <c r="AA8" s="161">
        <f>SUMIF($G$16:$G$48,"COURT",$L$16:$L$48)</f>
        <v>0</v>
      </c>
      <c r="AB8" s="161">
        <f>SUMIF($G$16:$G$48,"COURT",$T$16:$T$48)</f>
        <v>0</v>
      </c>
    </row>
    <row r="9" spans="1:29" s="53" customFormat="1" ht="18" customHeight="1" thickBot="1" x14ac:dyDescent="0.3">
      <c r="A9" s="868" t="s">
        <v>53</v>
      </c>
      <c r="B9" s="869"/>
      <c r="C9" s="869"/>
      <c r="D9" s="870">
        <f>100%-D8</f>
        <v>0</v>
      </c>
      <c r="E9" s="1161"/>
      <c r="F9" s="1107" t="s">
        <v>244</v>
      </c>
      <c r="G9" s="1086"/>
      <c r="H9" s="642"/>
      <c r="I9" s="1160"/>
      <c r="J9" s="1160"/>
      <c r="K9" s="1160"/>
      <c r="L9" s="1160"/>
      <c r="M9" s="1160"/>
      <c r="N9" s="1086" t="s">
        <v>22</v>
      </c>
      <c r="O9" s="1086"/>
      <c r="P9" s="54"/>
      <c r="Q9" s="138"/>
      <c r="R9" s="865"/>
      <c r="S9" s="866"/>
      <c r="T9" s="866"/>
      <c r="U9" s="866"/>
      <c r="V9" s="866"/>
      <c r="W9" s="866"/>
      <c r="X9" s="867"/>
      <c r="Z9" s="84" t="s">
        <v>446</v>
      </c>
      <c r="AA9" s="161">
        <f>SUMIF($G$16:$G$48,"CNTY or CTY",$L$16:$L$48)</f>
        <v>49</v>
      </c>
      <c r="AB9" s="161">
        <f>SUMIF($G$16:$G$48,"CNTY or CTY",$T$16:$T$48)</f>
        <v>0</v>
      </c>
    </row>
    <row r="10" spans="1:29" s="53" customFormat="1" ht="16.5" customHeight="1" thickBot="1" x14ac:dyDescent="0.3">
      <c r="A10" s="840" t="s">
        <v>276</v>
      </c>
      <c r="B10" s="841"/>
      <c r="C10" s="841"/>
      <c r="D10" s="1066">
        <f>P6+P10</f>
        <v>0</v>
      </c>
      <c r="E10" s="1159"/>
      <c r="F10" s="1107" t="s">
        <v>20</v>
      </c>
      <c r="G10" s="1086"/>
      <c r="H10" s="642"/>
      <c r="I10" s="1160"/>
      <c r="J10" s="1160"/>
      <c r="K10" s="1160"/>
      <c r="L10" s="1160"/>
      <c r="M10" s="1160"/>
      <c r="N10" s="1086" t="s">
        <v>233</v>
      </c>
      <c r="O10" s="1086"/>
      <c r="P10" s="640">
        <f>P8+P9*10</f>
        <v>0</v>
      </c>
      <c r="Q10" s="218"/>
      <c r="R10" s="849" t="s">
        <v>239</v>
      </c>
      <c r="S10" s="850"/>
      <c r="T10" s="850"/>
      <c r="U10" s="850"/>
      <c r="V10" s="850"/>
      <c r="W10" s="850"/>
      <c r="X10" s="851"/>
      <c r="Z10" s="158" t="s">
        <v>246</v>
      </c>
      <c r="AA10" s="134">
        <f>SUM(AA5:AA9)</f>
        <v>324</v>
      </c>
      <c r="AB10" s="134">
        <f>SUM(AB5:AB9)</f>
        <v>0</v>
      </c>
    </row>
    <row r="11" spans="1:29" s="53" customFormat="1" ht="16.5" customHeight="1" thickBot="1" x14ac:dyDescent="0.3">
      <c r="A11" s="852" t="s">
        <v>277</v>
      </c>
      <c r="B11" s="853"/>
      <c r="C11" s="853"/>
      <c r="D11" s="854">
        <f>ROUNDUP(D10/10,0)</f>
        <v>0</v>
      </c>
      <c r="E11" s="1152"/>
      <c r="F11" s="1153" t="s">
        <v>21</v>
      </c>
      <c r="G11" s="1069"/>
      <c r="H11" s="644"/>
      <c r="I11" s="1154"/>
      <c r="J11" s="1154"/>
      <c r="K11" s="1154"/>
      <c r="L11" s="1154"/>
      <c r="M11" s="1154"/>
      <c r="N11" s="1158" t="s">
        <v>565</v>
      </c>
      <c r="O11" s="1158"/>
      <c r="P11" s="645">
        <f>'Local Penalties'!B8</f>
        <v>5</v>
      </c>
      <c r="Q11" s="218"/>
      <c r="R11" s="837" t="s">
        <v>430</v>
      </c>
      <c r="S11" s="838"/>
      <c r="T11" s="838"/>
      <c r="U11" s="838"/>
      <c r="V11" s="838"/>
      <c r="W11" s="838"/>
      <c r="X11" s="839"/>
      <c r="AA11" s="242">
        <f>AA10-L50</f>
        <v>0</v>
      </c>
      <c r="AB11" s="242">
        <f>AB10-T50</f>
        <v>0</v>
      </c>
    </row>
    <row r="12" spans="1:29" s="53" customFormat="1" ht="15.75" customHeight="1" thickBot="1" x14ac:dyDescent="0.3">
      <c r="A12" s="193"/>
      <c r="B12" s="193"/>
      <c r="C12" s="173"/>
      <c r="D12" s="173"/>
      <c r="E12" s="173"/>
      <c r="F12" s="60"/>
      <c r="G12" s="55"/>
      <c r="H12" s="56"/>
      <c r="I12" s="57"/>
      <c r="J12" s="57"/>
      <c r="K12" s="57"/>
      <c r="L12" s="57"/>
      <c r="M12" s="57"/>
      <c r="P12" s="52"/>
      <c r="Q12" s="52"/>
      <c r="R12" s="52"/>
      <c r="S12" s="52"/>
      <c r="T12" s="52"/>
      <c r="U12" s="52"/>
      <c r="V12" s="58"/>
      <c r="W12" s="58"/>
      <c r="X12" s="56"/>
      <c r="AB12" s="59"/>
    </row>
    <row r="13" spans="1:29" s="98" customFormat="1" ht="18.75" customHeight="1" thickBot="1" x14ac:dyDescent="0.3">
      <c r="A13" s="174"/>
      <c r="B13" s="174"/>
      <c r="C13" s="174"/>
      <c r="D13" s="174"/>
      <c r="E13" s="174"/>
      <c r="F13" s="96"/>
      <c r="G13" s="97"/>
      <c r="I13" s="821" t="s">
        <v>297</v>
      </c>
      <c r="J13" s="822"/>
      <c r="K13" s="822"/>
      <c r="L13" s="823"/>
      <c r="M13" s="99"/>
      <c r="N13" s="1155" t="s">
        <v>229</v>
      </c>
      <c r="O13" s="1156"/>
      <c r="P13" s="1157"/>
      <c r="Q13" s="100"/>
      <c r="R13" s="824" t="s">
        <v>295</v>
      </c>
      <c r="S13" s="825"/>
      <c r="T13" s="826"/>
      <c r="U13" s="207"/>
      <c r="V13" s="143"/>
      <c r="W13" s="143"/>
      <c r="X13" s="144"/>
      <c r="Y13" s="97"/>
      <c r="Z13" s="97"/>
      <c r="AA13" s="97"/>
      <c r="AB13" s="97"/>
      <c r="AC13" s="97"/>
    </row>
    <row r="14" spans="1:29" ht="44.25" customHeight="1" thickBot="1" x14ac:dyDescent="0.3">
      <c r="A14" s="101">
        <v>0.02</v>
      </c>
      <c r="B14" s="101" t="s">
        <v>58</v>
      </c>
      <c r="C14" s="827" t="s">
        <v>226</v>
      </c>
      <c r="D14" s="828"/>
      <c r="E14" s="828"/>
      <c r="F14" s="829"/>
      <c r="G14" s="102" t="s">
        <v>249</v>
      </c>
      <c r="H14" s="103" t="s">
        <v>0</v>
      </c>
      <c r="I14" s="170" t="s">
        <v>298</v>
      </c>
      <c r="J14" s="109" t="s">
        <v>252</v>
      </c>
      <c r="K14" s="835" t="s">
        <v>6</v>
      </c>
      <c r="L14" s="215" t="s">
        <v>299</v>
      </c>
      <c r="M14" s="61"/>
      <c r="N14" s="1122" t="s">
        <v>260</v>
      </c>
      <c r="O14" s="1123"/>
      <c r="P14" s="109" t="s">
        <v>248</v>
      </c>
      <c r="Q14" s="110"/>
      <c r="R14" s="564" t="s">
        <v>428</v>
      </c>
      <c r="S14" s="835" t="s">
        <v>6</v>
      </c>
      <c r="T14" s="215" t="s">
        <v>299</v>
      </c>
      <c r="U14" s="209"/>
      <c r="V14" s="189" t="s">
        <v>256</v>
      </c>
      <c r="W14" s="1148" t="s">
        <v>61</v>
      </c>
      <c r="X14" s="1150" t="s">
        <v>384</v>
      </c>
    </row>
    <row r="15" spans="1:29" ht="30.75" customHeight="1" thickBot="1" x14ac:dyDescent="0.3">
      <c r="A15" s="104"/>
      <c r="B15" s="104"/>
      <c r="C15" s="830"/>
      <c r="D15" s="831"/>
      <c r="E15" s="831"/>
      <c r="F15" s="832"/>
      <c r="G15" s="105"/>
      <c r="H15" s="105"/>
      <c r="I15" s="106"/>
      <c r="J15" s="146">
        <f>J35/I35</f>
        <v>417.5</v>
      </c>
      <c r="K15" s="836"/>
      <c r="L15" s="222" t="s">
        <v>42</v>
      </c>
      <c r="M15" s="62"/>
      <c r="N15" s="1120"/>
      <c r="O15" s="1121"/>
      <c r="P15" s="223" t="s">
        <v>43</v>
      </c>
      <c r="Q15" s="110"/>
      <c r="R15" s="224" t="e">
        <f>(R35-R31)/(I35-I31)</f>
        <v>#DIV/0!</v>
      </c>
      <c r="S15" s="836"/>
      <c r="T15" s="222" t="s">
        <v>44</v>
      </c>
      <c r="U15" s="209"/>
      <c r="V15" s="262" t="s">
        <v>300</v>
      </c>
      <c r="W15" s="1149"/>
      <c r="X15" s="1151"/>
    </row>
    <row r="16" spans="1:29" s="68" customFormat="1" ht="16" thickTop="1" x14ac:dyDescent="0.25">
      <c r="A16" s="63" t="s">
        <v>8</v>
      </c>
      <c r="B16" s="1073" t="s">
        <v>241</v>
      </c>
      <c r="C16" s="1146" t="s">
        <v>488</v>
      </c>
      <c r="D16" s="1105"/>
      <c r="E16" s="1105"/>
      <c r="F16" s="1105"/>
      <c r="G16" s="567" t="s">
        <v>32</v>
      </c>
      <c r="H16" s="65" t="s">
        <v>14</v>
      </c>
      <c r="I16" s="139">
        <v>50</v>
      </c>
      <c r="J16" s="145">
        <f>I16</f>
        <v>50</v>
      </c>
      <c r="K16" s="147">
        <f>IF(A16="Y", I16*2%,0)</f>
        <v>1</v>
      </c>
      <c r="L16" s="180">
        <f>I16-K16</f>
        <v>49</v>
      </c>
      <c r="M16" s="149"/>
      <c r="N16" s="1135"/>
      <c r="O16" s="1136"/>
      <c r="P16" s="172"/>
      <c r="Q16" s="66"/>
      <c r="R16" s="140">
        <f>IF($R$50=0,,IF($R$15*$I$16&gt;50,$I$16,$R$15*$I$16))</f>
        <v>0</v>
      </c>
      <c r="S16" s="147">
        <f>IF(A16="Y", R16*2%,)</f>
        <v>0</v>
      </c>
      <c r="T16" s="151">
        <f>R16-S16</f>
        <v>0</v>
      </c>
      <c r="U16" s="210"/>
      <c r="V16" s="145">
        <f>IF($V$15="BASE-UP   (B-A)", P16-L16,P16-T16)</f>
        <v>-49</v>
      </c>
      <c r="W16" s="550"/>
      <c r="X16" s="502"/>
      <c r="Y16" s="114"/>
      <c r="Z16" s="114"/>
      <c r="AA16" s="114"/>
      <c r="AB16" s="114"/>
      <c r="AC16" s="114"/>
    </row>
    <row r="17" spans="1:29" s="68" customFormat="1" ht="15.5" x14ac:dyDescent="0.25">
      <c r="A17" s="63" t="s">
        <v>8</v>
      </c>
      <c r="B17" s="1073"/>
      <c r="C17" s="1147" t="s">
        <v>489</v>
      </c>
      <c r="D17" s="812"/>
      <c r="E17" s="812"/>
      <c r="F17" s="812"/>
      <c r="G17" s="566" t="s">
        <v>32</v>
      </c>
      <c r="H17" s="71" t="s">
        <v>14</v>
      </c>
      <c r="I17" s="141">
        <v>50</v>
      </c>
      <c r="J17" s="140">
        <f>I17</f>
        <v>50</v>
      </c>
      <c r="K17" s="147">
        <f t="shared" ref="K17:K45" si="0">IF(A17="Y", I17*2%,0)</f>
        <v>1</v>
      </c>
      <c r="L17" s="152">
        <f t="shared" ref="L17:L46" si="1">I17-K17</f>
        <v>49</v>
      </c>
      <c r="M17" s="149"/>
      <c r="N17" s="804"/>
      <c r="O17" s="1078"/>
      <c r="P17" s="72"/>
      <c r="Q17" s="66"/>
      <c r="R17" s="140">
        <f>IF($R$50=0,,IF($R$15*$I$17&gt;50,$I$17,$R$15*$I$17))</f>
        <v>0</v>
      </c>
      <c r="S17" s="147">
        <f t="shared" ref="S17:S34" si="2">IF(A17="Y", R17*2%,)</f>
        <v>0</v>
      </c>
      <c r="T17" s="152">
        <f>R17-S17</f>
        <v>0</v>
      </c>
      <c r="U17" s="210"/>
      <c r="V17" s="145">
        <f t="shared" ref="V17:V48" si="3">IF($V$15="BASE-UP   (B-A)", P17-L17,P17-T17)</f>
        <v>-49</v>
      </c>
      <c r="W17" s="550"/>
      <c r="X17" s="457"/>
      <c r="Y17" s="114"/>
      <c r="Z17" s="114"/>
      <c r="AA17" s="114"/>
      <c r="AB17" s="114"/>
      <c r="AC17" s="114"/>
    </row>
    <row r="18" spans="1:29" s="68" customFormat="1" ht="15.5" x14ac:dyDescent="0.25">
      <c r="A18" s="63" t="s">
        <v>8</v>
      </c>
      <c r="B18" s="1073"/>
      <c r="C18" s="1147" t="s">
        <v>493</v>
      </c>
      <c r="D18" s="812"/>
      <c r="E18" s="812"/>
      <c r="F18" s="812"/>
      <c r="G18" s="566" t="s">
        <v>31</v>
      </c>
      <c r="H18" s="71" t="s">
        <v>51</v>
      </c>
      <c r="I18" s="141">
        <v>20</v>
      </c>
      <c r="J18" s="140">
        <f>I18</f>
        <v>20</v>
      </c>
      <c r="K18" s="147">
        <f t="shared" si="0"/>
        <v>0.4</v>
      </c>
      <c r="L18" s="152">
        <f t="shared" si="1"/>
        <v>19.600000000000001</v>
      </c>
      <c r="M18" s="149"/>
      <c r="N18" s="804"/>
      <c r="O18" s="1078"/>
      <c r="P18" s="72"/>
      <c r="Q18" s="66"/>
      <c r="R18" s="140">
        <f>IF($R$50=0,,IF($R$15*$I$18&gt;20,$I$18,$R$15*$I$18))</f>
        <v>0</v>
      </c>
      <c r="S18" s="147">
        <f t="shared" si="2"/>
        <v>0</v>
      </c>
      <c r="T18" s="152">
        <f t="shared" ref="T18:T46" si="4">R18-S18</f>
        <v>0</v>
      </c>
      <c r="U18" s="210"/>
      <c r="V18" s="145">
        <f t="shared" si="3"/>
        <v>-19.600000000000001</v>
      </c>
      <c r="W18" s="550"/>
      <c r="X18" s="457"/>
      <c r="Y18" s="114"/>
      <c r="Z18" s="114"/>
      <c r="AA18" s="114"/>
      <c r="AB18" s="114"/>
      <c r="AC18" s="114"/>
    </row>
    <row r="19" spans="1:29" s="68" customFormat="1" ht="15.5" x14ac:dyDescent="0.25">
      <c r="A19" s="63" t="s">
        <v>8</v>
      </c>
      <c r="B19" s="1073"/>
      <c r="C19" s="812" t="s">
        <v>212</v>
      </c>
      <c r="D19" s="812"/>
      <c r="E19" s="812"/>
      <c r="F19" s="812"/>
      <c r="G19" s="566" t="s">
        <v>32</v>
      </c>
      <c r="H19" s="71" t="s">
        <v>27</v>
      </c>
      <c r="I19" s="140">
        <f>(D10-SUM(I16:I18))*D8</f>
        <v>-120</v>
      </c>
      <c r="J19" s="140">
        <f>((SUM(I16:I20)*J15)-SUM(J16:J18))*D8</f>
        <v>-120</v>
      </c>
      <c r="K19" s="147">
        <f t="shared" si="0"/>
        <v>-2.4</v>
      </c>
      <c r="L19" s="152">
        <f t="shared" si="1"/>
        <v>-117.6</v>
      </c>
      <c r="M19" s="149"/>
      <c r="N19" s="804"/>
      <c r="O19" s="1078"/>
      <c r="P19" s="72"/>
      <c r="Q19" s="66"/>
      <c r="R19" s="140">
        <f>IF($R$50=0,,(($R$15*$D$10)-SUM($R$16:$R$18))*D8)</f>
        <v>0</v>
      </c>
      <c r="S19" s="147">
        <f t="shared" si="2"/>
        <v>0</v>
      </c>
      <c r="T19" s="152">
        <f t="shared" si="4"/>
        <v>0</v>
      </c>
      <c r="U19" s="210"/>
      <c r="V19" s="145">
        <f t="shared" si="3"/>
        <v>117.6</v>
      </c>
      <c r="W19" s="620"/>
      <c r="X19" s="621"/>
      <c r="Y19" s="114"/>
      <c r="Z19" s="114"/>
      <c r="AA19" s="114"/>
      <c r="AB19" s="114"/>
      <c r="AC19" s="114"/>
    </row>
    <row r="20" spans="1:29" s="68" customFormat="1" ht="15.5" x14ac:dyDescent="0.25">
      <c r="A20" s="63" t="s">
        <v>8</v>
      </c>
      <c r="B20" s="1074"/>
      <c r="C20" s="812" t="s">
        <v>213</v>
      </c>
      <c r="D20" s="812"/>
      <c r="E20" s="812"/>
      <c r="F20" s="812"/>
      <c r="G20" s="566" t="s">
        <v>52</v>
      </c>
      <c r="H20" s="71" t="s">
        <v>25</v>
      </c>
      <c r="I20" s="140">
        <f>(D10-SUM(I16:I18))*D9</f>
        <v>0</v>
      </c>
      <c r="J20" s="140">
        <f>((SUM(I16:I20)*J15)-SUM(J16:J18))*D9</f>
        <v>0</v>
      </c>
      <c r="K20" s="147">
        <f t="shared" si="0"/>
        <v>0</v>
      </c>
      <c r="L20" s="152">
        <f t="shared" si="1"/>
        <v>0</v>
      </c>
      <c r="M20" s="149"/>
      <c r="N20" s="804"/>
      <c r="O20" s="1078"/>
      <c r="P20" s="72"/>
      <c r="Q20" s="66"/>
      <c r="R20" s="140">
        <f>IF($R$50=0,,(($R$15*$D$10)-SUM($R$16:$R$18))*D9)</f>
        <v>0</v>
      </c>
      <c r="S20" s="147">
        <f t="shared" si="2"/>
        <v>0</v>
      </c>
      <c r="T20" s="152">
        <f t="shared" si="4"/>
        <v>0</v>
      </c>
      <c r="U20" s="210"/>
      <c r="V20" s="145">
        <f t="shared" si="3"/>
        <v>0</v>
      </c>
      <c r="W20" s="620"/>
      <c r="X20" s="621"/>
      <c r="Y20" s="114"/>
      <c r="Z20" s="114"/>
      <c r="AA20" s="114"/>
      <c r="AB20" s="114"/>
      <c r="AC20" s="114"/>
    </row>
    <row r="21" spans="1:29" s="68" customFormat="1" ht="15.5" x14ac:dyDescent="0.25">
      <c r="A21" s="63" t="s">
        <v>8</v>
      </c>
      <c r="B21" s="69">
        <v>7</v>
      </c>
      <c r="C21" s="812" t="s">
        <v>546</v>
      </c>
      <c r="D21" s="812"/>
      <c r="E21" s="812"/>
      <c r="F21" s="812"/>
      <c r="G21" s="566" t="s">
        <v>31</v>
      </c>
      <c r="H21" s="71" t="s">
        <v>26</v>
      </c>
      <c r="I21" s="140">
        <f>$D$11*B21</f>
        <v>0</v>
      </c>
      <c r="J21" s="140">
        <f>$J$15*I21</f>
        <v>0</v>
      </c>
      <c r="K21" s="147">
        <f t="shared" si="0"/>
        <v>0</v>
      </c>
      <c r="L21" s="152">
        <f t="shared" si="1"/>
        <v>0</v>
      </c>
      <c r="M21" s="149"/>
      <c r="N21" s="804"/>
      <c r="O21" s="1078"/>
      <c r="P21" s="454"/>
      <c r="Q21" s="75"/>
      <c r="R21" s="140">
        <f t="shared" ref="R21:R30" si="5">IF($R$50=0,,$R$15*I21)</f>
        <v>0</v>
      </c>
      <c r="S21" s="147">
        <f t="shared" si="2"/>
        <v>0</v>
      </c>
      <c r="T21" s="152">
        <f t="shared" si="4"/>
        <v>0</v>
      </c>
      <c r="U21" s="210"/>
      <c r="V21" s="145">
        <f t="shared" si="3"/>
        <v>0</v>
      </c>
      <c r="W21" s="550"/>
      <c r="X21" s="457"/>
      <c r="Y21" s="114"/>
      <c r="AA21" s="114"/>
      <c r="AB21" s="114"/>
      <c r="AC21" s="114"/>
    </row>
    <row r="22" spans="1:29" s="68" customFormat="1" ht="15.75" customHeight="1" x14ac:dyDescent="0.25">
      <c r="A22" s="63" t="s">
        <v>8</v>
      </c>
      <c r="B22" s="69">
        <v>3</v>
      </c>
      <c r="C22" s="812" t="s">
        <v>547</v>
      </c>
      <c r="D22" s="812"/>
      <c r="E22" s="812"/>
      <c r="F22" s="812"/>
      <c r="G22" s="566" t="s">
        <v>32</v>
      </c>
      <c r="H22" s="71" t="s">
        <v>27</v>
      </c>
      <c r="I22" s="140">
        <f t="shared" ref="I22:I33" si="6">$D$11*B22</f>
        <v>0</v>
      </c>
      <c r="J22" s="140">
        <f t="shared" ref="J22:J34" si="7">$J$15*I22</f>
        <v>0</v>
      </c>
      <c r="K22" s="147">
        <f t="shared" si="0"/>
        <v>0</v>
      </c>
      <c r="L22" s="152">
        <f t="shared" si="1"/>
        <v>0</v>
      </c>
      <c r="M22" s="149"/>
      <c r="N22" s="804"/>
      <c r="O22" s="1078"/>
      <c r="P22" s="72"/>
      <c r="Q22" s="66"/>
      <c r="R22" s="140">
        <f t="shared" si="5"/>
        <v>0</v>
      </c>
      <c r="S22" s="147">
        <f t="shared" si="2"/>
        <v>0</v>
      </c>
      <c r="T22" s="152">
        <f t="shared" si="4"/>
        <v>0</v>
      </c>
      <c r="U22" s="210"/>
      <c r="V22" s="145">
        <f t="shared" si="3"/>
        <v>0</v>
      </c>
      <c r="W22" s="550"/>
      <c r="X22" s="457"/>
      <c r="Y22" s="114"/>
      <c r="Z22" s="114"/>
      <c r="AA22" s="114"/>
      <c r="AB22" s="114"/>
      <c r="AC22" s="114"/>
    </row>
    <row r="23" spans="1:29" s="68" customFormat="1" ht="17.25" customHeight="1" x14ac:dyDescent="0.25">
      <c r="A23" s="63" t="s">
        <v>8</v>
      </c>
      <c r="B23" s="69">
        <v>1</v>
      </c>
      <c r="C23" s="804" t="s">
        <v>216</v>
      </c>
      <c r="D23" s="805"/>
      <c r="E23" s="805"/>
      <c r="F23" s="945"/>
      <c r="G23" s="566" t="s">
        <v>32</v>
      </c>
      <c r="H23" s="71" t="s">
        <v>55</v>
      </c>
      <c r="I23" s="140">
        <f t="shared" si="6"/>
        <v>0</v>
      </c>
      <c r="J23" s="140">
        <f t="shared" si="7"/>
        <v>0</v>
      </c>
      <c r="K23" s="147">
        <f t="shared" si="0"/>
        <v>0</v>
      </c>
      <c r="L23" s="152">
        <f t="shared" si="1"/>
        <v>0</v>
      </c>
      <c r="M23" s="149"/>
      <c r="N23" s="804"/>
      <c r="O23" s="1078"/>
      <c r="P23" s="72"/>
      <c r="Q23" s="66"/>
      <c r="R23" s="140">
        <f t="shared" si="5"/>
        <v>0</v>
      </c>
      <c r="S23" s="147">
        <f t="shared" si="2"/>
        <v>0</v>
      </c>
      <c r="T23" s="152">
        <f t="shared" si="4"/>
        <v>0</v>
      </c>
      <c r="U23" s="210"/>
      <c r="V23" s="145">
        <f t="shared" si="3"/>
        <v>0</v>
      </c>
      <c r="W23" s="550"/>
      <c r="X23" s="457"/>
      <c r="Y23" s="114"/>
      <c r="Z23" s="114"/>
      <c r="AA23" s="114"/>
      <c r="AB23" s="114"/>
      <c r="AC23" s="114"/>
    </row>
    <row r="24" spans="1:29" s="68" customFormat="1" ht="15.5" x14ac:dyDescent="0.25">
      <c r="A24" s="63" t="s">
        <v>8</v>
      </c>
      <c r="B24" s="69">
        <v>4</v>
      </c>
      <c r="C24" s="804" t="s">
        <v>466</v>
      </c>
      <c r="D24" s="805"/>
      <c r="E24" s="805"/>
      <c r="F24" s="945"/>
      <c r="G24" s="566" t="s">
        <v>31</v>
      </c>
      <c r="H24" s="71" t="s">
        <v>72</v>
      </c>
      <c r="I24" s="140">
        <f t="shared" si="6"/>
        <v>0</v>
      </c>
      <c r="J24" s="140">
        <f t="shared" si="7"/>
        <v>0</v>
      </c>
      <c r="K24" s="147">
        <f t="shared" si="0"/>
        <v>0</v>
      </c>
      <c r="L24" s="152">
        <f t="shared" si="1"/>
        <v>0</v>
      </c>
      <c r="M24" s="149"/>
      <c r="N24" s="804"/>
      <c r="O24" s="1078"/>
      <c r="P24" s="72"/>
      <c r="Q24" s="66"/>
      <c r="R24" s="140">
        <f t="shared" si="5"/>
        <v>0</v>
      </c>
      <c r="S24" s="147">
        <f t="shared" si="2"/>
        <v>0</v>
      </c>
      <c r="T24" s="152">
        <f t="shared" si="4"/>
        <v>0</v>
      </c>
      <c r="U24" s="210"/>
      <c r="V24" s="145">
        <f t="shared" si="3"/>
        <v>0</v>
      </c>
      <c r="W24" s="551"/>
      <c r="X24" s="500"/>
      <c r="Y24" s="114"/>
      <c r="Z24" s="114"/>
      <c r="AA24" s="114"/>
      <c r="AB24" s="114"/>
      <c r="AC24" s="114"/>
    </row>
    <row r="25" spans="1:29" s="68" customFormat="1" ht="15" customHeight="1" x14ac:dyDescent="0.25">
      <c r="A25" s="63" t="s">
        <v>8</v>
      </c>
      <c r="B25" s="163">
        <v>0</v>
      </c>
      <c r="C25" s="812" t="s">
        <v>217</v>
      </c>
      <c r="D25" s="812"/>
      <c r="E25" s="813" t="str">
        <f>IF(SUM(B25:B29)=P11,"GC 76000 PA ($" &amp;P11 &amp; " for every 10) breakdown = local Board of Supervisor resolution (BOS).","ERROR! GC 76000 PA total is not $" &amp;P11&amp; ". Check local Board of Supervisor resolution.")</f>
        <v>ERROR! GC 76000 PA total is not $5. Check local Board of Supervisor resolution.</v>
      </c>
      <c r="F25" s="1143"/>
      <c r="G25" s="566" t="s">
        <v>32</v>
      </c>
      <c r="H25" s="71" t="s">
        <v>64</v>
      </c>
      <c r="I25" s="140">
        <f t="shared" si="6"/>
        <v>0</v>
      </c>
      <c r="J25" s="140">
        <f t="shared" si="7"/>
        <v>0</v>
      </c>
      <c r="K25" s="147">
        <f t="shared" si="0"/>
        <v>0</v>
      </c>
      <c r="L25" s="152">
        <f t="shared" si="1"/>
        <v>0</v>
      </c>
      <c r="M25" s="149"/>
      <c r="N25" s="804"/>
      <c r="O25" s="1078"/>
      <c r="P25" s="72"/>
      <c r="Q25" s="66"/>
      <c r="R25" s="140">
        <f t="shared" si="5"/>
        <v>0</v>
      </c>
      <c r="S25" s="147">
        <f t="shared" ref="S25:S30" si="8">IF(A25="Y", R25*2%,)</f>
        <v>0</v>
      </c>
      <c r="T25" s="152">
        <f t="shared" ref="T25:T30" si="9">R25-S25</f>
        <v>0</v>
      </c>
      <c r="U25" s="210"/>
      <c r="V25" s="145">
        <f t="shared" si="3"/>
        <v>0</v>
      </c>
      <c r="W25" s="620"/>
      <c r="X25" s="457"/>
      <c r="Y25" s="114"/>
      <c r="Z25" s="114"/>
      <c r="AA25" s="114"/>
      <c r="AB25" s="114"/>
      <c r="AC25" s="114"/>
    </row>
    <row r="26" spans="1:29" s="68" customFormat="1" ht="15" customHeight="1" x14ac:dyDescent="0.25">
      <c r="A26" s="63" t="s">
        <v>8</v>
      </c>
      <c r="B26" s="163">
        <v>1</v>
      </c>
      <c r="C26" s="812" t="s">
        <v>218</v>
      </c>
      <c r="D26" s="812"/>
      <c r="E26" s="815"/>
      <c r="F26" s="1144"/>
      <c r="G26" s="566" t="s">
        <v>32</v>
      </c>
      <c r="H26" s="71" t="s">
        <v>35</v>
      </c>
      <c r="I26" s="140">
        <f t="shared" si="6"/>
        <v>0</v>
      </c>
      <c r="J26" s="140">
        <f t="shared" si="7"/>
        <v>0</v>
      </c>
      <c r="K26" s="147">
        <f t="shared" si="0"/>
        <v>0</v>
      </c>
      <c r="L26" s="152">
        <f t="shared" si="1"/>
        <v>0</v>
      </c>
      <c r="M26" s="149"/>
      <c r="N26" s="804"/>
      <c r="O26" s="1078"/>
      <c r="P26" s="72"/>
      <c r="Q26" s="66"/>
      <c r="R26" s="140">
        <f t="shared" si="5"/>
        <v>0</v>
      </c>
      <c r="S26" s="147">
        <f t="shared" si="8"/>
        <v>0</v>
      </c>
      <c r="T26" s="152">
        <f t="shared" si="9"/>
        <v>0</v>
      </c>
      <c r="U26" s="210"/>
      <c r="V26" s="145">
        <f t="shared" si="3"/>
        <v>0</v>
      </c>
      <c r="W26" s="550"/>
      <c r="X26" s="457"/>
      <c r="Y26" s="114"/>
      <c r="Z26" s="114"/>
      <c r="AA26" s="114"/>
      <c r="AB26" s="114"/>
      <c r="AC26" s="114"/>
    </row>
    <row r="27" spans="1:29" s="68" customFormat="1" ht="15" customHeight="1" x14ac:dyDescent="0.25">
      <c r="A27" s="63" t="s">
        <v>8</v>
      </c>
      <c r="B27" s="163">
        <v>1</v>
      </c>
      <c r="C27" s="812" t="s">
        <v>219</v>
      </c>
      <c r="D27" s="812"/>
      <c r="E27" s="815"/>
      <c r="F27" s="1144"/>
      <c r="G27" s="566" t="s">
        <v>32</v>
      </c>
      <c r="H27" s="71" t="s">
        <v>65</v>
      </c>
      <c r="I27" s="140">
        <f t="shared" si="6"/>
        <v>0</v>
      </c>
      <c r="J27" s="140">
        <f t="shared" si="7"/>
        <v>0</v>
      </c>
      <c r="K27" s="147">
        <f t="shared" si="0"/>
        <v>0</v>
      </c>
      <c r="L27" s="152">
        <f t="shared" si="1"/>
        <v>0</v>
      </c>
      <c r="M27" s="149"/>
      <c r="N27" s="804"/>
      <c r="O27" s="1078"/>
      <c r="P27" s="72"/>
      <c r="Q27" s="66"/>
      <c r="R27" s="140">
        <f t="shared" si="5"/>
        <v>0</v>
      </c>
      <c r="S27" s="147">
        <f t="shared" si="8"/>
        <v>0</v>
      </c>
      <c r="T27" s="152">
        <f t="shared" si="9"/>
        <v>0</v>
      </c>
      <c r="U27" s="210"/>
      <c r="V27" s="145">
        <f t="shared" si="3"/>
        <v>0</v>
      </c>
      <c r="W27" s="550"/>
      <c r="X27" s="457"/>
      <c r="Y27" s="114"/>
      <c r="Z27" s="114"/>
      <c r="AA27" s="114"/>
      <c r="AB27" s="114"/>
      <c r="AC27" s="114"/>
    </row>
    <row r="28" spans="1:29" s="68" customFormat="1" ht="15" customHeight="1" x14ac:dyDescent="0.25">
      <c r="A28" s="63" t="s">
        <v>8</v>
      </c>
      <c r="B28" s="163">
        <v>0.5</v>
      </c>
      <c r="C28" s="812" t="s">
        <v>401</v>
      </c>
      <c r="D28" s="812"/>
      <c r="E28" s="815"/>
      <c r="F28" s="1144"/>
      <c r="G28" s="566" t="s">
        <v>32</v>
      </c>
      <c r="H28" s="71" t="s">
        <v>65</v>
      </c>
      <c r="I28" s="140">
        <f>$D$11*B28</f>
        <v>0</v>
      </c>
      <c r="J28" s="140">
        <f>$J$15*I28</f>
        <v>0</v>
      </c>
      <c r="K28" s="147">
        <f>IF(A28="Y", I28*2%,0)</f>
        <v>0</v>
      </c>
      <c r="L28" s="152">
        <f>I28-K28</f>
        <v>0</v>
      </c>
      <c r="M28" s="149"/>
      <c r="N28" s="804"/>
      <c r="O28" s="1078"/>
      <c r="P28" s="72"/>
      <c r="Q28" s="66"/>
      <c r="R28" s="140">
        <f t="shared" si="5"/>
        <v>0</v>
      </c>
      <c r="S28" s="147">
        <f t="shared" si="8"/>
        <v>0</v>
      </c>
      <c r="T28" s="152">
        <f t="shared" si="9"/>
        <v>0</v>
      </c>
      <c r="U28" s="210"/>
      <c r="V28" s="145">
        <f>IF($V$15="BASE-UP   (B-A)", P28-L28,P28-T28)</f>
        <v>0</v>
      </c>
      <c r="W28" s="550"/>
      <c r="X28" s="457"/>
      <c r="Y28" s="114"/>
      <c r="Z28" s="114"/>
      <c r="AA28" s="114"/>
      <c r="AB28" s="114"/>
      <c r="AC28" s="114"/>
    </row>
    <row r="29" spans="1:29" s="68" customFormat="1" ht="15.5" x14ac:dyDescent="0.25">
      <c r="A29" s="63" t="s">
        <v>8</v>
      </c>
      <c r="B29" s="163">
        <v>1</v>
      </c>
      <c r="C29" s="812" t="s">
        <v>254</v>
      </c>
      <c r="D29" s="812"/>
      <c r="E29" s="817"/>
      <c r="F29" s="1145"/>
      <c r="G29" s="566" t="s">
        <v>32</v>
      </c>
      <c r="H29" s="71"/>
      <c r="I29" s="140">
        <f t="shared" si="6"/>
        <v>0</v>
      </c>
      <c r="J29" s="140">
        <f t="shared" si="7"/>
        <v>0</v>
      </c>
      <c r="K29" s="147">
        <f t="shared" si="0"/>
        <v>0</v>
      </c>
      <c r="L29" s="152">
        <f t="shared" si="1"/>
        <v>0</v>
      </c>
      <c r="M29" s="149"/>
      <c r="N29" s="804"/>
      <c r="O29" s="1078"/>
      <c r="P29" s="72"/>
      <c r="Q29" s="66"/>
      <c r="R29" s="140">
        <f t="shared" si="5"/>
        <v>0</v>
      </c>
      <c r="S29" s="147">
        <f t="shared" si="8"/>
        <v>0</v>
      </c>
      <c r="T29" s="152">
        <f t="shared" si="9"/>
        <v>0</v>
      </c>
      <c r="U29" s="210"/>
      <c r="V29" s="145">
        <f t="shared" si="3"/>
        <v>0</v>
      </c>
      <c r="W29" s="550"/>
      <c r="X29" s="457"/>
      <c r="Y29" s="114"/>
      <c r="Z29" s="114"/>
      <c r="AA29" s="114"/>
      <c r="AB29" s="114"/>
      <c r="AC29" s="114"/>
    </row>
    <row r="30" spans="1:29" s="68" customFormat="1" ht="15.5" x14ac:dyDescent="0.25">
      <c r="A30" s="63" t="s">
        <v>8</v>
      </c>
      <c r="B30" s="163">
        <v>2</v>
      </c>
      <c r="C30" s="804" t="s">
        <v>286</v>
      </c>
      <c r="D30" s="805"/>
      <c r="E30" s="805"/>
      <c r="F30" s="945"/>
      <c r="G30" s="566" t="s">
        <v>32</v>
      </c>
      <c r="H30" s="71" t="s">
        <v>36</v>
      </c>
      <c r="I30" s="140">
        <f t="shared" si="6"/>
        <v>0</v>
      </c>
      <c r="J30" s="140">
        <f t="shared" si="7"/>
        <v>0</v>
      </c>
      <c r="K30" s="147">
        <f t="shared" si="0"/>
        <v>0</v>
      </c>
      <c r="L30" s="152">
        <f t="shared" si="1"/>
        <v>0</v>
      </c>
      <c r="M30" s="149"/>
      <c r="N30" s="804"/>
      <c r="O30" s="1078"/>
      <c r="P30" s="72"/>
      <c r="Q30" s="66"/>
      <c r="R30" s="140">
        <f t="shared" si="5"/>
        <v>0</v>
      </c>
      <c r="S30" s="147">
        <f t="shared" si="8"/>
        <v>0</v>
      </c>
      <c r="T30" s="152">
        <f t="shared" si="9"/>
        <v>0</v>
      </c>
      <c r="U30" s="210"/>
      <c r="V30" s="145">
        <f t="shared" si="3"/>
        <v>0</v>
      </c>
      <c r="W30" s="550"/>
      <c r="X30" s="457"/>
      <c r="Y30" s="114"/>
      <c r="Z30" s="114"/>
      <c r="AA30" s="114"/>
      <c r="AB30" s="114"/>
      <c r="AC30" s="114"/>
    </row>
    <row r="31" spans="1:29" s="80" customFormat="1" ht="15" customHeight="1" x14ac:dyDescent="0.25">
      <c r="A31" s="63" t="s">
        <v>8</v>
      </c>
      <c r="B31" s="76"/>
      <c r="C31" s="804" t="s">
        <v>385</v>
      </c>
      <c r="D31" s="805"/>
      <c r="E31" s="805"/>
      <c r="F31" s="945"/>
      <c r="G31" s="566" t="s">
        <v>31</v>
      </c>
      <c r="H31" s="78"/>
      <c r="I31" s="186">
        <v>4</v>
      </c>
      <c r="J31" s="140">
        <f>$J$15*I31</f>
        <v>1670</v>
      </c>
      <c r="K31" s="147">
        <f>IF(A31="Y", I31*2%,0)</f>
        <v>0.08</v>
      </c>
      <c r="L31" s="152">
        <f>I31-K31</f>
        <v>3.92</v>
      </c>
      <c r="M31" s="150"/>
      <c r="N31" s="804"/>
      <c r="O31" s="1078"/>
      <c r="P31" s="166"/>
      <c r="Q31" s="111"/>
      <c r="R31" s="140">
        <f>IF($R$50=0,,I31)</f>
        <v>0</v>
      </c>
      <c r="S31" s="147">
        <f>IF(A31="Y", R31*2%,)</f>
        <v>0</v>
      </c>
      <c r="T31" s="152">
        <f>R31-S31</f>
        <v>0</v>
      </c>
      <c r="U31" s="210"/>
      <c r="V31" s="145">
        <f>IF($V$15="BASE-UP   (B-A)", P31-L31,P31-T31)</f>
        <v>-3.92</v>
      </c>
      <c r="W31" s="551"/>
      <c r="X31" s="503"/>
      <c r="Y31" s="129"/>
      <c r="Z31" s="129"/>
      <c r="AA31" s="129"/>
      <c r="AB31" s="129"/>
      <c r="AC31" s="129"/>
    </row>
    <row r="32" spans="1:29" s="68" customFormat="1" ht="30" customHeight="1" x14ac:dyDescent="0.25">
      <c r="A32" s="63" t="s">
        <v>8</v>
      </c>
      <c r="B32" s="634">
        <v>2</v>
      </c>
      <c r="C32" s="804" t="s">
        <v>555</v>
      </c>
      <c r="D32" s="805"/>
      <c r="E32" s="945"/>
      <c r="F32" s="1141" t="s">
        <v>281</v>
      </c>
      <c r="G32" s="566" t="s">
        <v>31</v>
      </c>
      <c r="H32" s="71" t="s">
        <v>37</v>
      </c>
      <c r="I32" s="140">
        <f t="shared" si="6"/>
        <v>0</v>
      </c>
      <c r="J32" s="140">
        <f t="shared" si="7"/>
        <v>0</v>
      </c>
      <c r="K32" s="147">
        <f t="shared" si="0"/>
        <v>0</v>
      </c>
      <c r="L32" s="152">
        <f t="shared" si="1"/>
        <v>0</v>
      </c>
      <c r="M32" s="149"/>
      <c r="N32" s="804"/>
      <c r="O32" s="1078"/>
      <c r="P32" s="72"/>
      <c r="Q32" s="66"/>
      <c r="R32" s="140">
        <f>IF($R$50=0,,$R$15*I32)</f>
        <v>0</v>
      </c>
      <c r="S32" s="147">
        <f t="shared" si="2"/>
        <v>0</v>
      </c>
      <c r="T32" s="152">
        <f t="shared" si="4"/>
        <v>0</v>
      </c>
      <c r="U32" s="210"/>
      <c r="V32" s="145">
        <f t="shared" si="3"/>
        <v>0</v>
      </c>
      <c r="W32" s="620"/>
      <c r="X32" s="457"/>
      <c r="Y32" s="114"/>
      <c r="Z32" s="114"/>
      <c r="AA32" s="114"/>
      <c r="AB32" s="114"/>
      <c r="AC32" s="114"/>
    </row>
    <row r="33" spans="1:29" s="68" customFormat="1" ht="15.75" customHeight="1" x14ac:dyDescent="0.25">
      <c r="A33" s="63" t="s">
        <v>8</v>
      </c>
      <c r="B33" s="164">
        <f>5-B32</f>
        <v>3</v>
      </c>
      <c r="C33" s="804" t="s">
        <v>556</v>
      </c>
      <c r="D33" s="805"/>
      <c r="E33" s="945"/>
      <c r="F33" s="1142"/>
      <c r="G33" s="576" t="s">
        <v>31</v>
      </c>
      <c r="H33" s="71" t="s">
        <v>197</v>
      </c>
      <c r="I33" s="140">
        <f t="shared" si="6"/>
        <v>0</v>
      </c>
      <c r="J33" s="140">
        <f t="shared" si="7"/>
        <v>0</v>
      </c>
      <c r="K33" s="147">
        <f t="shared" si="0"/>
        <v>0</v>
      </c>
      <c r="L33" s="152">
        <f t="shared" si="1"/>
        <v>0</v>
      </c>
      <c r="M33" s="149"/>
      <c r="N33" s="804"/>
      <c r="O33" s="1078"/>
      <c r="P33" s="72"/>
      <c r="Q33" s="66"/>
      <c r="R33" s="140">
        <f>IF($R$50=0,,$R$15*I33)</f>
        <v>0</v>
      </c>
      <c r="S33" s="147">
        <f t="shared" si="2"/>
        <v>0</v>
      </c>
      <c r="T33" s="152">
        <f t="shared" si="4"/>
        <v>0</v>
      </c>
      <c r="U33" s="210"/>
      <c r="V33" s="145">
        <f t="shared" si="3"/>
        <v>0</v>
      </c>
      <c r="W33" s="550"/>
      <c r="X33" s="457"/>
      <c r="Y33" s="114"/>
      <c r="Z33" s="114"/>
      <c r="AA33" s="114"/>
      <c r="AB33" s="114"/>
      <c r="AC33" s="114"/>
    </row>
    <row r="34" spans="1:29" s="68" customFormat="1" ht="15.5" x14ac:dyDescent="0.25">
      <c r="A34" s="63" t="s">
        <v>7</v>
      </c>
      <c r="B34" s="69"/>
      <c r="C34" s="804" t="s">
        <v>220</v>
      </c>
      <c r="D34" s="805"/>
      <c r="E34" s="805"/>
      <c r="F34" s="945"/>
      <c r="G34" s="566" t="s">
        <v>31</v>
      </c>
      <c r="H34" s="71" t="s">
        <v>10</v>
      </c>
      <c r="I34" s="140">
        <f>$D$10*20%</f>
        <v>0</v>
      </c>
      <c r="J34" s="140">
        <f t="shared" si="7"/>
        <v>0</v>
      </c>
      <c r="K34" s="147">
        <f t="shared" si="0"/>
        <v>0</v>
      </c>
      <c r="L34" s="152">
        <f t="shared" si="1"/>
        <v>0</v>
      </c>
      <c r="M34" s="149"/>
      <c r="N34" s="804"/>
      <c r="O34" s="1078"/>
      <c r="P34" s="72"/>
      <c r="Q34" s="66"/>
      <c r="R34" s="140">
        <f>IF($R$50=0,,$R$15*I34)</f>
        <v>0</v>
      </c>
      <c r="S34" s="147">
        <f t="shared" si="2"/>
        <v>0</v>
      </c>
      <c r="T34" s="152">
        <f t="shared" si="4"/>
        <v>0</v>
      </c>
      <c r="U34" s="210"/>
      <c r="V34" s="145">
        <f t="shared" si="3"/>
        <v>0</v>
      </c>
      <c r="W34" s="550"/>
      <c r="X34" s="457"/>
      <c r="Y34" s="114"/>
      <c r="Z34" s="114"/>
      <c r="AA34" s="114"/>
      <c r="AB34" s="114"/>
      <c r="AC34" s="114"/>
    </row>
    <row r="35" spans="1:29" s="80" customFormat="1" ht="15.5" x14ac:dyDescent="0.25">
      <c r="A35" s="63"/>
      <c r="B35" s="76"/>
      <c r="C35" s="810" t="s">
        <v>221</v>
      </c>
      <c r="D35" s="811"/>
      <c r="E35" s="811"/>
      <c r="F35" s="946"/>
      <c r="G35" s="573"/>
      <c r="H35" s="78"/>
      <c r="I35" s="142">
        <f>SUM(I16:I34)</f>
        <v>4</v>
      </c>
      <c r="J35" s="142">
        <f>J50-SUM(J36:J46)</f>
        <v>1670</v>
      </c>
      <c r="K35" s="147"/>
      <c r="L35" s="153">
        <f>SUM(L16:L34)</f>
        <v>3.92</v>
      </c>
      <c r="M35" s="150"/>
      <c r="N35" s="804"/>
      <c r="O35" s="1078"/>
      <c r="P35" s="166">
        <f>SUM(P16:P34)</f>
        <v>0</v>
      </c>
      <c r="Q35" s="111"/>
      <c r="R35" s="142">
        <f>IF($R$50=0,,R50-SUM(R36:R46))</f>
        <v>0</v>
      </c>
      <c r="S35" s="147"/>
      <c r="T35" s="153">
        <f>SUM(T16:T34)</f>
        <v>0</v>
      </c>
      <c r="U35" s="211"/>
      <c r="V35" s="145">
        <f>SUM(V16:V34)</f>
        <v>-3.92</v>
      </c>
      <c r="W35" s="550"/>
      <c r="X35" s="458"/>
      <c r="Y35" s="129"/>
      <c r="Z35" s="129"/>
      <c r="AA35" s="129"/>
      <c r="AB35" s="129"/>
      <c r="AC35" s="129"/>
    </row>
    <row r="36" spans="1:29" s="68" customFormat="1" ht="15.75" customHeight="1" x14ac:dyDescent="0.25">
      <c r="A36" s="63" t="s">
        <v>7</v>
      </c>
      <c r="B36" s="69"/>
      <c r="C36" s="804" t="s">
        <v>419</v>
      </c>
      <c r="D36" s="805"/>
      <c r="E36" s="805"/>
      <c r="F36" s="945"/>
      <c r="G36" s="566" t="s">
        <v>31</v>
      </c>
      <c r="H36" s="81" t="s">
        <v>39</v>
      </c>
      <c r="I36" s="186">
        <v>40</v>
      </c>
      <c r="J36" s="140">
        <f>I36</f>
        <v>40</v>
      </c>
      <c r="K36" s="147">
        <f t="shared" si="0"/>
        <v>0</v>
      </c>
      <c r="L36" s="152">
        <f t="shared" si="1"/>
        <v>40</v>
      </c>
      <c r="M36" s="149"/>
      <c r="N36" s="804"/>
      <c r="O36" s="1078"/>
      <c r="P36" s="72"/>
      <c r="Q36" s="66"/>
      <c r="R36" s="140">
        <f t="shared" ref="R36:R41" si="10">IF($R$50=0,,I36)</f>
        <v>0</v>
      </c>
      <c r="S36" s="147">
        <f t="shared" ref="S36:S45" si="11">IF(A36="Y", R36*2%,)</f>
        <v>0</v>
      </c>
      <c r="T36" s="152">
        <f t="shared" si="4"/>
        <v>0</v>
      </c>
      <c r="U36" s="210"/>
      <c r="V36" s="145">
        <f t="shared" si="3"/>
        <v>-40</v>
      </c>
      <c r="W36" s="551"/>
      <c r="X36" s="500"/>
      <c r="Y36" s="114"/>
      <c r="Z36" s="114"/>
      <c r="AA36" s="114"/>
      <c r="AB36" s="114"/>
      <c r="AC36" s="114"/>
    </row>
    <row r="37" spans="1:29" s="68" customFormat="1" ht="15.5" x14ac:dyDescent="0.25">
      <c r="A37" s="63" t="s">
        <v>7</v>
      </c>
      <c r="B37" s="69"/>
      <c r="C37" s="806" t="s">
        <v>259</v>
      </c>
      <c r="D37" s="807"/>
      <c r="E37" s="807"/>
      <c r="F37" s="944"/>
      <c r="G37" s="574" t="s">
        <v>31</v>
      </c>
      <c r="H37" s="82" t="s">
        <v>197</v>
      </c>
      <c r="I37" s="186">
        <v>30</v>
      </c>
      <c r="J37" s="140">
        <f t="shared" ref="J37:J46" si="12">I37</f>
        <v>30</v>
      </c>
      <c r="K37" s="147">
        <f t="shared" si="0"/>
        <v>0</v>
      </c>
      <c r="L37" s="152">
        <f t="shared" si="1"/>
        <v>30</v>
      </c>
      <c r="M37" s="149"/>
      <c r="N37" s="804"/>
      <c r="O37" s="1078"/>
      <c r="P37" s="72"/>
      <c r="Q37" s="66"/>
      <c r="R37" s="140">
        <f t="shared" si="10"/>
        <v>0</v>
      </c>
      <c r="S37" s="147">
        <f t="shared" si="11"/>
        <v>0</v>
      </c>
      <c r="T37" s="152">
        <f t="shared" si="4"/>
        <v>0</v>
      </c>
      <c r="U37" s="210"/>
      <c r="V37" s="145">
        <f t="shared" si="3"/>
        <v>-30</v>
      </c>
      <c r="W37" s="620"/>
      <c r="X37" s="457"/>
      <c r="Y37" s="114"/>
      <c r="Z37" s="114"/>
      <c r="AA37" s="114"/>
      <c r="AB37" s="114"/>
      <c r="AC37" s="114"/>
    </row>
    <row r="38" spans="1:29" s="68" customFormat="1" ht="15.5" x14ac:dyDescent="0.25">
      <c r="A38" s="63" t="s">
        <v>7</v>
      </c>
      <c r="B38" s="83"/>
      <c r="C38" s="806" t="s">
        <v>421</v>
      </c>
      <c r="D38" s="807"/>
      <c r="E38" s="807"/>
      <c r="F38" s="944"/>
      <c r="G38" s="574" t="s">
        <v>230</v>
      </c>
      <c r="H38" s="82" t="s">
        <v>24</v>
      </c>
      <c r="I38" s="186"/>
      <c r="J38" s="140">
        <f t="shared" si="12"/>
        <v>0</v>
      </c>
      <c r="K38" s="147">
        <f t="shared" si="0"/>
        <v>0</v>
      </c>
      <c r="L38" s="152">
        <f t="shared" si="1"/>
        <v>0</v>
      </c>
      <c r="M38" s="149"/>
      <c r="N38" s="804"/>
      <c r="O38" s="1078"/>
      <c r="P38" s="72"/>
      <c r="Q38" s="66"/>
      <c r="R38" s="140">
        <f t="shared" si="10"/>
        <v>0</v>
      </c>
      <c r="S38" s="147">
        <f t="shared" si="11"/>
        <v>0</v>
      </c>
      <c r="T38" s="152">
        <f t="shared" si="4"/>
        <v>0</v>
      </c>
      <c r="U38" s="210"/>
      <c r="V38" s="145">
        <f t="shared" si="3"/>
        <v>0</v>
      </c>
      <c r="W38" s="550"/>
      <c r="X38" s="457"/>
      <c r="Y38" s="114"/>
      <c r="Z38" s="114"/>
      <c r="AA38" s="114"/>
      <c r="AB38" s="114"/>
      <c r="AC38" s="114"/>
    </row>
    <row r="39" spans="1:29" s="68" customFormat="1" ht="15.5" x14ac:dyDescent="0.25">
      <c r="A39" s="63" t="s">
        <v>7</v>
      </c>
      <c r="B39" s="83"/>
      <c r="C39" s="806" t="s">
        <v>284</v>
      </c>
      <c r="D39" s="807"/>
      <c r="E39" s="807"/>
      <c r="F39" s="944"/>
      <c r="G39" s="574" t="s">
        <v>32</v>
      </c>
      <c r="H39" s="82" t="s">
        <v>27</v>
      </c>
      <c r="I39" s="186"/>
      <c r="J39" s="140">
        <f t="shared" si="12"/>
        <v>0</v>
      </c>
      <c r="K39" s="147">
        <f t="shared" si="0"/>
        <v>0</v>
      </c>
      <c r="L39" s="152">
        <f t="shared" si="1"/>
        <v>0</v>
      </c>
      <c r="M39" s="149"/>
      <c r="N39" s="804"/>
      <c r="O39" s="1078"/>
      <c r="P39" s="72"/>
      <c r="Q39" s="66"/>
      <c r="R39" s="140">
        <f t="shared" si="10"/>
        <v>0</v>
      </c>
      <c r="S39" s="147">
        <f t="shared" si="11"/>
        <v>0</v>
      </c>
      <c r="T39" s="152">
        <f t="shared" si="4"/>
        <v>0</v>
      </c>
      <c r="U39" s="210"/>
      <c r="V39" s="145">
        <f t="shared" si="3"/>
        <v>0</v>
      </c>
      <c r="W39" s="550"/>
      <c r="X39" s="457"/>
      <c r="Y39" s="114"/>
      <c r="Z39" s="114"/>
      <c r="AA39" s="114"/>
      <c r="AB39" s="114"/>
      <c r="AC39" s="114"/>
    </row>
    <row r="40" spans="1:29" s="68" customFormat="1" ht="15.5" x14ac:dyDescent="0.25">
      <c r="A40" s="63" t="s">
        <v>8</v>
      </c>
      <c r="B40" s="83"/>
      <c r="C40" s="806" t="s">
        <v>495</v>
      </c>
      <c r="D40" s="807"/>
      <c r="E40" s="807"/>
      <c r="F40" s="944"/>
      <c r="G40" s="574" t="s">
        <v>446</v>
      </c>
      <c r="H40" s="82"/>
      <c r="I40" s="186">
        <v>50</v>
      </c>
      <c r="J40" s="140"/>
      <c r="K40" s="147">
        <f t="shared" si="0"/>
        <v>1</v>
      </c>
      <c r="L40" s="152">
        <f t="shared" si="1"/>
        <v>49</v>
      </c>
      <c r="M40" s="149"/>
      <c r="N40" s="804"/>
      <c r="O40" s="1078"/>
      <c r="P40" s="72"/>
      <c r="Q40" s="66"/>
      <c r="R40" s="140">
        <f t="shared" si="10"/>
        <v>0</v>
      </c>
      <c r="S40" s="147">
        <f>IF(A40="Y", R40*2%,)</f>
        <v>0</v>
      </c>
      <c r="T40" s="152">
        <f>R40-S40</f>
        <v>0</v>
      </c>
      <c r="U40" s="210"/>
      <c r="V40" s="145">
        <f>IF($V$15="BASE-UP   (B-A)", P40-L40,P40-T40)</f>
        <v>-49</v>
      </c>
      <c r="W40" s="550"/>
      <c r="X40" s="457"/>
      <c r="Y40" s="114"/>
      <c r="Z40" s="114"/>
      <c r="AA40" s="114"/>
      <c r="AB40" s="114"/>
      <c r="AC40" s="114"/>
    </row>
    <row r="41" spans="1:29" s="68" customFormat="1" ht="15.5" x14ac:dyDescent="0.25">
      <c r="A41" s="63" t="s">
        <v>8</v>
      </c>
      <c r="B41" s="83"/>
      <c r="C41" s="806" t="s">
        <v>494</v>
      </c>
      <c r="D41" s="807"/>
      <c r="E41" s="807"/>
      <c r="F41" s="944"/>
      <c r="G41" s="574" t="s">
        <v>32</v>
      </c>
      <c r="H41" s="82" t="s">
        <v>15</v>
      </c>
      <c r="I41" s="186">
        <v>50</v>
      </c>
      <c r="J41" s="140">
        <f>I41</f>
        <v>50</v>
      </c>
      <c r="K41" s="147">
        <f>IF(A41="Y", I41*2%,0)</f>
        <v>1</v>
      </c>
      <c r="L41" s="152">
        <f>I41-K41</f>
        <v>49</v>
      </c>
      <c r="M41" s="149"/>
      <c r="N41" s="804"/>
      <c r="O41" s="1078"/>
      <c r="P41" s="72"/>
      <c r="Q41" s="66"/>
      <c r="R41" s="140">
        <f t="shared" si="10"/>
        <v>0</v>
      </c>
      <c r="S41" s="147">
        <f>IF(A41="Y", R41*2%,)</f>
        <v>0</v>
      </c>
      <c r="T41" s="152">
        <f>R41-S41</f>
        <v>0</v>
      </c>
      <c r="U41" s="210"/>
      <c r="V41" s="145">
        <f>IF($V$15="BASE-UP   (B-A)", P41-L41,P41-T41)</f>
        <v>-49</v>
      </c>
      <c r="W41" s="550"/>
      <c r="X41" s="468"/>
      <c r="Y41" s="114"/>
      <c r="Z41" s="114"/>
      <c r="AA41" s="114"/>
      <c r="AB41" s="114"/>
      <c r="AC41" s="114"/>
    </row>
    <row r="42" spans="1:29" s="68" customFormat="1" ht="15.5" x14ac:dyDescent="0.25">
      <c r="A42" s="63" t="s">
        <v>7</v>
      </c>
      <c r="B42" s="83"/>
      <c r="C42" s="806" t="s">
        <v>445</v>
      </c>
      <c r="D42" s="807"/>
      <c r="E42" s="807"/>
      <c r="F42" s="944"/>
      <c r="G42" s="574" t="s">
        <v>32</v>
      </c>
      <c r="H42" s="82"/>
      <c r="I42" s="186"/>
      <c r="J42" s="140"/>
      <c r="K42" s="147">
        <f t="shared" si="0"/>
        <v>0</v>
      </c>
      <c r="L42" s="152">
        <f t="shared" si="1"/>
        <v>0</v>
      </c>
      <c r="M42" s="149"/>
      <c r="N42" s="449"/>
      <c r="O42" s="450"/>
      <c r="P42" s="72"/>
      <c r="Q42" s="66"/>
      <c r="R42" s="140">
        <f t="shared" ref="R42:R47" si="13">IF($R$50=0,,I42)</f>
        <v>0</v>
      </c>
      <c r="S42" s="147">
        <f>IF(A42="Y", R42*2%,)</f>
        <v>0</v>
      </c>
      <c r="T42" s="152">
        <f>R42-S42</f>
        <v>0</v>
      </c>
      <c r="U42" s="210"/>
      <c r="V42" s="145">
        <f>IF($V$15="BASE-UP   (B-A)", P42-L42,P42-T42)</f>
        <v>0</v>
      </c>
      <c r="W42" s="551"/>
      <c r="X42" s="528"/>
      <c r="Y42" s="114"/>
      <c r="Z42" s="114"/>
      <c r="AA42" s="114"/>
      <c r="AB42" s="114"/>
      <c r="AC42" s="114"/>
    </row>
    <row r="43" spans="1:29" s="68" customFormat="1" ht="15.5" x14ac:dyDescent="0.25">
      <c r="A43" s="63" t="s">
        <v>8</v>
      </c>
      <c r="B43" s="83"/>
      <c r="C43" s="806" t="s">
        <v>559</v>
      </c>
      <c r="D43" s="807"/>
      <c r="E43" s="807"/>
      <c r="F43" s="944"/>
      <c r="G43" s="574" t="s">
        <v>31</v>
      </c>
      <c r="H43" s="82" t="s">
        <v>13</v>
      </c>
      <c r="I43" s="186">
        <v>150</v>
      </c>
      <c r="J43" s="140">
        <f t="shared" si="12"/>
        <v>150</v>
      </c>
      <c r="K43" s="147">
        <f t="shared" si="0"/>
        <v>3</v>
      </c>
      <c r="L43" s="152">
        <f t="shared" si="1"/>
        <v>147</v>
      </c>
      <c r="M43" s="149"/>
      <c r="N43" s="804"/>
      <c r="O43" s="1078"/>
      <c r="P43" s="72"/>
      <c r="Q43" s="66"/>
      <c r="R43" s="140">
        <f t="shared" si="13"/>
        <v>0</v>
      </c>
      <c r="S43" s="147">
        <f>IF(A43="Y", R43*2%,)</f>
        <v>0</v>
      </c>
      <c r="T43" s="152">
        <f>R43-S43</f>
        <v>0</v>
      </c>
      <c r="U43" s="210"/>
      <c r="V43" s="145">
        <f t="shared" si="3"/>
        <v>-147</v>
      </c>
      <c r="W43" s="620"/>
      <c r="X43" s="501"/>
      <c r="Y43" s="114"/>
      <c r="Z43" s="114"/>
      <c r="AA43" s="114"/>
      <c r="AB43" s="114"/>
      <c r="AC43" s="114"/>
    </row>
    <row r="44" spans="1:29" s="68" customFormat="1" ht="15.5" x14ac:dyDescent="0.25">
      <c r="A44" s="63" t="s">
        <v>7</v>
      </c>
      <c r="B44" s="83"/>
      <c r="C44" s="806" t="s">
        <v>454</v>
      </c>
      <c r="D44" s="807"/>
      <c r="E44" s="807"/>
      <c r="F44" s="944"/>
      <c r="G44" s="574" t="s">
        <v>32</v>
      </c>
      <c r="H44" s="82" t="s">
        <v>27</v>
      </c>
      <c r="I44" s="186"/>
      <c r="J44" s="140">
        <f t="shared" si="12"/>
        <v>0</v>
      </c>
      <c r="K44" s="147">
        <f t="shared" si="0"/>
        <v>0</v>
      </c>
      <c r="L44" s="152">
        <f t="shared" si="1"/>
        <v>0</v>
      </c>
      <c r="M44" s="149"/>
      <c r="N44" s="804"/>
      <c r="O44" s="1078"/>
      <c r="P44" s="72"/>
      <c r="Q44" s="66"/>
      <c r="R44" s="140">
        <f t="shared" si="13"/>
        <v>0</v>
      </c>
      <c r="S44" s="147">
        <f t="shared" si="11"/>
        <v>0</v>
      </c>
      <c r="T44" s="152">
        <f t="shared" si="4"/>
        <v>0</v>
      </c>
      <c r="U44" s="210"/>
      <c r="V44" s="145">
        <f t="shared" si="3"/>
        <v>0</v>
      </c>
      <c r="W44" s="550"/>
      <c r="X44" s="457"/>
      <c r="Y44" s="114"/>
      <c r="Z44" s="114"/>
      <c r="AA44" s="114"/>
      <c r="AB44" s="114"/>
      <c r="AC44" s="114"/>
    </row>
    <row r="45" spans="1:29" s="68" customFormat="1" ht="46.5" customHeight="1" x14ac:dyDescent="0.25">
      <c r="A45" s="63" t="s">
        <v>7</v>
      </c>
      <c r="B45" s="83"/>
      <c r="C45" s="804" t="s">
        <v>517</v>
      </c>
      <c r="D45" s="805"/>
      <c r="E45" s="805"/>
      <c r="F45" s="945"/>
      <c r="G45" s="574" t="s">
        <v>230</v>
      </c>
      <c r="H45" s="82" t="s">
        <v>82</v>
      </c>
      <c r="I45" s="186"/>
      <c r="J45" s="140">
        <f t="shared" si="12"/>
        <v>0</v>
      </c>
      <c r="K45" s="147">
        <f t="shared" si="0"/>
        <v>0</v>
      </c>
      <c r="L45" s="152">
        <f t="shared" si="1"/>
        <v>0</v>
      </c>
      <c r="M45" s="149"/>
      <c r="N45" s="804"/>
      <c r="O45" s="1078"/>
      <c r="P45" s="72"/>
      <c r="Q45" s="66"/>
      <c r="R45" s="140">
        <f t="shared" si="13"/>
        <v>0</v>
      </c>
      <c r="S45" s="147">
        <f t="shared" si="11"/>
        <v>0</v>
      </c>
      <c r="T45" s="152">
        <f t="shared" si="4"/>
        <v>0</v>
      </c>
      <c r="U45" s="210"/>
      <c r="V45" s="145">
        <f t="shared" si="3"/>
        <v>0</v>
      </c>
      <c r="W45" s="550"/>
      <c r="X45" s="457"/>
      <c r="Y45" s="114"/>
      <c r="Z45" s="114"/>
      <c r="AA45" s="114"/>
      <c r="AB45" s="114"/>
      <c r="AC45" s="114"/>
    </row>
    <row r="46" spans="1:29" s="68" customFormat="1" ht="15.5" x14ac:dyDescent="0.25">
      <c r="A46" s="63" t="s">
        <v>7</v>
      </c>
      <c r="B46" s="83"/>
      <c r="C46" s="806" t="s">
        <v>376</v>
      </c>
      <c r="D46" s="807"/>
      <c r="E46" s="807"/>
      <c r="F46" s="944"/>
      <c r="G46" s="574" t="s">
        <v>32</v>
      </c>
      <c r="H46" s="82" t="s">
        <v>80</v>
      </c>
      <c r="I46" s="187"/>
      <c r="J46" s="140">
        <f t="shared" si="12"/>
        <v>0</v>
      </c>
      <c r="K46" s="147">
        <f>IF(A47="Y", I46*2%,0)</f>
        <v>0</v>
      </c>
      <c r="L46" s="152">
        <f t="shared" si="1"/>
        <v>0</v>
      </c>
      <c r="M46" s="149"/>
      <c r="N46" s="804"/>
      <c r="O46" s="1078"/>
      <c r="P46" s="72"/>
      <c r="Q46" s="66"/>
      <c r="R46" s="140">
        <f t="shared" si="13"/>
        <v>0</v>
      </c>
      <c r="S46" s="147">
        <f>IF(A47="Y", R46*2%,)</f>
        <v>0</v>
      </c>
      <c r="T46" s="152">
        <f t="shared" si="4"/>
        <v>0</v>
      </c>
      <c r="U46" s="210"/>
      <c r="V46" s="145">
        <f t="shared" si="3"/>
        <v>0</v>
      </c>
      <c r="W46" s="550"/>
      <c r="X46" s="457"/>
      <c r="Y46" s="114"/>
      <c r="Z46" s="114"/>
      <c r="AA46" s="114"/>
      <c r="AB46" s="114"/>
      <c r="AC46" s="114"/>
    </row>
    <row r="47" spans="1:29" s="68" customFormat="1" ht="15.5" x14ac:dyDescent="0.25">
      <c r="A47" s="63" t="s">
        <v>7</v>
      </c>
      <c r="B47" s="83"/>
      <c r="C47" s="806" t="s">
        <v>225</v>
      </c>
      <c r="D47" s="807"/>
      <c r="E47" s="807"/>
      <c r="F47" s="944"/>
      <c r="G47" s="574" t="s">
        <v>31</v>
      </c>
      <c r="H47" s="82"/>
      <c r="I47" s="187"/>
      <c r="J47" s="140"/>
      <c r="K47" s="147">
        <f>IF(A48="Y", I47*2%,0)</f>
        <v>0</v>
      </c>
      <c r="L47" s="152">
        <f>I47-K47</f>
        <v>0</v>
      </c>
      <c r="M47" s="149"/>
      <c r="N47" s="804"/>
      <c r="O47" s="1078"/>
      <c r="P47" s="72"/>
      <c r="Q47" s="66"/>
      <c r="R47" s="140">
        <f t="shared" si="13"/>
        <v>0</v>
      </c>
      <c r="S47" s="147">
        <f>IF(A48="Y", R47*2%,)</f>
        <v>0</v>
      </c>
      <c r="T47" s="152">
        <f>R47-S47</f>
        <v>0</v>
      </c>
      <c r="U47" s="210"/>
      <c r="V47" s="145">
        <f t="shared" si="3"/>
        <v>0</v>
      </c>
      <c r="W47" s="550"/>
      <c r="X47" s="457"/>
      <c r="Y47" s="114"/>
      <c r="Z47" s="114"/>
      <c r="AA47" s="114"/>
      <c r="AB47" s="114"/>
      <c r="AC47" s="114"/>
    </row>
    <row r="48" spans="1:29" s="68" customFormat="1" ht="31.5" customHeight="1" x14ac:dyDescent="0.25">
      <c r="A48" s="83" t="s">
        <v>7</v>
      </c>
      <c r="B48" s="83"/>
      <c r="C48" s="804" t="s">
        <v>487</v>
      </c>
      <c r="D48" s="807"/>
      <c r="E48" s="807"/>
      <c r="F48" s="944"/>
      <c r="G48" s="574" t="s">
        <v>31</v>
      </c>
      <c r="H48" s="85" t="s">
        <v>41</v>
      </c>
      <c r="I48" s="86"/>
      <c r="J48" s="93"/>
      <c r="K48" s="148"/>
      <c r="L48" s="154">
        <f>K49</f>
        <v>5.08</v>
      </c>
      <c r="M48" s="149"/>
      <c r="N48" s="804"/>
      <c r="O48" s="1078"/>
      <c r="P48" s="72"/>
      <c r="Q48" s="66"/>
      <c r="R48" s="93"/>
      <c r="S48" s="148"/>
      <c r="T48" s="154">
        <f>S49</f>
        <v>0</v>
      </c>
      <c r="U48" s="212"/>
      <c r="V48" s="145">
        <f t="shared" si="3"/>
        <v>-5.08</v>
      </c>
      <c r="W48" s="550"/>
      <c r="X48" s="463"/>
      <c r="Y48" s="114"/>
      <c r="Z48" s="114"/>
      <c r="AA48" s="114"/>
      <c r="AB48" s="114"/>
      <c r="AC48" s="114"/>
    </row>
    <row r="49" spans="1:24" s="114" customFormat="1" ht="14.5" x14ac:dyDescent="0.25">
      <c r="A49" s="112"/>
      <c r="B49" s="112"/>
      <c r="C49" s="112"/>
      <c r="D49" s="112"/>
      <c r="E49" s="113"/>
      <c r="F49" s="113"/>
      <c r="K49" s="115">
        <f>SUM(K16:K48)</f>
        <v>5.08</v>
      </c>
      <c r="L49" s="155"/>
      <c r="P49" s="116"/>
      <c r="Q49" s="117"/>
      <c r="S49" s="115">
        <f>SUM(S16:S48)</f>
        <v>0</v>
      </c>
      <c r="T49" s="155"/>
      <c r="U49" s="213"/>
      <c r="V49" s="165"/>
      <c r="W49" s="165"/>
      <c r="X49" s="118"/>
    </row>
    <row r="50" spans="1:24" s="95" customFormat="1" ht="16" thickBot="1" x14ac:dyDescent="0.3">
      <c r="A50" s="130"/>
      <c r="B50" s="130"/>
      <c r="C50" s="130"/>
      <c r="D50" s="130"/>
      <c r="E50" s="119"/>
      <c r="F50" s="131" t="s">
        <v>81</v>
      </c>
      <c r="G50" s="132"/>
      <c r="H50" s="133" t="s">
        <v>1</v>
      </c>
      <c r="I50" s="134">
        <f>SUM(I35:I49)</f>
        <v>324</v>
      </c>
      <c r="J50" s="188">
        <v>1940</v>
      </c>
      <c r="K50" s="135"/>
      <c r="L50" s="156">
        <f>SUM(L35:L49)</f>
        <v>324</v>
      </c>
      <c r="M50" s="136"/>
      <c r="N50" s="130" t="s">
        <v>1</v>
      </c>
      <c r="O50" s="130"/>
      <c r="P50" s="137">
        <f>SUM(P35:P49)</f>
        <v>0</v>
      </c>
      <c r="Q50" s="136"/>
      <c r="R50" s="188"/>
      <c r="S50" s="135"/>
      <c r="T50" s="156">
        <f>SUM(T35:T49)</f>
        <v>0</v>
      </c>
      <c r="U50" s="214"/>
      <c r="V50" s="175">
        <f>SUM(V35:V49)</f>
        <v>-324</v>
      </c>
      <c r="W50" s="530"/>
      <c r="X50" s="138"/>
    </row>
    <row r="51" spans="1:24" s="50" customFormat="1" ht="15.75" customHeight="1" thickTop="1" x14ac:dyDescent="0.25">
      <c r="A51" s="1140" t="s">
        <v>61</v>
      </c>
      <c r="B51" s="1140"/>
      <c r="C51" s="1140"/>
      <c r="D51" s="192"/>
      <c r="E51" s="121"/>
      <c r="F51" s="121"/>
      <c r="J51" s="122"/>
      <c r="L51" s="123"/>
      <c r="M51" s="122"/>
      <c r="V51" s="124"/>
      <c r="W51" s="124"/>
      <c r="X51" s="125"/>
    </row>
    <row r="52" spans="1:24" s="127" customFormat="1" ht="18" customHeight="1" x14ac:dyDescent="0.25">
      <c r="A52" s="624">
        <v>1</v>
      </c>
      <c r="B52" s="1137"/>
      <c r="C52" s="1138"/>
      <c r="D52" s="1138"/>
      <c r="E52" s="1138"/>
      <c r="F52" s="1138"/>
      <c r="G52" s="1138"/>
      <c r="H52" s="1138"/>
      <c r="I52" s="1138"/>
      <c r="J52" s="1138"/>
      <c r="K52" s="1138"/>
      <c r="L52" s="1138"/>
      <c r="M52" s="1138"/>
      <c r="N52" s="1138"/>
      <c r="O52" s="1138"/>
      <c r="P52" s="1138"/>
      <c r="Q52" s="1138"/>
      <c r="R52" s="1138"/>
      <c r="S52" s="1138"/>
      <c r="T52" s="1138"/>
      <c r="U52" s="1138"/>
      <c r="V52" s="1138"/>
      <c r="W52" s="1138"/>
      <c r="X52" s="1139"/>
    </row>
    <row r="53" spans="1:24" s="127" customFormat="1" ht="18" customHeight="1" x14ac:dyDescent="0.25">
      <c r="A53" s="624">
        <v>2</v>
      </c>
      <c r="B53" s="1137"/>
      <c r="C53" s="1138"/>
      <c r="D53" s="1138"/>
      <c r="E53" s="1138"/>
      <c r="F53" s="1138"/>
      <c r="G53" s="1138"/>
      <c r="H53" s="1138"/>
      <c r="I53" s="1138"/>
      <c r="J53" s="1138"/>
      <c r="K53" s="1138"/>
      <c r="L53" s="1138"/>
      <c r="M53" s="1138"/>
      <c r="N53" s="1138"/>
      <c r="O53" s="1138"/>
      <c r="P53" s="1138"/>
      <c r="Q53" s="1138"/>
      <c r="R53" s="1138"/>
      <c r="S53" s="1138"/>
      <c r="T53" s="1138"/>
      <c r="U53" s="1138"/>
      <c r="V53" s="1138"/>
      <c r="W53" s="1138"/>
      <c r="X53" s="1139"/>
    </row>
    <row r="54" spans="1:24" s="127" customFormat="1" ht="18" customHeight="1" x14ac:dyDescent="0.25">
      <c r="A54" s="624">
        <v>3</v>
      </c>
      <c r="B54" s="1137"/>
      <c r="C54" s="1138"/>
      <c r="D54" s="1138"/>
      <c r="E54" s="1138"/>
      <c r="F54" s="1138"/>
      <c r="G54" s="1138"/>
      <c r="H54" s="1138"/>
      <c r="I54" s="1138"/>
      <c r="J54" s="1138"/>
      <c r="K54" s="1138"/>
      <c r="L54" s="1138"/>
      <c r="M54" s="1138"/>
      <c r="N54" s="1138"/>
      <c r="O54" s="1138"/>
      <c r="P54" s="1138"/>
      <c r="Q54" s="1138"/>
      <c r="R54" s="1138"/>
      <c r="S54" s="1138"/>
      <c r="T54" s="1138"/>
      <c r="U54" s="1138"/>
      <c r="V54" s="1138"/>
      <c r="W54" s="1138"/>
      <c r="X54" s="1139"/>
    </row>
    <row r="55" spans="1:24" s="50" customFormat="1" ht="18" customHeight="1" x14ac:dyDescent="0.25">
      <c r="A55" s="624">
        <v>4</v>
      </c>
      <c r="B55" s="1137"/>
      <c r="C55" s="1138"/>
      <c r="D55" s="1138"/>
      <c r="E55" s="1138"/>
      <c r="F55" s="1138"/>
      <c r="G55" s="1138"/>
      <c r="H55" s="1138"/>
      <c r="I55" s="1138"/>
      <c r="J55" s="1138"/>
      <c r="K55" s="1138"/>
      <c r="L55" s="1138"/>
      <c r="M55" s="1138"/>
      <c r="N55" s="1138"/>
      <c r="O55" s="1138"/>
      <c r="P55" s="1138"/>
      <c r="Q55" s="1138"/>
      <c r="R55" s="1138"/>
      <c r="S55" s="1138"/>
      <c r="T55" s="1138"/>
      <c r="U55" s="1138"/>
      <c r="V55" s="1138"/>
      <c r="W55" s="1138"/>
      <c r="X55" s="1139"/>
    </row>
  </sheetData>
  <sheetProtection insertRows="0"/>
  <mergeCells count="133">
    <mergeCell ref="A1:L1"/>
    <mergeCell ref="R3:X3"/>
    <mergeCell ref="A4:C4"/>
    <mergeCell ref="D4:E4"/>
    <mergeCell ref="F4:G4"/>
    <mergeCell ref="I4:M4"/>
    <mergeCell ref="N4:O4"/>
    <mergeCell ref="R4:X4"/>
    <mergeCell ref="M1:V1"/>
    <mergeCell ref="A3:P3"/>
    <mergeCell ref="A6:C6"/>
    <mergeCell ref="D6:E6"/>
    <mergeCell ref="F6:G6"/>
    <mergeCell ref="I6:M6"/>
    <mergeCell ref="N6:O6"/>
    <mergeCell ref="R6:X6"/>
    <mergeCell ref="A5:C5"/>
    <mergeCell ref="D5:E5"/>
    <mergeCell ref="F5:G5"/>
    <mergeCell ref="I5:M5"/>
    <mergeCell ref="N5:O5"/>
    <mergeCell ref="R5:X5"/>
    <mergeCell ref="A7:C7"/>
    <mergeCell ref="D7:E7"/>
    <mergeCell ref="F7:G7"/>
    <mergeCell ref="I7:M7"/>
    <mergeCell ref="R7:X7"/>
    <mergeCell ref="A8:C8"/>
    <mergeCell ref="D8:E8"/>
    <mergeCell ref="F8:G8"/>
    <mergeCell ref="I8:M8"/>
    <mergeCell ref="N8:O8"/>
    <mergeCell ref="A10:C10"/>
    <mergeCell ref="D10:E10"/>
    <mergeCell ref="F10:G10"/>
    <mergeCell ref="I10:M10"/>
    <mergeCell ref="N10:O10"/>
    <mergeCell ref="R10:X10"/>
    <mergeCell ref="R8:X9"/>
    <mergeCell ref="A9:C9"/>
    <mergeCell ref="D9:E9"/>
    <mergeCell ref="F9:G9"/>
    <mergeCell ref="I9:M9"/>
    <mergeCell ref="N9:O9"/>
    <mergeCell ref="C14:F15"/>
    <mergeCell ref="K14:K15"/>
    <mergeCell ref="N14:O14"/>
    <mergeCell ref="S14:S15"/>
    <mergeCell ref="W14:W15"/>
    <mergeCell ref="X14:X15"/>
    <mergeCell ref="N15:O15"/>
    <mergeCell ref="A11:C11"/>
    <mergeCell ref="D11:E11"/>
    <mergeCell ref="F11:G11"/>
    <mergeCell ref="I11:M11"/>
    <mergeCell ref="R11:X11"/>
    <mergeCell ref="I13:L13"/>
    <mergeCell ref="N13:P13"/>
    <mergeCell ref="R13:T13"/>
    <mergeCell ref="N11:O11"/>
    <mergeCell ref="C20:F20"/>
    <mergeCell ref="N20:O20"/>
    <mergeCell ref="C21:F21"/>
    <mergeCell ref="N21:O21"/>
    <mergeCell ref="C22:F22"/>
    <mergeCell ref="N22:O22"/>
    <mergeCell ref="B16:B20"/>
    <mergeCell ref="C16:F16"/>
    <mergeCell ref="N16:O16"/>
    <mergeCell ref="C17:F17"/>
    <mergeCell ref="N17:O17"/>
    <mergeCell ref="C18:F18"/>
    <mergeCell ref="N18:O18"/>
    <mergeCell ref="C19:F19"/>
    <mergeCell ref="N19:O19"/>
    <mergeCell ref="N27:O27"/>
    <mergeCell ref="C28:D28"/>
    <mergeCell ref="N28:O28"/>
    <mergeCell ref="C29:D29"/>
    <mergeCell ref="N29:O29"/>
    <mergeCell ref="C30:F30"/>
    <mergeCell ref="N30:O30"/>
    <mergeCell ref="C23:F23"/>
    <mergeCell ref="N23:O23"/>
    <mergeCell ref="C24:F24"/>
    <mergeCell ref="N24:O24"/>
    <mergeCell ref="C25:D25"/>
    <mergeCell ref="E25:F29"/>
    <mergeCell ref="N25:O25"/>
    <mergeCell ref="C26:D26"/>
    <mergeCell ref="N26:O26"/>
    <mergeCell ref="C27:D27"/>
    <mergeCell ref="C34:F34"/>
    <mergeCell ref="N34:O34"/>
    <mergeCell ref="C35:F35"/>
    <mergeCell ref="N35:O35"/>
    <mergeCell ref="C36:F36"/>
    <mergeCell ref="N36:O36"/>
    <mergeCell ref="C31:F31"/>
    <mergeCell ref="C32:E32"/>
    <mergeCell ref="F32:F33"/>
    <mergeCell ref="N32:O32"/>
    <mergeCell ref="C33:E33"/>
    <mergeCell ref="N33:O33"/>
    <mergeCell ref="N31:O31"/>
    <mergeCell ref="C39:F39"/>
    <mergeCell ref="N39:O39"/>
    <mergeCell ref="C40:F40"/>
    <mergeCell ref="N40:O40"/>
    <mergeCell ref="C42:F42"/>
    <mergeCell ref="C43:F43"/>
    <mergeCell ref="N43:O43"/>
    <mergeCell ref="C37:F37"/>
    <mergeCell ref="N37:O37"/>
    <mergeCell ref="C38:F38"/>
    <mergeCell ref="N38:O38"/>
    <mergeCell ref="C41:F41"/>
    <mergeCell ref="N41:O41"/>
    <mergeCell ref="B55:X55"/>
    <mergeCell ref="C48:F48"/>
    <mergeCell ref="N48:O48"/>
    <mergeCell ref="A51:C51"/>
    <mergeCell ref="B52:X52"/>
    <mergeCell ref="B53:X53"/>
    <mergeCell ref="B54:X54"/>
    <mergeCell ref="C44:F44"/>
    <mergeCell ref="N44:O44"/>
    <mergeCell ref="C45:F45"/>
    <mergeCell ref="N45:O45"/>
    <mergeCell ref="C46:F46"/>
    <mergeCell ref="N46:O46"/>
    <mergeCell ref="C47:F47"/>
    <mergeCell ref="N47:O47"/>
  </mergeCells>
  <conditionalFormatting sqref="E25">
    <cfRule type="cellIs" dxfId="119" priority="9" operator="notEqual">
      <formula>"GC 76000 PA ($" &amp;P11&amp;" for every 10) breakdown = local Board of Supervisor resolution (BOS)."</formula>
    </cfRule>
  </conditionalFormatting>
  <conditionalFormatting sqref="H25:H30">
    <cfRule type="expression" dxfId="118" priority="11" stopIfTrue="1">
      <formula>MOD(ROW(), 2)=0</formula>
    </cfRule>
  </conditionalFormatting>
  <conditionalFormatting sqref="H30 H16:H24 H32:H34">
    <cfRule type="expression" dxfId="117" priority="13" stopIfTrue="1">
      <formula>MOD(ROW(),2)=0</formula>
    </cfRule>
  </conditionalFormatting>
  <conditionalFormatting sqref="I16:I18">
    <cfRule type="cellIs" dxfId="116" priority="10" stopIfTrue="1" operator="equal">
      <formula>0</formula>
    </cfRule>
  </conditionalFormatting>
  <conditionalFormatting sqref="K16:L48 I19:I30 I32:I35">
    <cfRule type="cellIs" dxfId="115" priority="7" operator="equal">
      <formula>0</formula>
    </cfRule>
  </conditionalFormatting>
  <conditionalFormatting sqref="N16:P48">
    <cfRule type="expression" dxfId="114" priority="8">
      <formula>MOD(ROW(),2)=0</formula>
    </cfRule>
  </conditionalFormatting>
  <conditionalFormatting sqref="R16:T48">
    <cfRule type="cellIs" dxfId="113" priority="14" stopIfTrue="1" operator="equal">
      <formula>0</formula>
    </cfRule>
  </conditionalFormatting>
  <conditionalFormatting sqref="V12:W13 V51:W51 V56:W65535">
    <cfRule type="cellIs" dxfId="112" priority="12" stopIfTrue="1" operator="notEqual">
      <formula>0</formula>
    </cfRule>
  </conditionalFormatting>
  <conditionalFormatting sqref="W16:W48">
    <cfRule type="cellIs" dxfId="111" priority="6" operator="greaterThan">
      <formula>0</formula>
    </cfRule>
  </conditionalFormatting>
  <dataValidations count="1">
    <dataValidation type="list" allowBlank="1" showInputMessage="1" showErrorMessage="1" sqref="V15" xr:uid="{00000000-0002-0000-1600-000000000000}">
      <formula1>Distribution_Method</formula1>
    </dataValidation>
  </dataValidations>
  <printOptions horizontalCentered="1"/>
  <pageMargins left="0.25" right="0.25" top="0.75" bottom="0.5" header="0.25" footer="0.25"/>
  <pageSetup scale="55" orientation="landscape" cellComments="asDisplayed" r:id="rId1"/>
  <headerFooter alignWithMargins="0">
    <oddHeader>&amp;CSUPERIOR OF COURT OF _________ COUNTY
Revenue Calculation and Distribution Worksheet</oddHeader>
    <oddFooter>&amp;L&amp;F&amp;R&amp;P of &amp;N</oddFooter>
  </headerFooter>
  <ignoredErrors>
    <ignoredError sqref="L35 R31 T35 V35" formula="1"/>
    <ignoredError sqref="E25"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335873" r:id="rId4" name="Button 1">
              <controlPr defaultSize="0" print="0" autoFill="0" autoPict="0" macro="mcr_GoToSummary">
                <anchor moveWithCells="1">
                  <from>
                    <xdr:col>0</xdr:col>
                    <xdr:colOff>88900</xdr:colOff>
                    <xdr:row>0</xdr:row>
                    <xdr:rowOff>0</xdr:rowOff>
                  </from>
                  <to>
                    <xdr:col>3</xdr:col>
                    <xdr:colOff>127000</xdr:colOff>
                    <xdr:row>1</xdr:row>
                    <xdr:rowOff>31750</xdr:rowOff>
                  </to>
                </anchor>
              </controlPr>
            </control>
          </mc:Choice>
        </mc:AlternateContent>
        <mc:AlternateContent xmlns:mc="http://schemas.openxmlformats.org/markup-compatibility/2006">
          <mc:Choice Requires="x14">
            <control shapeId="335874" r:id="rId5" name="Button 2">
              <controlPr defaultSize="0" print="0" autoFill="0" autoPict="0" macro="[0]!mcrDisableTwoPercentUnprotect">
                <anchor moveWithCells="1">
                  <from>
                    <xdr:col>0</xdr:col>
                    <xdr:colOff>12700</xdr:colOff>
                    <xdr:row>13</xdr:row>
                    <xdr:rowOff>527050</xdr:rowOff>
                  </from>
                  <to>
                    <xdr:col>0</xdr:col>
                    <xdr:colOff>279400</xdr:colOff>
                    <xdr:row>14</xdr:row>
                    <xdr:rowOff>222250</xdr:rowOff>
                  </to>
                </anchor>
              </controlPr>
            </control>
          </mc:Choice>
        </mc:AlternateContent>
        <mc:AlternateContent xmlns:mc="http://schemas.openxmlformats.org/markup-compatibility/2006">
          <mc:Choice Requires="x14">
            <control shapeId="335875" r:id="rId6" name="Button 3">
              <controlPr defaultSize="0" print="0" autoFill="0" autoPict="0" macro="[0]!mcrEnableTwoPercentUnprotect">
                <anchor moveWithCells="1">
                  <from>
                    <xdr:col>0</xdr:col>
                    <xdr:colOff>0</xdr:colOff>
                    <xdr:row>13</xdr:row>
                    <xdr:rowOff>222250</xdr:rowOff>
                  </from>
                  <to>
                    <xdr:col>0</xdr:col>
                    <xdr:colOff>266700</xdr:colOff>
                    <xdr:row>13</xdr:row>
                    <xdr:rowOff>552450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C00000"/>
  </sheetPr>
  <dimension ref="A1:H19"/>
  <sheetViews>
    <sheetView workbookViewId="0">
      <selection activeCell="N29" sqref="N29:O29"/>
    </sheetView>
  </sheetViews>
  <sheetFormatPr defaultColWidth="9.1796875" defaultRowHeight="12.5" x14ac:dyDescent="0.25"/>
  <cols>
    <col min="1" max="1" width="27.54296875" style="3" customWidth="1"/>
    <col min="2" max="2" width="11.7265625" style="3" customWidth="1"/>
    <col min="3" max="3" width="14.7265625" style="3" customWidth="1"/>
    <col min="4" max="4" width="20.54296875" style="3" customWidth="1"/>
    <col min="5" max="5" width="45.81640625" style="3" customWidth="1"/>
    <col min="6" max="6" width="18.54296875" style="3" bestFit="1" customWidth="1"/>
    <col min="7" max="16384" width="9.1796875" style="3"/>
  </cols>
  <sheetData>
    <row r="1" spans="1:8" s="41" customFormat="1" ht="18" x14ac:dyDescent="0.25">
      <c r="A1" s="41" t="s">
        <v>198</v>
      </c>
    </row>
    <row r="2" spans="1:8" ht="13" thickBot="1" x14ac:dyDescent="0.3">
      <c r="A2" s="38" t="s">
        <v>190</v>
      </c>
    </row>
    <row r="3" spans="1:8" ht="15" customHeight="1" x14ac:dyDescent="0.25">
      <c r="A3" s="38"/>
      <c r="F3" s="771" t="s">
        <v>361</v>
      </c>
      <c r="G3" s="772"/>
      <c r="H3" s="773"/>
    </row>
    <row r="4" spans="1:8" s="2" customFormat="1" ht="26" x14ac:dyDescent="0.25">
      <c r="A4" s="40" t="s">
        <v>173</v>
      </c>
      <c r="B4" s="40" t="s">
        <v>9</v>
      </c>
      <c r="C4" s="40" t="s">
        <v>176</v>
      </c>
      <c r="D4" s="40" t="s">
        <v>177</v>
      </c>
      <c r="E4" s="446" t="s">
        <v>206</v>
      </c>
      <c r="F4" s="774"/>
      <c r="G4" s="775"/>
      <c r="H4" s="776"/>
    </row>
    <row r="5" spans="1:8" s="1" customFormat="1" ht="25" x14ac:dyDescent="0.25">
      <c r="A5" s="39" t="s">
        <v>172</v>
      </c>
      <c r="B5" s="39" t="s">
        <v>174</v>
      </c>
      <c r="C5" s="39" t="s">
        <v>369</v>
      </c>
      <c r="D5" s="39" t="s">
        <v>178</v>
      </c>
      <c r="E5" s="447" t="s">
        <v>180</v>
      </c>
      <c r="F5" s="774"/>
      <c r="G5" s="775"/>
      <c r="H5" s="776"/>
    </row>
    <row r="6" spans="1:8" s="1" customFormat="1" ht="25.5" thickBot="1" x14ac:dyDescent="0.3">
      <c r="A6" s="39" t="s">
        <v>181</v>
      </c>
      <c r="B6" s="39" t="s">
        <v>182</v>
      </c>
      <c r="C6" s="39" t="s">
        <v>183</v>
      </c>
      <c r="D6" s="39" t="s">
        <v>192</v>
      </c>
      <c r="E6" s="447" t="s">
        <v>207</v>
      </c>
      <c r="F6" s="777"/>
      <c r="G6" s="778"/>
      <c r="H6" s="779"/>
    </row>
    <row r="7" spans="1:8" s="1" customFormat="1" ht="25" x14ac:dyDescent="0.25">
      <c r="A7" s="39" t="s">
        <v>184</v>
      </c>
      <c r="B7" s="39" t="s">
        <v>59</v>
      </c>
      <c r="C7" s="39" t="s">
        <v>175</v>
      </c>
      <c r="D7" s="39" t="s">
        <v>185</v>
      </c>
      <c r="E7" s="39" t="s">
        <v>186</v>
      </c>
    </row>
    <row r="8" spans="1:8" s="1" customFormat="1" ht="25" x14ac:dyDescent="0.25">
      <c r="A8" s="39" t="s">
        <v>67</v>
      </c>
      <c r="B8" s="39" t="s">
        <v>68</v>
      </c>
      <c r="C8" s="39" t="s">
        <v>187</v>
      </c>
      <c r="D8" s="39" t="s">
        <v>188</v>
      </c>
      <c r="E8" s="39" t="s">
        <v>189</v>
      </c>
    </row>
    <row r="9" spans="1:8" s="1" customFormat="1" x14ac:dyDescent="0.25">
      <c r="A9" s="43"/>
      <c r="B9" s="43"/>
      <c r="C9" s="43"/>
      <c r="D9" s="43"/>
      <c r="E9" s="43"/>
    </row>
    <row r="10" spans="1:8" s="41" customFormat="1" ht="18" x14ac:dyDescent="0.25">
      <c r="A10" s="41" t="s">
        <v>200</v>
      </c>
    </row>
    <row r="11" spans="1:8" s="1" customFormat="1" x14ac:dyDescent="0.25">
      <c r="A11" s="43"/>
      <c r="B11" s="43"/>
      <c r="C11" s="43"/>
      <c r="D11" s="43"/>
      <c r="E11" s="43"/>
    </row>
    <row r="12" spans="1:8" s="1" customFormat="1" ht="26" x14ac:dyDescent="0.25">
      <c r="A12" s="40" t="s">
        <v>173</v>
      </c>
      <c r="B12" s="40" t="s">
        <v>9</v>
      </c>
      <c r="C12" s="40" t="s">
        <v>176</v>
      </c>
      <c r="D12" s="40" t="s">
        <v>177</v>
      </c>
      <c r="E12" s="40" t="s">
        <v>204</v>
      </c>
      <c r="F12" s="2"/>
    </row>
    <row r="13" spans="1:8" ht="62.5" x14ac:dyDescent="0.25">
      <c r="A13" s="42" t="s">
        <v>201</v>
      </c>
      <c r="B13" s="42" t="s">
        <v>79</v>
      </c>
      <c r="C13" s="45" t="s">
        <v>203</v>
      </c>
      <c r="D13" s="42" t="s">
        <v>202</v>
      </c>
      <c r="E13" s="45" t="s">
        <v>205</v>
      </c>
      <c r="F13" s="38"/>
    </row>
    <row r="14" spans="1:8" s="1" customFormat="1" x14ac:dyDescent="0.25">
      <c r="A14" s="43"/>
      <c r="B14" s="43"/>
      <c r="C14" s="43"/>
      <c r="D14" s="43"/>
      <c r="E14" s="43"/>
    </row>
    <row r="15" spans="1:8" s="41" customFormat="1" ht="18" x14ac:dyDescent="0.25">
      <c r="A15" s="41" t="s">
        <v>199</v>
      </c>
    </row>
    <row r="16" spans="1:8" s="1" customFormat="1" ht="13" x14ac:dyDescent="0.25">
      <c r="A16" s="44" t="s">
        <v>195</v>
      </c>
      <c r="B16" s="43"/>
      <c r="C16" s="43"/>
      <c r="D16" s="43"/>
      <c r="E16" s="43"/>
    </row>
    <row r="17" spans="1:6" s="1" customFormat="1" x14ac:dyDescent="0.25">
      <c r="A17" s="43"/>
      <c r="B17" s="43"/>
      <c r="C17" s="43"/>
      <c r="D17" s="43"/>
      <c r="E17" s="43"/>
    </row>
    <row r="18" spans="1:6" s="1" customFormat="1" ht="26" x14ac:dyDescent="0.25">
      <c r="A18" s="40" t="s">
        <v>173</v>
      </c>
      <c r="B18" s="40" t="s">
        <v>9</v>
      </c>
      <c r="C18" s="40" t="s">
        <v>176</v>
      </c>
      <c r="D18" s="40" t="s">
        <v>177</v>
      </c>
      <c r="E18" s="40" t="s">
        <v>179</v>
      </c>
      <c r="F18" s="40" t="s">
        <v>196</v>
      </c>
    </row>
    <row r="19" spans="1:6" ht="50" x14ac:dyDescent="0.25">
      <c r="A19" s="42" t="s">
        <v>38</v>
      </c>
      <c r="B19" s="42" t="s">
        <v>73</v>
      </c>
      <c r="C19" s="42" t="s">
        <v>370</v>
      </c>
      <c r="D19" s="42" t="s">
        <v>194</v>
      </c>
      <c r="E19" s="42" t="s">
        <v>191</v>
      </c>
      <c r="F19" s="39" t="s">
        <v>355</v>
      </c>
    </row>
  </sheetData>
  <mergeCells count="1">
    <mergeCell ref="F3:H6"/>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0">
    <tabColor theme="6"/>
    <pageSetUpPr fitToPage="1"/>
  </sheetPr>
  <dimension ref="A1:AB50"/>
  <sheetViews>
    <sheetView zoomScale="80" zoomScaleNormal="80" workbookViewId="0">
      <pane ySplit="1" topLeftCell="A2" activePane="bottomLeft" state="frozen"/>
      <selection pane="bottomLeft" sqref="A1:K1"/>
    </sheetView>
  </sheetViews>
  <sheetFormatPr defaultColWidth="9.1796875" defaultRowHeight="18.5" x14ac:dyDescent="0.25"/>
  <cols>
    <col min="1" max="1" width="4.26953125" style="87" customWidth="1"/>
    <col min="2" max="2" width="4.7265625" style="87" customWidth="1"/>
    <col min="3" max="3" width="13.54296875" style="87" customWidth="1"/>
    <col min="4" max="4" width="12" style="87" customWidth="1"/>
    <col min="5" max="5" width="11.1796875" style="88" customWidth="1"/>
    <col min="6" max="6" width="22" style="121" customWidth="1"/>
    <col min="7" max="7" width="9.54296875" style="46" customWidth="1"/>
    <col min="8" max="8" width="29.453125" style="46" hidden="1" customWidth="1"/>
    <col min="9" max="9" width="9" style="46" customWidth="1"/>
    <col min="10" max="10" width="6" style="46" customWidth="1"/>
    <col min="11" max="11" width="11.1796875" style="92" customWidth="1"/>
    <col min="12" max="12" width="1.7265625" style="89" customWidth="1"/>
    <col min="13" max="13" width="15.26953125" style="46" customWidth="1"/>
    <col min="14" max="14" width="1.54296875" style="46" customWidth="1"/>
    <col min="15" max="15" width="11" style="46" customWidth="1"/>
    <col min="16" max="16" width="1.81640625" style="89" customWidth="1"/>
    <col min="17" max="17" width="10.81640625" style="89" customWidth="1"/>
    <col min="18" max="18" width="6.453125" style="89" bestFit="1" customWidth="1"/>
    <col min="19" max="19" width="10.7265625" style="89" customWidth="1"/>
    <col min="20" max="20" width="1.81640625" style="50" customWidth="1"/>
    <col min="21" max="21" width="12.453125" style="90" customWidth="1"/>
    <col min="22" max="22" width="6.453125" style="90" customWidth="1"/>
    <col min="23" max="23" width="19.1796875" style="91" customWidth="1"/>
    <col min="24" max="24" width="2.1796875" style="50" customWidth="1"/>
    <col min="25" max="25" width="11.26953125" style="50" customWidth="1"/>
    <col min="26" max="26" width="11.1796875" style="50" customWidth="1"/>
    <col min="27" max="28" width="9.1796875" style="50"/>
    <col min="29" max="16384" width="9.1796875" style="46"/>
  </cols>
  <sheetData>
    <row r="1" spans="1:28" ht="20.25" customHeight="1" thickBot="1" x14ac:dyDescent="0.3">
      <c r="A1" s="1081" t="s">
        <v>105</v>
      </c>
      <c r="B1" s="1082"/>
      <c r="C1" s="1082"/>
      <c r="D1" s="1082"/>
      <c r="E1" s="1082"/>
      <c r="F1" s="1082"/>
      <c r="G1" s="1082"/>
      <c r="H1" s="1082"/>
      <c r="I1" s="1082"/>
      <c r="J1" s="1082"/>
      <c r="K1" s="1082"/>
      <c r="L1" s="1079"/>
      <c r="M1" s="1079"/>
      <c r="N1" s="1079"/>
      <c r="O1" s="1079"/>
      <c r="P1" s="1079"/>
      <c r="Q1" s="1079"/>
      <c r="R1" s="1079"/>
      <c r="S1" s="1079"/>
      <c r="T1" s="1079"/>
      <c r="U1" s="1079"/>
      <c r="V1" s="592" t="s">
        <v>485</v>
      </c>
      <c r="W1" s="612" t="str">
        <f>'Cover Page'!A3</f>
        <v>January 2014</v>
      </c>
    </row>
    <row r="2" spans="1:28" s="50" customFormat="1" ht="6" customHeight="1" thickBot="1" x14ac:dyDescent="0.3">
      <c r="A2" s="47"/>
      <c r="B2" s="47"/>
      <c r="C2" s="47"/>
      <c r="D2" s="47"/>
      <c r="E2" s="47"/>
      <c r="F2" s="47"/>
      <c r="G2" s="47"/>
      <c r="H2" s="47"/>
      <c r="I2" s="47"/>
      <c r="J2" s="48"/>
      <c r="K2" s="48"/>
      <c r="L2" s="48"/>
      <c r="M2" s="48"/>
      <c r="N2" s="48"/>
      <c r="O2" s="49"/>
      <c r="P2" s="49"/>
      <c r="Q2" s="49"/>
      <c r="R2" s="49"/>
      <c r="S2" s="49"/>
      <c r="T2" s="49"/>
      <c r="U2" s="49"/>
      <c r="V2" s="49"/>
      <c r="W2" s="49"/>
    </row>
    <row r="3" spans="1:28" s="50" customFormat="1" ht="19" thickBot="1" x14ac:dyDescent="0.3">
      <c r="A3" s="1088" t="s">
        <v>234</v>
      </c>
      <c r="B3" s="1089"/>
      <c r="C3" s="1089"/>
      <c r="D3" s="1089"/>
      <c r="E3" s="1089"/>
      <c r="F3" s="1089"/>
      <c r="G3" s="1089"/>
      <c r="H3" s="1089"/>
      <c r="I3" s="1089"/>
      <c r="J3" s="1089"/>
      <c r="K3" s="1089"/>
      <c r="L3" s="1089"/>
      <c r="M3" s="1089"/>
      <c r="N3" s="1089"/>
      <c r="O3" s="1090"/>
      <c r="P3" s="159"/>
      <c r="Q3" s="901" t="s">
        <v>261</v>
      </c>
      <c r="R3" s="902"/>
      <c r="S3" s="902"/>
      <c r="T3" s="902"/>
      <c r="U3" s="902"/>
      <c r="V3" s="902"/>
      <c r="W3" s="903"/>
      <c r="Y3" s="159" t="s">
        <v>250</v>
      </c>
      <c r="Z3" s="120"/>
    </row>
    <row r="4" spans="1:28" s="53" customFormat="1" ht="15.5" x14ac:dyDescent="0.25">
      <c r="A4" s="904" t="s">
        <v>231</v>
      </c>
      <c r="B4" s="905"/>
      <c r="C4" s="905"/>
      <c r="D4" s="906">
        <f>L1</f>
        <v>0</v>
      </c>
      <c r="E4" s="907"/>
      <c r="F4" s="1173" t="s">
        <v>28</v>
      </c>
      <c r="G4" s="1087"/>
      <c r="H4" s="190"/>
      <c r="I4" s="1170"/>
      <c r="J4" s="1170"/>
      <c r="K4" s="1170"/>
      <c r="L4" s="1170"/>
      <c r="M4" s="910" t="s">
        <v>257</v>
      </c>
      <c r="N4" s="910"/>
      <c r="O4" s="191"/>
      <c r="P4" s="95"/>
      <c r="Q4" s="911" t="s">
        <v>236</v>
      </c>
      <c r="R4" s="912"/>
      <c r="S4" s="912"/>
      <c r="T4" s="912"/>
      <c r="U4" s="912"/>
      <c r="V4" s="912"/>
      <c r="W4" s="913"/>
      <c r="Y4" s="243" t="s">
        <v>308</v>
      </c>
      <c r="Z4" s="241" t="s">
        <v>309</v>
      </c>
      <c r="AA4" s="241" t="s">
        <v>310</v>
      </c>
    </row>
    <row r="5" spans="1:28" s="53" customFormat="1" ht="15.5" x14ac:dyDescent="0.25">
      <c r="A5" s="882" t="s">
        <v>4</v>
      </c>
      <c r="B5" s="883"/>
      <c r="C5" s="883"/>
      <c r="D5" s="894"/>
      <c r="E5" s="885"/>
      <c r="F5" s="1107" t="s">
        <v>244</v>
      </c>
      <c r="G5" s="1086"/>
      <c r="H5" s="167"/>
      <c r="I5" s="1160"/>
      <c r="J5" s="1160"/>
      <c r="K5" s="1160"/>
      <c r="L5" s="1160"/>
      <c r="M5" s="872" t="s">
        <v>22</v>
      </c>
      <c r="N5" s="872"/>
      <c r="O5" s="54"/>
      <c r="P5" s="95"/>
      <c r="Q5" s="897" t="s">
        <v>302</v>
      </c>
      <c r="R5" s="898"/>
      <c r="S5" s="898"/>
      <c r="T5" s="898"/>
      <c r="U5" s="898"/>
      <c r="V5" s="898"/>
      <c r="W5" s="899"/>
      <c r="Y5" s="157" t="s">
        <v>31</v>
      </c>
      <c r="Z5" s="161">
        <f>SUMIF($G$16:$G$43,"STATE",$K$16:$K$43)</f>
        <v>193.99999999999997</v>
      </c>
      <c r="AA5" s="161">
        <f>SUMIF($G$16:$G$43,"STATE",$S$16:$S$43)</f>
        <v>0</v>
      </c>
    </row>
    <row r="6" spans="1:28" s="53" customFormat="1" ht="16" thickBot="1" x14ac:dyDescent="0.3">
      <c r="A6" s="882" t="s">
        <v>12</v>
      </c>
      <c r="B6" s="883"/>
      <c r="C6" s="883"/>
      <c r="D6" s="894"/>
      <c r="E6" s="900"/>
      <c r="F6" s="1107" t="s">
        <v>20</v>
      </c>
      <c r="G6" s="1086"/>
      <c r="H6" s="167"/>
      <c r="I6" s="1160" t="s">
        <v>11</v>
      </c>
      <c r="J6" s="1160"/>
      <c r="K6" s="1160"/>
      <c r="L6" s="1160"/>
      <c r="M6" s="848" t="s">
        <v>233</v>
      </c>
      <c r="N6" s="848"/>
      <c r="O6" s="194">
        <f>O4+O5*10</f>
        <v>0</v>
      </c>
      <c r="P6" s="95"/>
      <c r="Q6" s="891" t="s">
        <v>573</v>
      </c>
      <c r="R6" s="892"/>
      <c r="S6" s="892"/>
      <c r="T6" s="892"/>
      <c r="U6" s="892"/>
      <c r="V6" s="892"/>
      <c r="W6" s="893"/>
      <c r="Y6" s="157" t="s">
        <v>32</v>
      </c>
      <c r="Z6" s="161">
        <f>SUMIF($G$16:$G$43,"COUNTY",$K$16:$K$43)</f>
        <v>0</v>
      </c>
      <c r="AA6" s="161">
        <f>SUMIF($G$16:$G$43,"COUNTY",$S$16:$S$43)</f>
        <v>0</v>
      </c>
    </row>
    <row r="7" spans="1:28" s="53" customFormat="1" ht="16" thickBot="1" x14ac:dyDescent="0.3">
      <c r="A7" s="882" t="s">
        <v>5</v>
      </c>
      <c r="B7" s="883"/>
      <c r="C7" s="883"/>
      <c r="D7" s="884"/>
      <c r="E7" s="885"/>
      <c r="F7" s="1106" t="s">
        <v>21</v>
      </c>
      <c r="G7" s="1077"/>
      <c r="H7" s="219"/>
      <c r="I7" s="1162"/>
      <c r="J7" s="1162"/>
      <c r="K7" s="1162"/>
      <c r="L7" s="967"/>
      <c r="M7" s="641"/>
      <c r="N7" s="220"/>
      <c r="O7" s="217"/>
      <c r="P7" s="95"/>
      <c r="Q7" s="888" t="s">
        <v>235</v>
      </c>
      <c r="R7" s="889"/>
      <c r="S7" s="889"/>
      <c r="T7" s="889"/>
      <c r="U7" s="889"/>
      <c r="V7" s="889"/>
      <c r="W7" s="890"/>
      <c r="Y7" s="157" t="s">
        <v>52</v>
      </c>
      <c r="Z7" s="161">
        <f>SUMIF($G$16:$G$43,"CITY",$K$16:$K$43)</f>
        <v>0</v>
      </c>
      <c r="AA7" s="161">
        <f>SUMIF($G$16:$G$43,"CITY",$S$16:$S$43)</f>
        <v>0</v>
      </c>
    </row>
    <row r="8" spans="1:28" s="53" customFormat="1" ht="15.75" customHeight="1" x14ac:dyDescent="0.25">
      <c r="A8" s="873" t="s">
        <v>54</v>
      </c>
      <c r="B8" s="874"/>
      <c r="C8" s="874"/>
      <c r="D8" s="1163">
        <v>1</v>
      </c>
      <c r="E8" s="1164"/>
      <c r="F8" s="904" t="s">
        <v>253</v>
      </c>
      <c r="G8" s="905"/>
      <c r="H8" s="643"/>
      <c r="I8" s="1167"/>
      <c r="J8" s="1167"/>
      <c r="K8" s="1167"/>
      <c r="L8" s="1167"/>
      <c r="M8" s="905" t="s">
        <v>257</v>
      </c>
      <c r="N8" s="905"/>
      <c r="O8" s="51">
        <v>0</v>
      </c>
      <c r="P8" s="138"/>
      <c r="Q8" s="862" t="s">
        <v>303</v>
      </c>
      <c r="R8" s="863"/>
      <c r="S8" s="863"/>
      <c r="T8" s="863"/>
      <c r="U8" s="863"/>
      <c r="V8" s="863"/>
      <c r="W8" s="864"/>
      <c r="Y8" s="157" t="s">
        <v>230</v>
      </c>
      <c r="Z8" s="161">
        <f>SUMIF($G$16:$G$43,"COURT",$K$16:$K$43)</f>
        <v>0</v>
      </c>
      <c r="AA8" s="161">
        <f>SUMIF($G$16:$G$43,"COURT",$S$16:$S$43)</f>
        <v>0</v>
      </c>
    </row>
    <row r="9" spans="1:28" s="53" customFormat="1" ht="18" customHeight="1" thickBot="1" x14ac:dyDescent="0.3">
      <c r="A9" s="868" t="s">
        <v>53</v>
      </c>
      <c r="B9" s="869"/>
      <c r="C9" s="869"/>
      <c r="D9" s="870">
        <f>100%-D8</f>
        <v>0</v>
      </c>
      <c r="E9" s="1161"/>
      <c r="F9" s="1107" t="s">
        <v>244</v>
      </c>
      <c r="G9" s="1086"/>
      <c r="H9" s="642"/>
      <c r="I9" s="1160"/>
      <c r="J9" s="1160"/>
      <c r="K9" s="1160"/>
      <c r="L9" s="1160"/>
      <c r="M9" s="1086" t="s">
        <v>22</v>
      </c>
      <c r="N9" s="1086"/>
      <c r="O9" s="54"/>
      <c r="P9" s="138"/>
      <c r="Q9" s="865"/>
      <c r="R9" s="866"/>
      <c r="S9" s="866"/>
      <c r="T9" s="866"/>
      <c r="U9" s="866"/>
      <c r="V9" s="866"/>
      <c r="W9" s="867"/>
      <c r="Y9" s="84" t="s">
        <v>446</v>
      </c>
      <c r="Z9" s="161">
        <f>SUMIF($G$16:$G$43,"CNTY or CTY",$K$16:$K$43)</f>
        <v>0</v>
      </c>
      <c r="AA9" s="161">
        <f>SUMIF($G$16:$G$43,"CNTY or CTY",$S$16:$S$43)</f>
        <v>0</v>
      </c>
    </row>
    <row r="10" spans="1:28" s="53" customFormat="1" ht="16.5" customHeight="1" thickBot="1" x14ac:dyDescent="0.3">
      <c r="A10" s="840" t="s">
        <v>276</v>
      </c>
      <c r="B10" s="841"/>
      <c r="C10" s="841"/>
      <c r="D10" s="1066">
        <f>O6+O10</f>
        <v>0</v>
      </c>
      <c r="E10" s="1159"/>
      <c r="F10" s="1107" t="s">
        <v>20</v>
      </c>
      <c r="G10" s="1086"/>
      <c r="H10" s="642"/>
      <c r="I10" s="1160"/>
      <c r="J10" s="1160"/>
      <c r="K10" s="1160"/>
      <c r="L10" s="1160"/>
      <c r="M10" s="1086" t="s">
        <v>233</v>
      </c>
      <c r="N10" s="1086"/>
      <c r="O10" s="640">
        <f>O8+O9*10</f>
        <v>0</v>
      </c>
      <c r="P10" s="218"/>
      <c r="Q10" s="849" t="s">
        <v>239</v>
      </c>
      <c r="R10" s="850"/>
      <c r="S10" s="850"/>
      <c r="T10" s="850"/>
      <c r="U10" s="850"/>
      <c r="V10" s="850"/>
      <c r="W10" s="851"/>
      <c r="Y10" s="158" t="s">
        <v>246</v>
      </c>
      <c r="Z10" s="134">
        <f>SUM(Z5:Z9)</f>
        <v>193.99999999999997</v>
      </c>
      <c r="AA10" s="134">
        <f>SUM(AA5:AA9)</f>
        <v>0</v>
      </c>
    </row>
    <row r="11" spans="1:28" s="53" customFormat="1" ht="16.5" customHeight="1" thickBot="1" x14ac:dyDescent="0.3">
      <c r="A11" s="852" t="s">
        <v>277</v>
      </c>
      <c r="B11" s="853"/>
      <c r="C11" s="853"/>
      <c r="D11" s="854">
        <f>ROUNDUP(D10/10,0)</f>
        <v>0</v>
      </c>
      <c r="E11" s="1152"/>
      <c r="F11" s="1153" t="s">
        <v>21</v>
      </c>
      <c r="G11" s="1069"/>
      <c r="H11" s="644"/>
      <c r="I11" s="1154"/>
      <c r="J11" s="1154"/>
      <c r="K11" s="1154"/>
      <c r="L11" s="1154"/>
      <c r="M11" s="1172" t="s">
        <v>568</v>
      </c>
      <c r="N11" s="1172"/>
      <c r="O11" s="645">
        <f>'1-DUI (Reduce Base)'!P11</f>
        <v>5</v>
      </c>
      <c r="P11" s="218"/>
      <c r="Q11" s="837" t="s">
        <v>430</v>
      </c>
      <c r="R11" s="838"/>
      <c r="S11" s="838"/>
      <c r="T11" s="838"/>
      <c r="U11" s="838"/>
      <c r="V11" s="838"/>
      <c r="W11" s="839"/>
      <c r="Z11" s="242">
        <f>Z10-K45</f>
        <v>0</v>
      </c>
      <c r="AA11" s="242">
        <f>AA10-S45</f>
        <v>0</v>
      </c>
    </row>
    <row r="12" spans="1:28" s="53" customFormat="1" ht="15.75" customHeight="1" thickBot="1" x14ac:dyDescent="0.3">
      <c r="A12" s="193"/>
      <c r="B12" s="193"/>
      <c r="C12" s="173"/>
      <c r="D12" s="173"/>
      <c r="E12" s="173"/>
      <c r="F12" s="60"/>
      <c r="G12" s="55"/>
      <c r="H12" s="56"/>
      <c r="I12" s="57"/>
      <c r="J12" s="57"/>
      <c r="K12" s="57"/>
      <c r="L12" s="57"/>
      <c r="O12" s="52"/>
      <c r="P12" s="52"/>
      <c r="Q12" s="52"/>
      <c r="R12" s="52"/>
      <c r="S12" s="52"/>
      <c r="T12" s="52"/>
      <c r="U12" s="58"/>
      <c r="V12" s="58"/>
      <c r="W12" s="56"/>
      <c r="AA12" s="59"/>
    </row>
    <row r="13" spans="1:28" s="98" customFormat="1" ht="18.75" customHeight="1" thickBot="1" x14ac:dyDescent="0.3">
      <c r="A13" s="174"/>
      <c r="B13" s="174"/>
      <c r="C13" s="174"/>
      <c r="D13" s="174"/>
      <c r="E13" s="174"/>
      <c r="F13" s="96"/>
      <c r="G13" s="97"/>
      <c r="I13" s="821" t="s">
        <v>297</v>
      </c>
      <c r="J13" s="822"/>
      <c r="K13" s="823"/>
      <c r="L13" s="99"/>
      <c r="M13" s="1155" t="s">
        <v>229</v>
      </c>
      <c r="N13" s="1156"/>
      <c r="O13" s="1157"/>
      <c r="P13" s="100"/>
      <c r="Q13" s="824" t="s">
        <v>295</v>
      </c>
      <c r="R13" s="825"/>
      <c r="S13" s="826"/>
      <c r="T13" s="207"/>
      <c r="U13" s="143"/>
      <c r="V13" s="143"/>
      <c r="W13" s="144"/>
      <c r="X13" s="97"/>
      <c r="Y13" s="97"/>
      <c r="Z13" s="97"/>
      <c r="AA13" s="97"/>
      <c r="AB13" s="97"/>
    </row>
    <row r="14" spans="1:28" ht="44.25" customHeight="1" thickBot="1" x14ac:dyDescent="0.3">
      <c r="A14" s="101">
        <v>0.02</v>
      </c>
      <c r="B14" s="101" t="s">
        <v>58</v>
      </c>
      <c r="C14" s="827" t="s">
        <v>226</v>
      </c>
      <c r="D14" s="828"/>
      <c r="E14" s="828"/>
      <c r="F14" s="829"/>
      <c r="G14" s="102" t="s">
        <v>249</v>
      </c>
      <c r="H14" s="103" t="s">
        <v>0</v>
      </c>
      <c r="I14" s="170" t="s">
        <v>298</v>
      </c>
      <c r="J14" s="835" t="s">
        <v>6</v>
      </c>
      <c r="K14" s="215" t="s">
        <v>299</v>
      </c>
      <c r="L14" s="61"/>
      <c r="M14" s="1122" t="s">
        <v>260</v>
      </c>
      <c r="N14" s="1123"/>
      <c r="O14" s="109" t="s">
        <v>248</v>
      </c>
      <c r="P14" s="110"/>
      <c r="Q14" s="564" t="s">
        <v>428</v>
      </c>
      <c r="R14" s="835" t="s">
        <v>6</v>
      </c>
      <c r="S14" s="215" t="s">
        <v>299</v>
      </c>
      <c r="T14" s="209"/>
      <c r="U14" s="189" t="s">
        <v>256</v>
      </c>
      <c r="V14" s="1148" t="s">
        <v>61</v>
      </c>
      <c r="W14" s="1150" t="s">
        <v>384</v>
      </c>
    </row>
    <row r="15" spans="1:28" ht="30.75" customHeight="1" thickBot="1" x14ac:dyDescent="0.3">
      <c r="A15" s="104"/>
      <c r="B15" s="104"/>
      <c r="C15" s="830"/>
      <c r="D15" s="831"/>
      <c r="E15" s="831"/>
      <c r="F15" s="832"/>
      <c r="G15" s="105"/>
      <c r="H15" s="105"/>
      <c r="I15" s="106"/>
      <c r="J15" s="836"/>
      <c r="K15" s="222" t="s">
        <v>42</v>
      </c>
      <c r="L15" s="62"/>
      <c r="M15" s="1120"/>
      <c r="N15" s="1121"/>
      <c r="O15" s="223" t="s">
        <v>43</v>
      </c>
      <c r="P15" s="110"/>
      <c r="Q15" s="224" t="e">
        <f>(Q34-Q30)/(I34-I30)</f>
        <v>#DIV/0!</v>
      </c>
      <c r="R15" s="836"/>
      <c r="S15" s="222" t="s">
        <v>44</v>
      </c>
      <c r="T15" s="209"/>
      <c r="U15" s="262" t="s">
        <v>300</v>
      </c>
      <c r="V15" s="1149"/>
      <c r="W15" s="1151"/>
    </row>
    <row r="16" spans="1:28" s="68" customFormat="1" ht="15.75" customHeight="1" thickTop="1" x14ac:dyDescent="0.25">
      <c r="A16" s="63" t="s">
        <v>8</v>
      </c>
      <c r="B16" s="1073" t="s">
        <v>241</v>
      </c>
      <c r="C16" s="1146" t="s">
        <v>490</v>
      </c>
      <c r="D16" s="1105"/>
      <c r="E16" s="1105"/>
      <c r="F16" s="1105"/>
      <c r="G16" s="567" t="s">
        <v>32</v>
      </c>
      <c r="H16" s="65" t="s">
        <v>14</v>
      </c>
      <c r="I16" s="139">
        <v>50</v>
      </c>
      <c r="J16" s="147">
        <f t="shared" ref="J16:J33" si="0">IF(A16="Y", I16*2%,0)</f>
        <v>1</v>
      </c>
      <c r="K16" s="180">
        <f t="shared" ref="K16:K33" si="1">I16-J16</f>
        <v>49</v>
      </c>
      <c r="L16" s="149"/>
      <c r="M16" s="1135"/>
      <c r="N16" s="1136"/>
      <c r="O16" s="172"/>
      <c r="P16" s="66"/>
      <c r="Q16" s="140">
        <f>IF($Q$45=0,,IF($Q$15*$I$16&gt;50,50,$Q$15*$I$16))</f>
        <v>0</v>
      </c>
      <c r="R16" s="147">
        <f t="shared" ref="R16:R33" si="2">IF(A16="Y", Q16*2%,)</f>
        <v>0</v>
      </c>
      <c r="S16" s="151">
        <f>Q16-R16</f>
        <v>0</v>
      </c>
      <c r="T16" s="210"/>
      <c r="U16" s="145">
        <f>IF($U$15="BASE-UP   (B-A)", O16-K16,O16-S16)</f>
        <v>-49</v>
      </c>
      <c r="V16" s="550"/>
      <c r="W16" s="94"/>
      <c r="X16" s="114"/>
      <c r="Y16" s="114"/>
      <c r="Z16" s="114"/>
      <c r="AA16" s="114"/>
      <c r="AB16" s="114"/>
    </row>
    <row r="17" spans="1:28" s="68" customFormat="1" ht="15.75" customHeight="1" x14ac:dyDescent="0.25">
      <c r="A17" s="63" t="s">
        <v>8</v>
      </c>
      <c r="B17" s="1073"/>
      <c r="C17" s="1147" t="s">
        <v>491</v>
      </c>
      <c r="D17" s="812"/>
      <c r="E17" s="812"/>
      <c r="F17" s="812"/>
      <c r="G17" s="566" t="s">
        <v>32</v>
      </c>
      <c r="H17" s="71" t="s">
        <v>14</v>
      </c>
      <c r="I17" s="141">
        <v>50</v>
      </c>
      <c r="J17" s="147">
        <f t="shared" si="0"/>
        <v>1</v>
      </c>
      <c r="K17" s="152">
        <f t="shared" si="1"/>
        <v>49</v>
      </c>
      <c r="L17" s="149"/>
      <c r="M17" s="804"/>
      <c r="N17" s="1078"/>
      <c r="O17" s="72"/>
      <c r="P17" s="66"/>
      <c r="Q17" s="140">
        <f>IF($Q$45=0,,IF($Q$15*$I$17&gt;50,50,$Q$15*$I$17))</f>
        <v>0</v>
      </c>
      <c r="R17" s="147">
        <f t="shared" si="2"/>
        <v>0</v>
      </c>
      <c r="S17" s="152">
        <f>Q17-R17</f>
        <v>0</v>
      </c>
      <c r="T17" s="210"/>
      <c r="U17" s="145">
        <f t="shared" ref="U17:U43" si="3">IF($U$15="BASE-UP   (B-A)", O17-K17,O17-S17)</f>
        <v>-49</v>
      </c>
      <c r="V17" s="550"/>
      <c r="W17" s="67"/>
      <c r="X17" s="114"/>
      <c r="Y17" s="114"/>
      <c r="Z17" s="114"/>
      <c r="AA17" s="114"/>
      <c r="AB17" s="114"/>
    </row>
    <row r="18" spans="1:28" s="68" customFormat="1" ht="15.75" customHeight="1" x14ac:dyDescent="0.25">
      <c r="A18" s="63" t="s">
        <v>8</v>
      </c>
      <c r="B18" s="1073"/>
      <c r="C18" s="812" t="s">
        <v>212</v>
      </c>
      <c r="D18" s="812"/>
      <c r="E18" s="812"/>
      <c r="F18" s="812"/>
      <c r="G18" s="566" t="s">
        <v>32</v>
      </c>
      <c r="H18" s="71" t="s">
        <v>27</v>
      </c>
      <c r="I18" s="140">
        <f>(D10-SUM(I16:I17))*D8</f>
        <v>-100</v>
      </c>
      <c r="J18" s="147">
        <f t="shared" si="0"/>
        <v>-2</v>
      </c>
      <c r="K18" s="152">
        <f t="shared" si="1"/>
        <v>-98</v>
      </c>
      <c r="L18" s="149"/>
      <c r="M18" s="804"/>
      <c r="N18" s="1078"/>
      <c r="O18" s="72"/>
      <c r="P18" s="66"/>
      <c r="Q18" s="140">
        <f>IF($Q$45=0,,(($Q$15*$D$10)-SUM($Q$16:$Q$17))*D8)</f>
        <v>0</v>
      </c>
      <c r="R18" s="147">
        <f t="shared" si="2"/>
        <v>0</v>
      </c>
      <c r="S18" s="152">
        <f t="shared" ref="S18:S42" si="4">Q18-R18</f>
        <v>0</v>
      </c>
      <c r="T18" s="210"/>
      <c r="U18" s="145">
        <f t="shared" si="3"/>
        <v>98</v>
      </c>
      <c r="V18" s="550"/>
      <c r="W18" s="67"/>
      <c r="X18" s="114"/>
      <c r="Y18" s="114"/>
      <c r="Z18" s="114"/>
      <c r="AA18" s="114"/>
      <c r="AB18" s="114"/>
    </row>
    <row r="19" spans="1:28" s="68" customFormat="1" ht="15.75" customHeight="1" x14ac:dyDescent="0.25">
      <c r="A19" s="63" t="s">
        <v>8</v>
      </c>
      <c r="B19" s="1074"/>
      <c r="C19" s="812" t="s">
        <v>213</v>
      </c>
      <c r="D19" s="812"/>
      <c r="E19" s="812"/>
      <c r="F19" s="812"/>
      <c r="G19" s="566" t="s">
        <v>52</v>
      </c>
      <c r="H19" s="71" t="s">
        <v>25</v>
      </c>
      <c r="I19" s="140">
        <f>(D10-SUM(I16:I17))*D9</f>
        <v>0</v>
      </c>
      <c r="J19" s="147">
        <f t="shared" si="0"/>
        <v>0</v>
      </c>
      <c r="K19" s="152">
        <f t="shared" si="1"/>
        <v>0</v>
      </c>
      <c r="L19" s="149"/>
      <c r="M19" s="804"/>
      <c r="N19" s="1078"/>
      <c r="O19" s="72"/>
      <c r="P19" s="66"/>
      <c r="Q19" s="140">
        <f>IF($Q$45=0,,(($Q$15*$D$10)-SUM($Q$16:$Q$17))*D9)</f>
        <v>0</v>
      </c>
      <c r="R19" s="147">
        <f t="shared" si="2"/>
        <v>0</v>
      </c>
      <c r="S19" s="152">
        <f t="shared" si="4"/>
        <v>0</v>
      </c>
      <c r="T19" s="210"/>
      <c r="U19" s="145">
        <f t="shared" si="3"/>
        <v>0</v>
      </c>
      <c r="V19" s="550"/>
      <c r="W19" s="67"/>
      <c r="X19" s="114"/>
      <c r="Y19" s="114"/>
      <c r="Z19" s="114"/>
      <c r="AA19" s="114"/>
      <c r="AB19" s="114"/>
    </row>
    <row r="20" spans="1:28" s="68" customFormat="1" ht="15.75" customHeight="1" x14ac:dyDescent="0.25">
      <c r="A20" s="63" t="s">
        <v>8</v>
      </c>
      <c r="B20" s="69">
        <v>7</v>
      </c>
      <c r="C20" s="812" t="s">
        <v>546</v>
      </c>
      <c r="D20" s="812"/>
      <c r="E20" s="812"/>
      <c r="F20" s="812"/>
      <c r="G20" s="566" t="s">
        <v>31</v>
      </c>
      <c r="H20" s="71" t="s">
        <v>26</v>
      </c>
      <c r="I20" s="140">
        <f>$D$11*B20</f>
        <v>0</v>
      </c>
      <c r="J20" s="147">
        <f t="shared" si="0"/>
        <v>0</v>
      </c>
      <c r="K20" s="152">
        <f t="shared" si="1"/>
        <v>0</v>
      </c>
      <c r="L20" s="149"/>
      <c r="M20" s="804"/>
      <c r="N20" s="1078"/>
      <c r="O20" s="74"/>
      <c r="P20" s="75"/>
      <c r="Q20" s="140">
        <f t="shared" ref="Q20:Q29" si="5">IF($Q$45=0,,$Q$15*I20)</f>
        <v>0</v>
      </c>
      <c r="R20" s="147">
        <f t="shared" si="2"/>
        <v>0</v>
      </c>
      <c r="S20" s="152">
        <f t="shared" si="4"/>
        <v>0</v>
      </c>
      <c r="T20" s="210"/>
      <c r="U20" s="145">
        <f t="shared" si="3"/>
        <v>0</v>
      </c>
      <c r="V20" s="550"/>
      <c r="W20" s="67"/>
      <c r="X20" s="114"/>
      <c r="Y20" s="114"/>
      <c r="Z20" s="114"/>
      <c r="AA20" s="114"/>
      <c r="AB20" s="114"/>
    </row>
    <row r="21" spans="1:28" s="68" customFormat="1" ht="15.75" customHeight="1" x14ac:dyDescent="0.25">
      <c r="A21" s="63" t="s">
        <v>8</v>
      </c>
      <c r="B21" s="69">
        <v>3</v>
      </c>
      <c r="C21" s="812" t="s">
        <v>547</v>
      </c>
      <c r="D21" s="812"/>
      <c r="E21" s="812"/>
      <c r="F21" s="812"/>
      <c r="G21" s="566" t="s">
        <v>32</v>
      </c>
      <c r="H21" s="71" t="s">
        <v>27</v>
      </c>
      <c r="I21" s="140">
        <f t="shared" ref="I21:I32" si="6">$D$11*B21</f>
        <v>0</v>
      </c>
      <c r="J21" s="147">
        <f t="shared" si="0"/>
        <v>0</v>
      </c>
      <c r="K21" s="152">
        <f t="shared" si="1"/>
        <v>0</v>
      </c>
      <c r="L21" s="149"/>
      <c r="M21" s="804"/>
      <c r="N21" s="1078"/>
      <c r="O21" s="72"/>
      <c r="P21" s="66"/>
      <c r="Q21" s="140">
        <f t="shared" si="5"/>
        <v>0</v>
      </c>
      <c r="R21" s="147">
        <f t="shared" si="2"/>
        <v>0</v>
      </c>
      <c r="S21" s="152">
        <f t="shared" si="4"/>
        <v>0</v>
      </c>
      <c r="T21" s="210"/>
      <c r="U21" s="145">
        <f t="shared" si="3"/>
        <v>0</v>
      </c>
      <c r="V21" s="550"/>
      <c r="W21" s="67"/>
      <c r="X21" s="114"/>
      <c r="Y21" s="114"/>
      <c r="Z21" s="114"/>
      <c r="AA21" s="114"/>
      <c r="AB21" s="114"/>
    </row>
    <row r="22" spans="1:28" s="68" customFormat="1" ht="15.75" customHeight="1" x14ac:dyDescent="0.25">
      <c r="A22" s="63" t="s">
        <v>8</v>
      </c>
      <c r="B22" s="69">
        <v>1</v>
      </c>
      <c r="C22" s="804" t="s">
        <v>216</v>
      </c>
      <c r="D22" s="805"/>
      <c r="E22" s="805"/>
      <c r="F22" s="945"/>
      <c r="G22" s="566" t="s">
        <v>32</v>
      </c>
      <c r="H22" s="71" t="s">
        <v>55</v>
      </c>
      <c r="I22" s="140">
        <f t="shared" si="6"/>
        <v>0</v>
      </c>
      <c r="J22" s="147">
        <f t="shared" si="0"/>
        <v>0</v>
      </c>
      <c r="K22" s="152">
        <f t="shared" si="1"/>
        <v>0</v>
      </c>
      <c r="L22" s="149"/>
      <c r="M22" s="804"/>
      <c r="N22" s="1078"/>
      <c r="O22" s="72"/>
      <c r="P22" s="66"/>
      <c r="Q22" s="140">
        <f t="shared" si="5"/>
        <v>0</v>
      </c>
      <c r="R22" s="147">
        <f t="shared" si="2"/>
        <v>0</v>
      </c>
      <c r="S22" s="152">
        <f t="shared" si="4"/>
        <v>0</v>
      </c>
      <c r="T22" s="210"/>
      <c r="U22" s="145">
        <f t="shared" si="3"/>
        <v>0</v>
      </c>
      <c r="V22" s="550"/>
      <c r="W22" s="67"/>
      <c r="X22" s="114"/>
      <c r="Y22" s="114"/>
      <c r="Z22" s="114"/>
      <c r="AA22" s="114"/>
      <c r="AB22" s="114"/>
    </row>
    <row r="23" spans="1:28" s="68" customFormat="1" ht="15.75" customHeight="1" x14ac:dyDescent="0.25">
      <c r="A23" s="63" t="s">
        <v>8</v>
      </c>
      <c r="B23" s="69">
        <v>4</v>
      </c>
      <c r="C23" s="804" t="s">
        <v>466</v>
      </c>
      <c r="D23" s="805"/>
      <c r="E23" s="805"/>
      <c r="F23" s="945"/>
      <c r="G23" s="566" t="s">
        <v>31</v>
      </c>
      <c r="H23" s="71" t="s">
        <v>72</v>
      </c>
      <c r="I23" s="140">
        <f t="shared" si="6"/>
        <v>0</v>
      </c>
      <c r="J23" s="147">
        <f t="shared" si="0"/>
        <v>0</v>
      </c>
      <c r="K23" s="152">
        <f t="shared" si="1"/>
        <v>0</v>
      </c>
      <c r="L23" s="149"/>
      <c r="M23" s="804"/>
      <c r="N23" s="1078"/>
      <c r="O23" s="72"/>
      <c r="P23" s="66"/>
      <c r="Q23" s="140">
        <f t="shared" si="5"/>
        <v>0</v>
      </c>
      <c r="R23" s="147">
        <f t="shared" si="2"/>
        <v>0</v>
      </c>
      <c r="S23" s="152">
        <f t="shared" si="4"/>
        <v>0</v>
      </c>
      <c r="T23" s="210"/>
      <c r="U23" s="145">
        <f t="shared" si="3"/>
        <v>0</v>
      </c>
      <c r="V23" s="550"/>
      <c r="W23" s="67"/>
      <c r="X23" s="114"/>
      <c r="Y23" s="114"/>
      <c r="Z23" s="114"/>
      <c r="AA23" s="114"/>
      <c r="AB23" s="114"/>
    </row>
    <row r="24" spans="1:28" s="68" customFormat="1" ht="15.75" customHeight="1" x14ac:dyDescent="0.25">
      <c r="A24" s="63" t="s">
        <v>8</v>
      </c>
      <c r="B24" s="634">
        <f>'1-DUI (Reduce Base)'!$B$25</f>
        <v>0</v>
      </c>
      <c r="C24" s="812" t="s">
        <v>217</v>
      </c>
      <c r="D24" s="812"/>
      <c r="E24" s="813" t="str">
        <f>IF(SUM(B24:B28)=O11,"GC 76000 PA ($" &amp;O11 &amp; " for every 10) breakdown per local board of supervisor resolution (BOS).","ERROR! GC 76000 PA total is not $" &amp;O11&amp; ". Check Court's board resolution.")</f>
        <v>ERROR! GC 76000 PA total is not $5. Check Court's board resolution.</v>
      </c>
      <c r="F24" s="1143"/>
      <c r="G24" s="566" t="s">
        <v>32</v>
      </c>
      <c r="H24" s="71" t="s">
        <v>64</v>
      </c>
      <c r="I24" s="140">
        <f t="shared" si="6"/>
        <v>0</v>
      </c>
      <c r="J24" s="147">
        <f t="shared" si="0"/>
        <v>0</v>
      </c>
      <c r="K24" s="152">
        <f t="shared" si="1"/>
        <v>0</v>
      </c>
      <c r="L24" s="149"/>
      <c r="M24" s="804"/>
      <c r="N24" s="1078"/>
      <c r="O24" s="72"/>
      <c r="P24" s="66"/>
      <c r="Q24" s="140">
        <f t="shared" si="5"/>
        <v>0</v>
      </c>
      <c r="R24" s="147">
        <f t="shared" ref="R24:R29" si="7">IF(A24="Y", Q24*2%,)</f>
        <v>0</v>
      </c>
      <c r="S24" s="152">
        <f t="shared" ref="S24:S29" si="8">Q24-R24</f>
        <v>0</v>
      </c>
      <c r="T24" s="210"/>
      <c r="U24" s="145">
        <f t="shared" si="3"/>
        <v>0</v>
      </c>
      <c r="V24" s="550"/>
      <c r="W24" s="67"/>
      <c r="X24" s="114"/>
      <c r="Y24" s="114"/>
      <c r="Z24" s="114"/>
      <c r="AA24" s="114"/>
      <c r="AB24" s="114"/>
    </row>
    <row r="25" spans="1:28" s="68" customFormat="1" ht="15.75" customHeight="1" x14ac:dyDescent="0.25">
      <c r="A25" s="63" t="s">
        <v>8</v>
      </c>
      <c r="B25" s="634">
        <f>'1-DUI (Reduce Base)'!$B$26</f>
        <v>1</v>
      </c>
      <c r="C25" s="812" t="s">
        <v>218</v>
      </c>
      <c r="D25" s="812"/>
      <c r="E25" s="815"/>
      <c r="F25" s="1144"/>
      <c r="G25" s="566" t="s">
        <v>32</v>
      </c>
      <c r="H25" s="71" t="s">
        <v>35</v>
      </c>
      <c r="I25" s="140">
        <f t="shared" si="6"/>
        <v>0</v>
      </c>
      <c r="J25" s="147">
        <f t="shared" si="0"/>
        <v>0</v>
      </c>
      <c r="K25" s="152">
        <f t="shared" si="1"/>
        <v>0</v>
      </c>
      <c r="L25" s="149"/>
      <c r="M25" s="804"/>
      <c r="N25" s="1078"/>
      <c r="O25" s="72"/>
      <c r="P25" s="66"/>
      <c r="Q25" s="140">
        <f t="shared" si="5"/>
        <v>0</v>
      </c>
      <c r="R25" s="147">
        <f t="shared" si="7"/>
        <v>0</v>
      </c>
      <c r="S25" s="152">
        <f t="shared" si="8"/>
        <v>0</v>
      </c>
      <c r="T25" s="210"/>
      <c r="U25" s="145">
        <f t="shared" si="3"/>
        <v>0</v>
      </c>
      <c r="V25" s="550"/>
      <c r="W25" s="67"/>
      <c r="X25" s="114"/>
      <c r="Y25" s="114"/>
      <c r="Z25" s="114"/>
      <c r="AA25" s="114"/>
      <c r="AB25" s="114"/>
    </row>
    <row r="26" spans="1:28" s="68" customFormat="1" ht="15.75" customHeight="1" x14ac:dyDescent="0.25">
      <c r="A26" s="63" t="s">
        <v>8</v>
      </c>
      <c r="B26" s="634">
        <f>'1-DUI (Reduce Base)'!$B$27</f>
        <v>1</v>
      </c>
      <c r="C26" s="812" t="s">
        <v>219</v>
      </c>
      <c r="D26" s="812"/>
      <c r="E26" s="815"/>
      <c r="F26" s="1144"/>
      <c r="G26" s="566" t="s">
        <v>32</v>
      </c>
      <c r="H26" s="71" t="s">
        <v>65</v>
      </c>
      <c r="I26" s="140">
        <f t="shared" si="6"/>
        <v>0</v>
      </c>
      <c r="J26" s="147">
        <f t="shared" si="0"/>
        <v>0</v>
      </c>
      <c r="K26" s="152">
        <f t="shared" si="1"/>
        <v>0</v>
      </c>
      <c r="L26" s="149"/>
      <c r="M26" s="804"/>
      <c r="N26" s="1078"/>
      <c r="O26" s="72"/>
      <c r="P26" s="66"/>
      <c r="Q26" s="140">
        <f t="shared" si="5"/>
        <v>0</v>
      </c>
      <c r="R26" s="147">
        <f t="shared" si="7"/>
        <v>0</v>
      </c>
      <c r="S26" s="152">
        <f t="shared" si="8"/>
        <v>0</v>
      </c>
      <c r="T26" s="210"/>
      <c r="U26" s="145">
        <f t="shared" si="3"/>
        <v>0</v>
      </c>
      <c r="V26" s="550"/>
      <c r="W26" s="67"/>
      <c r="X26" s="114"/>
      <c r="Y26" s="114"/>
      <c r="Z26" s="114"/>
      <c r="AA26" s="114"/>
      <c r="AB26" s="114"/>
    </row>
    <row r="27" spans="1:28" s="68" customFormat="1" ht="15.75" customHeight="1" x14ac:dyDescent="0.25">
      <c r="A27" s="63" t="s">
        <v>8</v>
      </c>
      <c r="B27" s="634">
        <f>'1-DUI (Reduce Base)'!$B$28</f>
        <v>0.5</v>
      </c>
      <c r="C27" s="812" t="s">
        <v>401</v>
      </c>
      <c r="D27" s="812"/>
      <c r="E27" s="815"/>
      <c r="F27" s="1144"/>
      <c r="G27" s="566" t="s">
        <v>32</v>
      </c>
      <c r="H27" s="71" t="s">
        <v>65</v>
      </c>
      <c r="I27" s="140">
        <f>$D$11*B27</f>
        <v>0</v>
      </c>
      <c r="J27" s="147">
        <f>IF(A27="Y", I27*2%,0)</f>
        <v>0</v>
      </c>
      <c r="K27" s="152">
        <f t="shared" si="1"/>
        <v>0</v>
      </c>
      <c r="L27" s="149"/>
      <c r="M27" s="804"/>
      <c r="N27" s="1078"/>
      <c r="O27" s="72"/>
      <c r="P27" s="66"/>
      <c r="Q27" s="140">
        <f t="shared" si="5"/>
        <v>0</v>
      </c>
      <c r="R27" s="147">
        <f t="shared" si="7"/>
        <v>0</v>
      </c>
      <c r="S27" s="152">
        <f t="shared" si="8"/>
        <v>0</v>
      </c>
      <c r="T27" s="210"/>
      <c r="U27" s="145">
        <f>IF($U$15="BASE-UP   (B-A)", O27-K27,O27-S27)</f>
        <v>0</v>
      </c>
      <c r="V27" s="550"/>
      <c r="W27" s="67"/>
      <c r="X27" s="114"/>
      <c r="Y27" s="114"/>
      <c r="Z27" s="114"/>
      <c r="AA27" s="114"/>
      <c r="AB27" s="114"/>
    </row>
    <row r="28" spans="1:28" s="68" customFormat="1" ht="15.75" customHeight="1" x14ac:dyDescent="0.25">
      <c r="A28" s="63" t="s">
        <v>8</v>
      </c>
      <c r="B28" s="634">
        <f>'1-DUI (Reduce Base)'!$B$29</f>
        <v>1</v>
      </c>
      <c r="C28" s="812" t="s">
        <v>254</v>
      </c>
      <c r="D28" s="812"/>
      <c r="E28" s="817"/>
      <c r="F28" s="1145"/>
      <c r="G28" s="566" t="s">
        <v>32</v>
      </c>
      <c r="H28" s="71"/>
      <c r="I28" s="140">
        <f t="shared" si="6"/>
        <v>0</v>
      </c>
      <c r="J28" s="147">
        <f t="shared" si="0"/>
        <v>0</v>
      </c>
      <c r="K28" s="152">
        <f t="shared" si="1"/>
        <v>0</v>
      </c>
      <c r="L28" s="149"/>
      <c r="M28" s="804"/>
      <c r="N28" s="1078"/>
      <c r="O28" s="72"/>
      <c r="P28" s="66"/>
      <c r="Q28" s="140">
        <f t="shared" si="5"/>
        <v>0</v>
      </c>
      <c r="R28" s="147">
        <f t="shared" si="7"/>
        <v>0</v>
      </c>
      <c r="S28" s="152">
        <f t="shared" si="8"/>
        <v>0</v>
      </c>
      <c r="T28" s="210"/>
      <c r="U28" s="145">
        <f t="shared" si="3"/>
        <v>0</v>
      </c>
      <c r="V28" s="550"/>
      <c r="W28" s="67"/>
      <c r="X28" s="114"/>
      <c r="Y28" s="114"/>
      <c r="Z28" s="114"/>
      <c r="AA28" s="114"/>
      <c r="AB28" s="114"/>
    </row>
    <row r="29" spans="1:28" s="68" customFormat="1" ht="15.75" customHeight="1" x14ac:dyDescent="0.25">
      <c r="A29" s="63" t="s">
        <v>8</v>
      </c>
      <c r="B29" s="634">
        <f>'1-DUI (Reduce Base)'!$B$30</f>
        <v>2</v>
      </c>
      <c r="C29" s="804" t="s">
        <v>286</v>
      </c>
      <c r="D29" s="805"/>
      <c r="E29" s="805"/>
      <c r="F29" s="945"/>
      <c r="G29" s="566" t="s">
        <v>32</v>
      </c>
      <c r="H29" s="71" t="s">
        <v>36</v>
      </c>
      <c r="I29" s="140">
        <f t="shared" si="6"/>
        <v>0</v>
      </c>
      <c r="J29" s="147">
        <f t="shared" si="0"/>
        <v>0</v>
      </c>
      <c r="K29" s="152">
        <f t="shared" si="1"/>
        <v>0</v>
      </c>
      <c r="L29" s="149"/>
      <c r="M29" s="804"/>
      <c r="N29" s="1078"/>
      <c r="O29" s="72"/>
      <c r="P29" s="66"/>
      <c r="Q29" s="140">
        <f t="shared" si="5"/>
        <v>0</v>
      </c>
      <c r="R29" s="147">
        <f t="shared" si="7"/>
        <v>0</v>
      </c>
      <c r="S29" s="152">
        <f t="shared" si="8"/>
        <v>0</v>
      </c>
      <c r="T29" s="210"/>
      <c r="U29" s="145">
        <f t="shared" si="3"/>
        <v>0</v>
      </c>
      <c r="V29" s="550"/>
      <c r="W29" s="67"/>
      <c r="X29" s="114"/>
      <c r="Y29" s="114"/>
      <c r="Z29" s="114"/>
      <c r="AA29" s="114"/>
      <c r="AB29" s="114"/>
    </row>
    <row r="30" spans="1:28" s="68" customFormat="1" ht="15.75" customHeight="1" x14ac:dyDescent="0.25">
      <c r="A30" s="63" t="s">
        <v>8</v>
      </c>
      <c r="B30" s="69"/>
      <c r="C30" s="804" t="s">
        <v>385</v>
      </c>
      <c r="D30" s="805"/>
      <c r="E30" s="805"/>
      <c r="F30" s="945"/>
      <c r="G30" s="566" t="s">
        <v>31</v>
      </c>
      <c r="H30" s="81" t="s">
        <v>39</v>
      </c>
      <c r="I30" s="186">
        <v>4</v>
      </c>
      <c r="J30" s="147">
        <f>IF(A30="Y", I30*2%,0)</f>
        <v>0.08</v>
      </c>
      <c r="K30" s="152">
        <f t="shared" si="1"/>
        <v>3.92</v>
      </c>
      <c r="L30" s="149"/>
      <c r="M30" s="804"/>
      <c r="N30" s="1078"/>
      <c r="O30" s="72"/>
      <c r="P30" s="66"/>
      <c r="Q30" s="140">
        <f>IF($Q$45=0,,I30)</f>
        <v>0</v>
      </c>
      <c r="R30" s="147">
        <f t="shared" si="2"/>
        <v>0</v>
      </c>
      <c r="S30" s="152">
        <f>Q30-R30</f>
        <v>0</v>
      </c>
      <c r="T30" s="210"/>
      <c r="U30" s="145">
        <f>IF($U$15="BASE-UP   (B-A)", O30-K30,O30-S30)</f>
        <v>-3.92</v>
      </c>
      <c r="V30" s="551"/>
      <c r="W30" s="67"/>
      <c r="X30" s="114"/>
      <c r="Y30" s="114"/>
      <c r="Z30" s="114"/>
      <c r="AA30" s="114"/>
      <c r="AB30" s="114"/>
    </row>
    <row r="31" spans="1:28" s="68" customFormat="1" ht="15.75" customHeight="1" x14ac:dyDescent="0.25">
      <c r="A31" s="63" t="s">
        <v>8</v>
      </c>
      <c r="B31" s="634">
        <f>'1-DUI (Reduce Base)'!$B$32</f>
        <v>2</v>
      </c>
      <c r="C31" s="804" t="s">
        <v>555</v>
      </c>
      <c r="D31" s="805"/>
      <c r="E31" s="945"/>
      <c r="F31" s="1008" t="s">
        <v>281</v>
      </c>
      <c r="G31" s="566" t="s">
        <v>31</v>
      </c>
      <c r="H31" s="71" t="s">
        <v>37</v>
      </c>
      <c r="I31" s="140">
        <f t="shared" si="6"/>
        <v>0</v>
      </c>
      <c r="J31" s="147">
        <f t="shared" si="0"/>
        <v>0</v>
      </c>
      <c r="K31" s="152">
        <f t="shared" si="1"/>
        <v>0</v>
      </c>
      <c r="L31" s="149"/>
      <c r="M31" s="804"/>
      <c r="N31" s="1078"/>
      <c r="O31" s="72"/>
      <c r="P31" s="66"/>
      <c r="Q31" s="140">
        <f>IF($Q$45=0,,$Q$15*I31)</f>
        <v>0</v>
      </c>
      <c r="R31" s="147">
        <f t="shared" si="2"/>
        <v>0</v>
      </c>
      <c r="S31" s="152">
        <f t="shared" si="4"/>
        <v>0</v>
      </c>
      <c r="T31" s="210"/>
      <c r="U31" s="145">
        <f t="shared" si="3"/>
        <v>0</v>
      </c>
      <c r="V31" s="620"/>
      <c r="W31" s="67"/>
      <c r="X31" s="114"/>
      <c r="Y31" s="114"/>
      <c r="Z31" s="114"/>
      <c r="AA31" s="114"/>
      <c r="AB31" s="114"/>
    </row>
    <row r="32" spans="1:28" s="68" customFormat="1" ht="15.75" customHeight="1" x14ac:dyDescent="0.25">
      <c r="A32" s="63" t="s">
        <v>8</v>
      </c>
      <c r="B32" s="164">
        <f>5-B31</f>
        <v>3</v>
      </c>
      <c r="C32" s="804" t="s">
        <v>556</v>
      </c>
      <c r="D32" s="805"/>
      <c r="E32" s="945"/>
      <c r="F32" s="1009"/>
      <c r="G32" s="566" t="s">
        <v>31</v>
      </c>
      <c r="H32" s="71" t="s">
        <v>197</v>
      </c>
      <c r="I32" s="140">
        <f t="shared" si="6"/>
        <v>0</v>
      </c>
      <c r="J32" s="147">
        <f t="shared" si="0"/>
        <v>0</v>
      </c>
      <c r="K32" s="152">
        <f t="shared" si="1"/>
        <v>0</v>
      </c>
      <c r="L32" s="149"/>
      <c r="M32" s="804"/>
      <c r="N32" s="1078"/>
      <c r="O32" s="72"/>
      <c r="P32" s="66"/>
      <c r="Q32" s="140">
        <f>IF($Q$45=0,,$Q$15*I32)</f>
        <v>0</v>
      </c>
      <c r="R32" s="147">
        <f t="shared" si="2"/>
        <v>0</v>
      </c>
      <c r="S32" s="152">
        <f t="shared" si="4"/>
        <v>0</v>
      </c>
      <c r="T32" s="210"/>
      <c r="U32" s="145">
        <f t="shared" si="3"/>
        <v>0</v>
      </c>
      <c r="V32" s="550"/>
      <c r="W32" s="67"/>
      <c r="X32" s="114"/>
      <c r="Y32" s="114"/>
      <c r="Z32" s="114"/>
      <c r="AA32" s="114"/>
      <c r="AB32" s="114"/>
    </row>
    <row r="33" spans="1:28" s="68" customFormat="1" ht="15.75" customHeight="1" x14ac:dyDescent="0.25">
      <c r="A33" s="63" t="s">
        <v>7</v>
      </c>
      <c r="B33" s="69"/>
      <c r="C33" s="804" t="s">
        <v>220</v>
      </c>
      <c r="D33" s="805"/>
      <c r="E33" s="805"/>
      <c r="F33" s="945"/>
      <c r="G33" s="566" t="s">
        <v>31</v>
      </c>
      <c r="H33" s="71" t="s">
        <v>10</v>
      </c>
      <c r="I33" s="140">
        <f>$D$10*20%</f>
        <v>0</v>
      </c>
      <c r="J33" s="147">
        <f t="shared" si="0"/>
        <v>0</v>
      </c>
      <c r="K33" s="152">
        <f t="shared" si="1"/>
        <v>0</v>
      </c>
      <c r="L33" s="149"/>
      <c r="M33" s="804"/>
      <c r="N33" s="1078"/>
      <c r="O33" s="72"/>
      <c r="P33" s="66"/>
      <c r="Q33" s="140">
        <f>IF($Q$45=0,,$Q$15*I33)</f>
        <v>0</v>
      </c>
      <c r="R33" s="147">
        <f t="shared" si="2"/>
        <v>0</v>
      </c>
      <c r="S33" s="152">
        <f t="shared" si="4"/>
        <v>0</v>
      </c>
      <c r="T33" s="210"/>
      <c r="U33" s="145">
        <f t="shared" si="3"/>
        <v>0</v>
      </c>
      <c r="V33" s="550"/>
      <c r="W33" s="67"/>
      <c r="X33" s="114"/>
      <c r="Y33" s="114"/>
      <c r="Z33" s="114"/>
      <c r="AA33" s="114"/>
      <c r="AB33" s="114"/>
    </row>
    <row r="34" spans="1:28" s="80" customFormat="1" ht="15.75" customHeight="1" x14ac:dyDescent="0.25">
      <c r="A34" s="63"/>
      <c r="B34" s="76"/>
      <c r="C34" s="810" t="s">
        <v>221</v>
      </c>
      <c r="D34" s="811"/>
      <c r="E34" s="811"/>
      <c r="F34" s="946"/>
      <c r="G34" s="573"/>
      <c r="H34" s="78"/>
      <c r="I34" s="142">
        <f>SUM(I16:I33)</f>
        <v>4</v>
      </c>
      <c r="J34" s="147"/>
      <c r="K34" s="153">
        <f>SUM(K16:K33)</f>
        <v>3.92</v>
      </c>
      <c r="L34" s="150"/>
      <c r="M34" s="804"/>
      <c r="N34" s="1078"/>
      <c r="O34" s="166">
        <f>SUM(O16:O33)</f>
        <v>0</v>
      </c>
      <c r="P34" s="111"/>
      <c r="Q34" s="142">
        <f>IF($Q$45=0,,Q45-SUM(Q35:Q42))</f>
        <v>0</v>
      </c>
      <c r="R34" s="147"/>
      <c r="S34" s="153">
        <f>SUM(S16:S33)</f>
        <v>0</v>
      </c>
      <c r="T34" s="211"/>
      <c r="U34" s="145">
        <f>SUM(U16:U33)</f>
        <v>-3.92</v>
      </c>
      <c r="V34" s="550"/>
      <c r="W34" s="79"/>
      <c r="X34" s="129"/>
      <c r="Y34" s="129"/>
      <c r="Z34" s="129"/>
      <c r="AA34" s="129"/>
      <c r="AB34" s="129"/>
    </row>
    <row r="35" spans="1:28" s="68" customFormat="1" ht="15.75" customHeight="1" x14ac:dyDescent="0.25">
      <c r="A35" s="63" t="s">
        <v>7</v>
      </c>
      <c r="B35" s="69"/>
      <c r="C35" s="804" t="s">
        <v>419</v>
      </c>
      <c r="D35" s="805"/>
      <c r="E35" s="805"/>
      <c r="F35" s="945"/>
      <c r="G35" s="566" t="s">
        <v>31</v>
      </c>
      <c r="H35" s="81"/>
      <c r="I35" s="186">
        <v>40</v>
      </c>
      <c r="J35" s="147">
        <f>IF(A35="Y", I35*2%,0)</f>
        <v>0</v>
      </c>
      <c r="K35" s="152">
        <f t="shared" ref="K35:K42" si="9">I35-J35</f>
        <v>40</v>
      </c>
      <c r="L35" s="149"/>
      <c r="M35" s="804"/>
      <c r="N35" s="1078"/>
      <c r="O35" s="72"/>
      <c r="P35" s="66"/>
      <c r="Q35" s="140">
        <f t="shared" ref="Q35:Q42" si="10">IF($Q$45=0,,I35)</f>
        <v>0</v>
      </c>
      <c r="R35" s="147">
        <f t="shared" ref="R35:R42" si="11">IF(A35="Y", Q35*2%,)</f>
        <v>0</v>
      </c>
      <c r="S35" s="152">
        <f>Q35-R35</f>
        <v>0</v>
      </c>
      <c r="T35" s="210"/>
      <c r="U35" s="145">
        <f t="shared" si="3"/>
        <v>-40</v>
      </c>
      <c r="V35" s="550"/>
      <c r="W35" s="67"/>
      <c r="X35" s="114"/>
      <c r="Y35" s="114"/>
      <c r="Z35" s="114"/>
      <c r="AA35" s="114"/>
      <c r="AB35" s="114"/>
    </row>
    <row r="36" spans="1:28" s="68" customFormat="1" ht="15.75" customHeight="1" x14ac:dyDescent="0.25">
      <c r="A36" s="63" t="s">
        <v>7</v>
      </c>
      <c r="B36" s="69"/>
      <c r="C36" s="806" t="s">
        <v>259</v>
      </c>
      <c r="D36" s="807"/>
      <c r="E36" s="807"/>
      <c r="F36" s="944"/>
      <c r="G36" s="574" t="s">
        <v>31</v>
      </c>
      <c r="H36" s="82" t="s">
        <v>197</v>
      </c>
      <c r="I36" s="186">
        <v>30</v>
      </c>
      <c r="J36" s="147">
        <f t="shared" ref="J36:J42" si="12">IF(A36="Y", I36*2%,0)</f>
        <v>0</v>
      </c>
      <c r="K36" s="152">
        <f t="shared" si="9"/>
        <v>30</v>
      </c>
      <c r="L36" s="149"/>
      <c r="M36" s="804"/>
      <c r="N36" s="1078"/>
      <c r="O36" s="72"/>
      <c r="P36" s="66"/>
      <c r="Q36" s="140">
        <f t="shared" si="10"/>
        <v>0</v>
      </c>
      <c r="R36" s="147">
        <f t="shared" si="11"/>
        <v>0</v>
      </c>
      <c r="S36" s="152">
        <f t="shared" si="4"/>
        <v>0</v>
      </c>
      <c r="T36" s="210"/>
      <c r="U36" s="145">
        <f t="shared" si="3"/>
        <v>-30</v>
      </c>
      <c r="V36" s="550"/>
      <c r="W36" s="67"/>
      <c r="X36" s="114"/>
      <c r="Y36" s="114"/>
      <c r="Z36" s="114"/>
      <c r="AA36" s="114"/>
      <c r="AB36" s="114"/>
    </row>
    <row r="37" spans="1:28" s="68" customFormat="1" ht="15.75" customHeight="1" x14ac:dyDescent="0.25">
      <c r="A37" s="63" t="s">
        <v>7</v>
      </c>
      <c r="B37" s="83"/>
      <c r="C37" s="806" t="s">
        <v>421</v>
      </c>
      <c r="D37" s="807"/>
      <c r="E37" s="807"/>
      <c r="F37" s="944"/>
      <c r="G37" s="574" t="s">
        <v>230</v>
      </c>
      <c r="H37" s="82" t="s">
        <v>24</v>
      </c>
      <c r="I37" s="186"/>
      <c r="J37" s="147">
        <f t="shared" si="12"/>
        <v>0</v>
      </c>
      <c r="K37" s="152">
        <f t="shared" si="9"/>
        <v>0</v>
      </c>
      <c r="L37" s="149"/>
      <c r="M37" s="804"/>
      <c r="N37" s="1078"/>
      <c r="O37" s="72"/>
      <c r="P37" s="66"/>
      <c r="Q37" s="140">
        <f t="shared" si="10"/>
        <v>0</v>
      </c>
      <c r="R37" s="147">
        <f t="shared" si="11"/>
        <v>0</v>
      </c>
      <c r="S37" s="152">
        <f t="shared" si="4"/>
        <v>0</v>
      </c>
      <c r="T37" s="210"/>
      <c r="U37" s="145">
        <f t="shared" si="3"/>
        <v>0</v>
      </c>
      <c r="V37" s="550"/>
      <c r="W37" s="71"/>
      <c r="X37" s="114"/>
      <c r="Y37" s="114"/>
      <c r="Z37" s="114"/>
      <c r="AA37" s="114"/>
      <c r="AB37" s="114"/>
    </row>
    <row r="38" spans="1:28" s="68" customFormat="1" ht="15.75" customHeight="1" x14ac:dyDescent="0.25">
      <c r="A38" s="63" t="s">
        <v>7</v>
      </c>
      <c r="B38" s="83"/>
      <c r="C38" s="806" t="s">
        <v>447</v>
      </c>
      <c r="D38" s="807"/>
      <c r="E38" s="807"/>
      <c r="F38" s="944"/>
      <c r="G38" s="574" t="s">
        <v>32</v>
      </c>
      <c r="H38" s="82"/>
      <c r="I38" s="186"/>
      <c r="J38" s="147">
        <f t="shared" si="12"/>
        <v>0</v>
      </c>
      <c r="K38" s="152">
        <f t="shared" si="9"/>
        <v>0</v>
      </c>
      <c r="L38" s="149"/>
      <c r="M38" s="449"/>
      <c r="N38" s="450"/>
      <c r="O38" s="72"/>
      <c r="P38" s="66"/>
      <c r="Q38" s="140">
        <f t="shared" si="10"/>
        <v>0</v>
      </c>
      <c r="R38" s="147">
        <f t="shared" si="11"/>
        <v>0</v>
      </c>
      <c r="S38" s="152">
        <f>Q38-R38</f>
        <v>0</v>
      </c>
      <c r="T38" s="210"/>
      <c r="U38" s="145">
        <f t="shared" si="3"/>
        <v>0</v>
      </c>
      <c r="V38" s="551"/>
      <c r="W38" s="529"/>
      <c r="X38" s="114"/>
      <c r="Y38" s="114"/>
      <c r="Z38" s="114"/>
      <c r="AA38" s="114"/>
      <c r="AB38" s="114"/>
    </row>
    <row r="39" spans="1:28" s="68" customFormat="1" ht="15.75" customHeight="1" x14ac:dyDescent="0.25">
      <c r="A39" s="63" t="s">
        <v>8</v>
      </c>
      <c r="B39" s="83"/>
      <c r="C39" s="806" t="s">
        <v>559</v>
      </c>
      <c r="D39" s="807"/>
      <c r="E39" s="807"/>
      <c r="F39" s="944"/>
      <c r="G39" s="574" t="s">
        <v>31</v>
      </c>
      <c r="H39" s="82" t="s">
        <v>13</v>
      </c>
      <c r="I39" s="186">
        <v>120</v>
      </c>
      <c r="J39" s="147">
        <f t="shared" si="12"/>
        <v>2.4</v>
      </c>
      <c r="K39" s="152">
        <f t="shared" si="9"/>
        <v>117.6</v>
      </c>
      <c r="L39" s="149"/>
      <c r="M39" s="804"/>
      <c r="N39" s="1078"/>
      <c r="O39" s="72"/>
      <c r="P39" s="66"/>
      <c r="Q39" s="140">
        <f t="shared" si="10"/>
        <v>0</v>
      </c>
      <c r="R39" s="147">
        <f t="shared" si="11"/>
        <v>0</v>
      </c>
      <c r="S39" s="152">
        <f t="shared" si="4"/>
        <v>0</v>
      </c>
      <c r="T39" s="210"/>
      <c r="U39" s="145">
        <f t="shared" si="3"/>
        <v>-117.6</v>
      </c>
      <c r="V39" s="620"/>
      <c r="W39" s="501"/>
      <c r="X39" s="114"/>
      <c r="Y39" s="114"/>
      <c r="Z39" s="114"/>
      <c r="AA39" s="114"/>
      <c r="AB39" s="114"/>
    </row>
    <row r="40" spans="1:28" s="68" customFormat="1" ht="15.75" customHeight="1" x14ac:dyDescent="0.25">
      <c r="A40" s="63" t="s">
        <v>7</v>
      </c>
      <c r="B40" s="83"/>
      <c r="C40" s="806" t="s">
        <v>454</v>
      </c>
      <c r="D40" s="807"/>
      <c r="E40" s="807"/>
      <c r="F40" s="944"/>
      <c r="G40" s="574" t="s">
        <v>32</v>
      </c>
      <c r="H40" s="82" t="s">
        <v>27</v>
      </c>
      <c r="I40" s="186"/>
      <c r="J40" s="147">
        <f t="shared" si="12"/>
        <v>0</v>
      </c>
      <c r="K40" s="152">
        <f t="shared" si="9"/>
        <v>0</v>
      </c>
      <c r="L40" s="149"/>
      <c r="M40" s="804"/>
      <c r="N40" s="1078"/>
      <c r="O40" s="72"/>
      <c r="P40" s="66"/>
      <c r="Q40" s="140">
        <f t="shared" si="10"/>
        <v>0</v>
      </c>
      <c r="R40" s="147">
        <f t="shared" si="11"/>
        <v>0</v>
      </c>
      <c r="S40" s="152">
        <f t="shared" si="4"/>
        <v>0</v>
      </c>
      <c r="T40" s="210"/>
      <c r="U40" s="145">
        <f t="shared" si="3"/>
        <v>0</v>
      </c>
      <c r="V40" s="550"/>
      <c r="W40" s="71"/>
      <c r="X40" s="114"/>
      <c r="Y40" s="114"/>
      <c r="Z40" s="114"/>
      <c r="AA40" s="114"/>
      <c r="AB40" s="114"/>
    </row>
    <row r="41" spans="1:28" s="68" customFormat="1" ht="45" customHeight="1" x14ac:dyDescent="0.25">
      <c r="A41" s="63" t="s">
        <v>7</v>
      </c>
      <c r="B41" s="83"/>
      <c r="C41" s="804" t="s">
        <v>517</v>
      </c>
      <c r="D41" s="805"/>
      <c r="E41" s="805"/>
      <c r="F41" s="945"/>
      <c r="G41" s="574" t="s">
        <v>230</v>
      </c>
      <c r="H41" s="82" t="s">
        <v>82</v>
      </c>
      <c r="I41" s="186"/>
      <c r="J41" s="147">
        <f t="shared" si="12"/>
        <v>0</v>
      </c>
      <c r="K41" s="152">
        <f t="shared" si="9"/>
        <v>0</v>
      </c>
      <c r="L41" s="149"/>
      <c r="M41" s="804"/>
      <c r="N41" s="1078"/>
      <c r="O41" s="72"/>
      <c r="P41" s="66"/>
      <c r="Q41" s="140">
        <f t="shared" si="10"/>
        <v>0</v>
      </c>
      <c r="R41" s="147">
        <f t="shared" si="11"/>
        <v>0</v>
      </c>
      <c r="S41" s="152">
        <f t="shared" si="4"/>
        <v>0</v>
      </c>
      <c r="T41" s="210"/>
      <c r="U41" s="145">
        <f t="shared" si="3"/>
        <v>0</v>
      </c>
      <c r="V41" s="550"/>
      <c r="W41" s="71"/>
      <c r="X41" s="114"/>
      <c r="Y41" s="114"/>
      <c r="Z41" s="114"/>
      <c r="AA41" s="114"/>
      <c r="AB41" s="114"/>
    </row>
    <row r="42" spans="1:28" s="68" customFormat="1" ht="15.75" customHeight="1" x14ac:dyDescent="0.25">
      <c r="A42" s="63" t="s">
        <v>7</v>
      </c>
      <c r="B42" s="83"/>
      <c r="C42" s="806" t="s">
        <v>225</v>
      </c>
      <c r="D42" s="807"/>
      <c r="E42" s="807"/>
      <c r="F42" s="944"/>
      <c r="G42" s="574" t="s">
        <v>31</v>
      </c>
      <c r="H42" s="82" t="s">
        <v>80</v>
      </c>
      <c r="I42" s="187"/>
      <c r="J42" s="147">
        <f t="shared" si="12"/>
        <v>0</v>
      </c>
      <c r="K42" s="152">
        <f t="shared" si="9"/>
        <v>0</v>
      </c>
      <c r="L42" s="149"/>
      <c r="M42" s="804"/>
      <c r="N42" s="1078"/>
      <c r="O42" s="72"/>
      <c r="P42" s="66"/>
      <c r="Q42" s="140">
        <f t="shared" si="10"/>
        <v>0</v>
      </c>
      <c r="R42" s="147">
        <f t="shared" si="11"/>
        <v>0</v>
      </c>
      <c r="S42" s="152">
        <f t="shared" si="4"/>
        <v>0</v>
      </c>
      <c r="T42" s="210"/>
      <c r="U42" s="145">
        <f t="shared" si="3"/>
        <v>0</v>
      </c>
      <c r="V42" s="550"/>
      <c r="W42" s="71"/>
      <c r="X42" s="114"/>
      <c r="Y42" s="114"/>
      <c r="Z42" s="114"/>
      <c r="AA42" s="114"/>
      <c r="AB42" s="114"/>
    </row>
    <row r="43" spans="1:28" s="68" customFormat="1" ht="31.5" customHeight="1" x14ac:dyDescent="0.25">
      <c r="A43" s="83" t="s">
        <v>7</v>
      </c>
      <c r="B43" s="83"/>
      <c r="C43" s="804" t="s">
        <v>487</v>
      </c>
      <c r="D43" s="805"/>
      <c r="E43" s="805"/>
      <c r="F43" s="945"/>
      <c r="G43" s="574" t="s">
        <v>31</v>
      </c>
      <c r="H43" s="85" t="s">
        <v>41</v>
      </c>
      <c r="I43" s="86"/>
      <c r="J43" s="148"/>
      <c r="K43" s="154">
        <f>J44</f>
        <v>2.48</v>
      </c>
      <c r="L43" s="149"/>
      <c r="M43" s="804"/>
      <c r="N43" s="1078"/>
      <c r="O43" s="72"/>
      <c r="P43" s="66"/>
      <c r="Q43" s="93"/>
      <c r="R43" s="148"/>
      <c r="S43" s="154">
        <f>R44</f>
        <v>0</v>
      </c>
      <c r="T43" s="212"/>
      <c r="U43" s="145">
        <f t="shared" si="3"/>
        <v>-2.48</v>
      </c>
      <c r="V43" s="550"/>
      <c r="W43" s="469"/>
      <c r="X43" s="114"/>
      <c r="Y43" s="114"/>
      <c r="Z43" s="114"/>
      <c r="AA43" s="114"/>
      <c r="AB43" s="114"/>
    </row>
    <row r="44" spans="1:28" s="114" customFormat="1" ht="14.5" x14ac:dyDescent="0.25">
      <c r="A44" s="112"/>
      <c r="B44" s="112"/>
      <c r="C44" s="112"/>
      <c r="D44" s="112"/>
      <c r="E44" s="113"/>
      <c r="F44" s="113"/>
      <c r="J44" s="115">
        <f>SUM(J16:J43)</f>
        <v>2.48</v>
      </c>
      <c r="K44" s="155"/>
      <c r="O44" s="116"/>
      <c r="P44" s="117"/>
      <c r="R44" s="115">
        <f>SUM(R16:R43)</f>
        <v>0</v>
      </c>
      <c r="S44" s="155"/>
      <c r="T44" s="213"/>
      <c r="U44" s="165"/>
      <c r="V44" s="165"/>
      <c r="W44" s="118"/>
    </row>
    <row r="45" spans="1:28" s="95" customFormat="1" ht="16" thickBot="1" x14ac:dyDescent="0.3">
      <c r="A45" s="130"/>
      <c r="B45" s="130"/>
      <c r="C45" s="130"/>
      <c r="D45" s="130"/>
      <c r="E45" s="119"/>
      <c r="F45" s="131" t="s">
        <v>81</v>
      </c>
      <c r="G45" s="132"/>
      <c r="H45" s="133" t="s">
        <v>1</v>
      </c>
      <c r="I45" s="134">
        <f>SUM(I34:I44)</f>
        <v>194</v>
      </c>
      <c r="J45" s="135"/>
      <c r="K45" s="156">
        <f>SUM(K34:K44)</f>
        <v>193.99999999999997</v>
      </c>
      <c r="L45" s="136"/>
      <c r="M45" s="130" t="s">
        <v>1</v>
      </c>
      <c r="N45" s="130"/>
      <c r="O45" s="137">
        <f>SUM(O34:O44)</f>
        <v>0</v>
      </c>
      <c r="P45" s="136"/>
      <c r="Q45" s="188"/>
      <c r="R45" s="135"/>
      <c r="S45" s="156">
        <f>SUM(S34:S44)</f>
        <v>0</v>
      </c>
      <c r="T45" s="214"/>
      <c r="U45" s="175">
        <f>SUM(U34:U44)</f>
        <v>-193.99999999999997</v>
      </c>
      <c r="V45" s="530"/>
      <c r="W45" s="138"/>
    </row>
    <row r="46" spans="1:28" s="50" customFormat="1" ht="15.75" customHeight="1" thickTop="1" x14ac:dyDescent="0.25">
      <c r="A46" s="1140" t="s">
        <v>429</v>
      </c>
      <c r="B46" s="1140"/>
      <c r="C46" s="1140"/>
      <c r="D46" s="192"/>
      <c r="E46" s="121"/>
      <c r="F46" s="121"/>
      <c r="K46" s="123"/>
      <c r="L46" s="122"/>
      <c r="U46" s="124"/>
      <c r="V46" s="124"/>
      <c r="W46" s="125"/>
    </row>
    <row r="47" spans="1:28" s="127" customFormat="1" ht="18" customHeight="1" x14ac:dyDescent="0.25">
      <c r="A47" s="624">
        <v>1</v>
      </c>
      <c r="B47" s="1171"/>
      <c r="C47" s="1171"/>
      <c r="D47" s="1171"/>
      <c r="E47" s="1171"/>
      <c r="F47" s="1171"/>
      <c r="G47" s="1171"/>
      <c r="H47" s="1171"/>
      <c r="I47" s="1171"/>
      <c r="J47" s="1171"/>
      <c r="K47" s="1171"/>
      <c r="L47" s="1171"/>
      <c r="M47" s="1171"/>
      <c r="N47" s="1171"/>
      <c r="O47" s="1171"/>
      <c r="P47" s="1171"/>
      <c r="Q47" s="1171"/>
      <c r="R47" s="1171"/>
      <c r="S47" s="1171"/>
      <c r="T47" s="1171"/>
      <c r="U47" s="1171"/>
      <c r="V47" s="1171"/>
      <c r="W47" s="1171"/>
    </row>
    <row r="48" spans="1:28" s="127" customFormat="1" ht="18" customHeight="1" x14ac:dyDescent="0.25">
      <c r="A48" s="624">
        <v>2</v>
      </c>
      <c r="B48" s="1171"/>
      <c r="C48" s="1171"/>
      <c r="D48" s="1171"/>
      <c r="E48" s="1171"/>
      <c r="F48" s="1171"/>
      <c r="G48" s="1171"/>
      <c r="H48" s="1171"/>
      <c r="I48" s="1171"/>
      <c r="J48" s="1171"/>
      <c r="K48" s="1171"/>
      <c r="L48" s="1171"/>
      <c r="M48" s="1171"/>
      <c r="N48" s="1171"/>
      <c r="O48" s="1171"/>
      <c r="P48" s="1171"/>
      <c r="Q48" s="1171"/>
      <c r="R48" s="1171"/>
      <c r="S48" s="1171"/>
      <c r="T48" s="1171"/>
      <c r="U48" s="1171"/>
      <c r="V48" s="1171"/>
      <c r="W48" s="1171"/>
    </row>
    <row r="49" spans="1:23" s="127" customFormat="1" ht="18" customHeight="1" x14ac:dyDescent="0.25">
      <c r="A49" s="624">
        <v>3</v>
      </c>
      <c r="B49" s="1171"/>
      <c r="C49" s="1171"/>
      <c r="D49" s="1171"/>
      <c r="E49" s="1171"/>
      <c r="F49" s="1171"/>
      <c r="G49" s="1171"/>
      <c r="H49" s="1171"/>
      <c r="I49" s="1171"/>
      <c r="J49" s="1171"/>
      <c r="K49" s="1171"/>
      <c r="L49" s="1171"/>
      <c r="M49" s="1171"/>
      <c r="N49" s="1171"/>
      <c r="O49" s="1171"/>
      <c r="P49" s="1171"/>
      <c r="Q49" s="1171"/>
      <c r="R49" s="1171"/>
      <c r="S49" s="1171"/>
      <c r="T49" s="1171"/>
      <c r="U49" s="1171"/>
      <c r="V49" s="1171"/>
      <c r="W49" s="1171"/>
    </row>
    <row r="50" spans="1:23" s="50" customFormat="1" ht="18" customHeight="1" x14ac:dyDescent="0.25">
      <c r="A50" s="624">
        <v>4</v>
      </c>
      <c r="B50" s="1171"/>
      <c r="C50" s="1171"/>
      <c r="D50" s="1171"/>
      <c r="E50" s="1171"/>
      <c r="F50" s="1171"/>
      <c r="G50" s="1171"/>
      <c r="H50" s="1171"/>
      <c r="I50" s="1171"/>
      <c r="J50" s="1171"/>
      <c r="K50" s="1171"/>
      <c r="L50" s="1171"/>
      <c r="M50" s="1171"/>
      <c r="N50" s="1171"/>
      <c r="O50" s="1171"/>
      <c r="P50" s="1171"/>
      <c r="Q50" s="1171"/>
      <c r="R50" s="1171"/>
      <c r="S50" s="1171"/>
      <c r="T50" s="1171"/>
      <c r="U50" s="1171"/>
      <c r="V50" s="1171"/>
      <c r="W50" s="1171"/>
    </row>
  </sheetData>
  <sheetProtection insertRows="0"/>
  <mergeCells count="123">
    <mergeCell ref="B50:W50"/>
    <mergeCell ref="Q4:W4"/>
    <mergeCell ref="A6:C6"/>
    <mergeCell ref="D6:E6"/>
    <mergeCell ref="F6:G6"/>
    <mergeCell ref="I6:L6"/>
    <mergeCell ref="M6:N6"/>
    <mergeCell ref="Q6:W6"/>
    <mergeCell ref="C35:F35"/>
    <mergeCell ref="I5:L5"/>
    <mergeCell ref="F4:G4"/>
    <mergeCell ref="I4:L4"/>
    <mergeCell ref="M4:N4"/>
    <mergeCell ref="A7:C7"/>
    <mergeCell ref="D7:E7"/>
    <mergeCell ref="F7:G7"/>
    <mergeCell ref="I7:L7"/>
    <mergeCell ref="A5:C5"/>
    <mergeCell ref="A8:C8"/>
    <mergeCell ref="D8:E8"/>
    <mergeCell ref="F8:G8"/>
    <mergeCell ref="I8:L8"/>
    <mergeCell ref="M8:N8"/>
    <mergeCell ref="A10:C10"/>
    <mergeCell ref="A1:K1"/>
    <mergeCell ref="Q3:W3"/>
    <mergeCell ref="A4:C4"/>
    <mergeCell ref="D4:E4"/>
    <mergeCell ref="D5:E5"/>
    <mergeCell ref="F5:G5"/>
    <mergeCell ref="Q7:W7"/>
    <mergeCell ref="M5:N5"/>
    <mergeCell ref="Q5:W5"/>
    <mergeCell ref="L1:U1"/>
    <mergeCell ref="A3:O3"/>
    <mergeCell ref="D10:E10"/>
    <mergeCell ref="F10:G10"/>
    <mergeCell ref="I10:L10"/>
    <mergeCell ref="M10:N10"/>
    <mergeCell ref="Q10:W10"/>
    <mergeCell ref="Q8:W9"/>
    <mergeCell ref="A9:C9"/>
    <mergeCell ref="D9:E9"/>
    <mergeCell ref="F9:G9"/>
    <mergeCell ref="I9:L9"/>
    <mergeCell ref="M9:N9"/>
    <mergeCell ref="C14:F15"/>
    <mergeCell ref="J14:J15"/>
    <mergeCell ref="M14:N14"/>
    <mergeCell ref="R14:R15"/>
    <mergeCell ref="M15:N15"/>
    <mergeCell ref="A11:C11"/>
    <mergeCell ref="D11:E11"/>
    <mergeCell ref="F11:G11"/>
    <mergeCell ref="I11:L11"/>
    <mergeCell ref="Q11:W11"/>
    <mergeCell ref="I13:K13"/>
    <mergeCell ref="M13:O13"/>
    <mergeCell ref="Q13:S13"/>
    <mergeCell ref="V14:V15"/>
    <mergeCell ref="W14:W15"/>
    <mergeCell ref="M11:N11"/>
    <mergeCell ref="M19:N19"/>
    <mergeCell ref="C20:F20"/>
    <mergeCell ref="M20:N20"/>
    <mergeCell ref="C21:F21"/>
    <mergeCell ref="M21:N21"/>
    <mergeCell ref="C22:F22"/>
    <mergeCell ref="M22:N22"/>
    <mergeCell ref="C23:F23"/>
    <mergeCell ref="B16:B19"/>
    <mergeCell ref="C16:F16"/>
    <mergeCell ref="M16:N16"/>
    <mergeCell ref="C17:F17"/>
    <mergeCell ref="M17:N17"/>
    <mergeCell ref="C18:F18"/>
    <mergeCell ref="M18:N18"/>
    <mergeCell ref="C19:F19"/>
    <mergeCell ref="M23:N23"/>
    <mergeCell ref="C24:D24"/>
    <mergeCell ref="E24:F28"/>
    <mergeCell ref="M24:N24"/>
    <mergeCell ref="C25:D25"/>
    <mergeCell ref="M25:N25"/>
    <mergeCell ref="C26:D26"/>
    <mergeCell ref="M26:N26"/>
    <mergeCell ref="C28:D28"/>
    <mergeCell ref="M28:N28"/>
    <mergeCell ref="C27:D27"/>
    <mergeCell ref="M27:N27"/>
    <mergeCell ref="C33:F33"/>
    <mergeCell ref="M33:N33"/>
    <mergeCell ref="C34:F34"/>
    <mergeCell ref="M34:N34"/>
    <mergeCell ref="C30:F30"/>
    <mergeCell ref="M30:N30"/>
    <mergeCell ref="C29:F29"/>
    <mergeCell ref="M29:N29"/>
    <mergeCell ref="C31:E31"/>
    <mergeCell ref="F31:F32"/>
    <mergeCell ref="M31:N31"/>
    <mergeCell ref="C32:E32"/>
    <mergeCell ref="M32:N32"/>
    <mergeCell ref="M35:N35"/>
    <mergeCell ref="A46:C46"/>
    <mergeCell ref="B47:W47"/>
    <mergeCell ref="B49:W49"/>
    <mergeCell ref="C41:F41"/>
    <mergeCell ref="M41:N41"/>
    <mergeCell ref="C42:F42"/>
    <mergeCell ref="M42:N42"/>
    <mergeCell ref="C43:F43"/>
    <mergeCell ref="M43:N43"/>
    <mergeCell ref="B48:W48"/>
    <mergeCell ref="C39:F39"/>
    <mergeCell ref="M39:N39"/>
    <mergeCell ref="C40:F40"/>
    <mergeCell ref="M40:N40"/>
    <mergeCell ref="C38:F38"/>
    <mergeCell ref="C36:F36"/>
    <mergeCell ref="M36:N36"/>
    <mergeCell ref="C37:F37"/>
    <mergeCell ref="M37:N37"/>
  </mergeCells>
  <conditionalFormatting sqref="E24">
    <cfRule type="cellIs" dxfId="110" priority="1" operator="notEqual">
      <formula>"GC 76000 PA ($" &amp;O11&amp;" for every 10) breakdown per local board of supervisor resolution (BOS)."</formula>
    </cfRule>
  </conditionalFormatting>
  <conditionalFormatting sqref="H24:H29">
    <cfRule type="expression" dxfId="109" priority="19" stopIfTrue="1">
      <formula>MOD(ROW(), 2)=0</formula>
    </cfRule>
  </conditionalFormatting>
  <conditionalFormatting sqref="H29 H16:H23 H31:H33">
    <cfRule type="expression" dxfId="108" priority="21" stopIfTrue="1">
      <formula>MOD(ROW(),2)=0</formula>
    </cfRule>
  </conditionalFormatting>
  <conditionalFormatting sqref="I16:I17">
    <cfRule type="cellIs" dxfId="107" priority="18" stopIfTrue="1" operator="equal">
      <formula>0</formula>
    </cfRule>
  </conditionalFormatting>
  <conditionalFormatting sqref="J16:K43 I18:I29 I31:I34">
    <cfRule type="cellIs" dxfId="106" priority="15" operator="equal">
      <formula>0</formula>
    </cfRule>
  </conditionalFormatting>
  <conditionalFormatting sqref="N16 M16:M43 O16:O43 N20:N43 M35:N35">
    <cfRule type="expression" dxfId="105" priority="16">
      <formula>MOD(ROW(),2)=0</formula>
    </cfRule>
  </conditionalFormatting>
  <conditionalFormatting sqref="Q16:S43">
    <cfRule type="cellIs" dxfId="104" priority="22" stopIfTrue="1" operator="equal">
      <formula>0</formula>
    </cfRule>
  </conditionalFormatting>
  <conditionalFormatting sqref="U12:V13 U46:V46 U51:V65533">
    <cfRule type="cellIs" dxfId="103" priority="20" stopIfTrue="1" operator="notEqual">
      <formula>0</formula>
    </cfRule>
  </conditionalFormatting>
  <conditionalFormatting sqref="V16:V43">
    <cfRule type="cellIs" dxfId="102" priority="5" operator="greaterThan">
      <formula>0</formula>
    </cfRule>
  </conditionalFormatting>
  <dataValidations count="1">
    <dataValidation type="list" allowBlank="1" showInputMessage="1" showErrorMessage="1" sqref="U15" xr:uid="{00000000-0002-0000-1700-000000000000}">
      <formula1>Distribution_Method</formula1>
    </dataValidation>
  </dataValidations>
  <printOptions horizontalCentered="1"/>
  <pageMargins left="0.25" right="0.25" top="0.75" bottom="0.5" header="0.25" footer="0.25"/>
  <pageSetup scale="61" orientation="landscape" r:id="rId1"/>
  <headerFooter alignWithMargins="0">
    <oddHeader>&amp;CSUPERIOR OF COURT OF _________ COUNTY
Revenue Calculation and Distribution Worksheet</oddHeader>
    <oddFooter>&amp;L&amp;F&amp;R&amp;P of &amp;N</oddFooter>
  </headerFooter>
  <ignoredErrors>
    <ignoredError sqref="K34 Q30 S34 U34"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55649" r:id="rId4" name="Button 1">
              <controlPr defaultSize="0" print="0" autoFill="0" autoPict="0" macro="mcr_GoToSummary">
                <anchor moveWithCells="1">
                  <from>
                    <xdr:col>0</xdr:col>
                    <xdr:colOff>88900</xdr:colOff>
                    <xdr:row>0</xdr:row>
                    <xdr:rowOff>0</xdr:rowOff>
                  </from>
                  <to>
                    <xdr:col>3</xdr:col>
                    <xdr:colOff>127000</xdr:colOff>
                    <xdr:row>1</xdr:row>
                    <xdr:rowOff>31750</xdr:rowOff>
                  </to>
                </anchor>
              </controlPr>
            </control>
          </mc:Choice>
        </mc:AlternateContent>
        <mc:AlternateContent xmlns:mc="http://schemas.openxmlformats.org/markup-compatibility/2006">
          <mc:Choice Requires="x14">
            <control shapeId="155650" r:id="rId5" name="Button 2">
              <controlPr defaultSize="0" print="0" autoFill="0" autoPict="0" macro="[0]!mcrDisableTwoPercentUnprotect">
                <anchor moveWithCells="1">
                  <from>
                    <xdr:col>0</xdr:col>
                    <xdr:colOff>12700</xdr:colOff>
                    <xdr:row>13</xdr:row>
                    <xdr:rowOff>527050</xdr:rowOff>
                  </from>
                  <to>
                    <xdr:col>0</xdr:col>
                    <xdr:colOff>279400</xdr:colOff>
                    <xdr:row>14</xdr:row>
                    <xdr:rowOff>222250</xdr:rowOff>
                  </to>
                </anchor>
              </controlPr>
            </control>
          </mc:Choice>
        </mc:AlternateContent>
        <mc:AlternateContent xmlns:mc="http://schemas.openxmlformats.org/markup-compatibility/2006">
          <mc:Choice Requires="x14">
            <control shapeId="155651" r:id="rId6" name="Button 3">
              <controlPr defaultSize="0" print="0" autoFill="0" autoPict="0" macro="[0]!mcrEnableTwoPercentUnprotect">
                <anchor moveWithCells="1">
                  <from>
                    <xdr:col>0</xdr:col>
                    <xdr:colOff>0</xdr:colOff>
                    <xdr:row>13</xdr:row>
                    <xdr:rowOff>222250</xdr:rowOff>
                  </from>
                  <to>
                    <xdr:col>0</xdr:col>
                    <xdr:colOff>266700</xdr:colOff>
                    <xdr:row>13</xdr:row>
                    <xdr:rowOff>552450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tabColor theme="6"/>
    <pageSetUpPr fitToPage="1"/>
  </sheetPr>
  <dimension ref="A1:AD48"/>
  <sheetViews>
    <sheetView zoomScale="80" zoomScaleNormal="80" workbookViewId="0">
      <pane ySplit="1" topLeftCell="A2" activePane="bottomLeft" state="frozen"/>
      <selection pane="bottomLeft" sqref="A1:M1"/>
    </sheetView>
  </sheetViews>
  <sheetFormatPr defaultColWidth="9.1796875" defaultRowHeight="18.5" x14ac:dyDescent="0.25"/>
  <cols>
    <col min="1" max="1" width="4.26953125" style="87" customWidth="1"/>
    <col min="2" max="2" width="4.7265625" style="87" customWidth="1"/>
    <col min="3" max="3" width="13.54296875" style="87" customWidth="1"/>
    <col min="4" max="4" width="12" style="87" customWidth="1"/>
    <col min="5" max="5" width="11.453125" style="88" customWidth="1"/>
    <col min="6" max="6" width="18" style="121" customWidth="1"/>
    <col min="7" max="7" width="9.1796875" style="46" customWidth="1"/>
    <col min="8" max="8" width="29.453125" style="46" hidden="1" customWidth="1"/>
    <col min="9" max="10" width="8.1796875" style="46" customWidth="1"/>
    <col min="11" max="11" width="8.54296875" style="46" customWidth="1"/>
    <col min="12" max="12" width="6" style="46" customWidth="1"/>
    <col min="13" max="13" width="11.1796875" style="92" customWidth="1"/>
    <col min="14" max="14" width="1.7265625" style="89" customWidth="1"/>
    <col min="15" max="15" width="15.26953125" style="46" customWidth="1"/>
    <col min="16" max="16" width="1.54296875" style="46" customWidth="1"/>
    <col min="17" max="17" width="11" style="46" customWidth="1"/>
    <col min="18" max="18" width="1.81640625" style="89" customWidth="1"/>
    <col min="19" max="19" width="10.81640625" style="89" customWidth="1"/>
    <col min="20" max="20" width="5.7265625" style="89" customWidth="1"/>
    <col min="21" max="21" width="10.7265625" style="89" customWidth="1"/>
    <col min="22" max="22" width="1.81640625" style="50" customWidth="1"/>
    <col min="23" max="23" width="12.453125" style="90" customWidth="1"/>
    <col min="24" max="24" width="6" style="90" customWidth="1"/>
    <col min="25" max="25" width="18.7265625" style="91" customWidth="1"/>
    <col min="26" max="26" width="2.1796875" style="50" customWidth="1"/>
    <col min="27" max="27" width="11.26953125" style="50" customWidth="1"/>
    <col min="28" max="28" width="11.1796875" style="50" customWidth="1"/>
    <col min="29" max="30" width="9.1796875" style="50"/>
    <col min="31" max="16384" width="9.1796875" style="46"/>
  </cols>
  <sheetData>
    <row r="1" spans="1:30" ht="20.25" customHeight="1" thickBot="1" x14ac:dyDescent="0.3">
      <c r="A1" s="1081" t="s">
        <v>268</v>
      </c>
      <c r="B1" s="1082"/>
      <c r="C1" s="1082"/>
      <c r="D1" s="1082"/>
      <c r="E1" s="1082"/>
      <c r="F1" s="1082"/>
      <c r="G1" s="1082"/>
      <c r="H1" s="1082"/>
      <c r="I1" s="1082"/>
      <c r="J1" s="1082"/>
      <c r="K1" s="1082"/>
      <c r="L1" s="1082"/>
      <c r="M1" s="1082"/>
      <c r="N1" s="1079"/>
      <c r="O1" s="1079"/>
      <c r="P1" s="1079"/>
      <c r="Q1" s="1079"/>
      <c r="R1" s="1079"/>
      <c r="S1" s="1079"/>
      <c r="T1" s="1079"/>
      <c r="U1" s="1079"/>
      <c r="V1" s="1079"/>
      <c r="W1" s="1079"/>
      <c r="X1" s="592" t="s">
        <v>485</v>
      </c>
      <c r="Y1" s="612" t="str">
        <f>'Cover Page'!A3</f>
        <v>January 2014</v>
      </c>
    </row>
    <row r="2" spans="1:30" s="50" customFormat="1" ht="6" customHeight="1" thickBot="1" x14ac:dyDescent="0.3">
      <c r="A2" s="47"/>
      <c r="B2" s="47"/>
      <c r="C2" s="47"/>
      <c r="D2" s="47"/>
      <c r="E2" s="47"/>
      <c r="F2" s="47"/>
      <c r="G2" s="47"/>
      <c r="H2" s="47"/>
      <c r="I2" s="47"/>
      <c r="J2" s="47"/>
      <c r="K2" s="47"/>
      <c r="L2" s="48"/>
      <c r="M2" s="48"/>
      <c r="N2" s="48"/>
      <c r="O2" s="48"/>
      <c r="P2" s="48"/>
      <c r="Q2" s="49"/>
      <c r="R2" s="49"/>
      <c r="S2" s="49"/>
      <c r="T2" s="49"/>
      <c r="U2" s="49"/>
      <c r="V2" s="49"/>
      <c r="W2" s="49"/>
      <c r="X2" s="49"/>
      <c r="Y2" s="49"/>
    </row>
    <row r="3" spans="1:30" s="50" customFormat="1" ht="19" thickBot="1" x14ac:dyDescent="0.3">
      <c r="A3" s="1088" t="s">
        <v>234</v>
      </c>
      <c r="B3" s="1089"/>
      <c r="C3" s="1089"/>
      <c r="D3" s="1089"/>
      <c r="E3" s="1089"/>
      <c r="F3" s="1089"/>
      <c r="G3" s="1089"/>
      <c r="H3" s="1089"/>
      <c r="I3" s="1089"/>
      <c r="J3" s="1089"/>
      <c r="K3" s="1089"/>
      <c r="L3" s="1089"/>
      <c r="M3" s="1089"/>
      <c r="N3" s="1089"/>
      <c r="O3" s="1089"/>
      <c r="P3" s="1089"/>
      <c r="Q3" s="1090"/>
      <c r="R3" s="159"/>
      <c r="S3" s="901" t="s">
        <v>261</v>
      </c>
      <c r="T3" s="902"/>
      <c r="U3" s="902"/>
      <c r="V3" s="902"/>
      <c r="W3" s="902"/>
      <c r="X3" s="902"/>
      <c r="Y3" s="903"/>
      <c r="AA3" s="159" t="s">
        <v>250</v>
      </c>
      <c r="AB3" s="120"/>
    </row>
    <row r="4" spans="1:30" s="53" customFormat="1" ht="15.5" x14ac:dyDescent="0.25">
      <c r="A4" s="904" t="s">
        <v>231</v>
      </c>
      <c r="B4" s="905"/>
      <c r="C4" s="905"/>
      <c r="D4" s="906">
        <f>N1</f>
        <v>0</v>
      </c>
      <c r="E4" s="907"/>
      <c r="F4" s="1179" t="s">
        <v>28</v>
      </c>
      <c r="G4" s="1180"/>
      <c r="H4" s="1180"/>
      <c r="I4" s="1181"/>
      <c r="J4" s="1182"/>
      <c r="K4" s="1182"/>
      <c r="L4" s="1182"/>
      <c r="M4" s="1182"/>
      <c r="N4" s="1183"/>
      <c r="O4" s="910" t="s">
        <v>257</v>
      </c>
      <c r="P4" s="910"/>
      <c r="Q4" s="191"/>
      <c r="R4" s="95"/>
      <c r="S4" s="911" t="s">
        <v>236</v>
      </c>
      <c r="T4" s="912"/>
      <c r="U4" s="912"/>
      <c r="V4" s="912"/>
      <c r="W4" s="912"/>
      <c r="X4" s="912"/>
      <c r="Y4" s="913"/>
      <c r="AA4" s="243" t="s">
        <v>308</v>
      </c>
      <c r="AB4" s="241" t="s">
        <v>309</v>
      </c>
      <c r="AC4" s="241" t="s">
        <v>310</v>
      </c>
    </row>
    <row r="5" spans="1:30" s="53" customFormat="1" ht="15.5" x14ac:dyDescent="0.25">
      <c r="A5" s="882" t="s">
        <v>4</v>
      </c>
      <c r="B5" s="883"/>
      <c r="C5" s="883"/>
      <c r="D5" s="894"/>
      <c r="E5" s="885"/>
      <c r="F5" s="844" t="s">
        <v>244</v>
      </c>
      <c r="G5" s="872"/>
      <c r="H5" s="872"/>
      <c r="I5" s="845"/>
      <c r="J5" s="895"/>
      <c r="K5" s="895"/>
      <c r="L5" s="895"/>
      <c r="M5" s="895"/>
      <c r="N5" s="896"/>
      <c r="O5" s="872" t="s">
        <v>22</v>
      </c>
      <c r="P5" s="872"/>
      <c r="Q5" s="54"/>
      <c r="R5" s="95"/>
      <c r="S5" s="897" t="s">
        <v>302</v>
      </c>
      <c r="T5" s="898"/>
      <c r="U5" s="898"/>
      <c r="V5" s="898"/>
      <c r="W5" s="898"/>
      <c r="X5" s="898"/>
      <c r="Y5" s="899"/>
      <c r="AA5" s="157" t="s">
        <v>31</v>
      </c>
      <c r="AB5" s="161">
        <f>SUMIF($G$16:$G$41,"STATE",$M$16:$M$41)</f>
        <v>77.823999999999998</v>
      </c>
      <c r="AC5" s="161">
        <f>SUMIF($G$16:$G$41,"STATE",$U$16:$U$41)</f>
        <v>0</v>
      </c>
    </row>
    <row r="6" spans="1:30" s="53" customFormat="1" ht="16" thickBot="1" x14ac:dyDescent="0.3">
      <c r="A6" s="882" t="s">
        <v>12</v>
      </c>
      <c r="B6" s="883"/>
      <c r="C6" s="883"/>
      <c r="D6" s="894"/>
      <c r="E6" s="885"/>
      <c r="F6" s="844" t="s">
        <v>20</v>
      </c>
      <c r="G6" s="872"/>
      <c r="H6" s="872"/>
      <c r="I6" s="845"/>
      <c r="J6" s="895" t="s">
        <v>317</v>
      </c>
      <c r="K6" s="895"/>
      <c r="L6" s="895"/>
      <c r="M6" s="895"/>
      <c r="N6" s="896"/>
      <c r="O6" s="848" t="s">
        <v>233</v>
      </c>
      <c r="P6" s="848"/>
      <c r="Q6" s="194">
        <f>Q4+Q5*10</f>
        <v>0</v>
      </c>
      <c r="R6" s="95"/>
      <c r="S6" s="891" t="s">
        <v>573</v>
      </c>
      <c r="T6" s="892"/>
      <c r="U6" s="892"/>
      <c r="V6" s="892"/>
      <c r="W6" s="892"/>
      <c r="X6" s="892"/>
      <c r="Y6" s="893"/>
      <c r="AA6" s="157" t="s">
        <v>32</v>
      </c>
      <c r="AB6" s="161">
        <f>SUMIF($G$16:$G$41,"COUNTY",$M$16:$M$41)</f>
        <v>1.1759999999999999</v>
      </c>
      <c r="AC6" s="161">
        <f>SUMIF($G$16:$G$41,"COUNTY",$U$16:$U$41)</f>
        <v>0</v>
      </c>
    </row>
    <row r="7" spans="1:30" s="53" customFormat="1" ht="16" thickBot="1" x14ac:dyDescent="0.3">
      <c r="A7" s="882" t="s">
        <v>5</v>
      </c>
      <c r="B7" s="883"/>
      <c r="C7" s="883"/>
      <c r="D7" s="884"/>
      <c r="E7" s="885"/>
      <c r="F7" s="1185" t="s">
        <v>21</v>
      </c>
      <c r="G7" s="1186"/>
      <c r="H7" s="1186"/>
      <c r="I7" s="1187"/>
      <c r="J7" s="964" t="s">
        <v>3</v>
      </c>
      <c r="K7" s="964"/>
      <c r="L7" s="964"/>
      <c r="M7" s="964"/>
      <c r="N7" s="1085"/>
      <c r="O7" s="216"/>
      <c r="P7" s="220"/>
      <c r="Q7" s="217"/>
      <c r="R7" s="95"/>
      <c r="S7" s="888" t="s">
        <v>235</v>
      </c>
      <c r="T7" s="889"/>
      <c r="U7" s="889"/>
      <c r="V7" s="889"/>
      <c r="W7" s="889"/>
      <c r="X7" s="889"/>
      <c r="Y7" s="890"/>
      <c r="AA7" s="157" t="s">
        <v>52</v>
      </c>
      <c r="AB7" s="161">
        <f>SUMIF($G$16:$G$41,"CITY",$M$16:$M$41)</f>
        <v>0</v>
      </c>
      <c r="AC7" s="161">
        <f>SUMIF($G$16:$G$41,"CITY",$U$16:$U$41)</f>
        <v>0</v>
      </c>
    </row>
    <row r="8" spans="1:30" s="53" customFormat="1" ht="15.75" customHeight="1" x14ac:dyDescent="0.25">
      <c r="A8" s="873" t="s">
        <v>54</v>
      </c>
      <c r="B8" s="874"/>
      <c r="C8" s="874"/>
      <c r="D8" s="1163">
        <v>1</v>
      </c>
      <c r="E8" s="1184"/>
      <c r="F8" s="877" t="s">
        <v>253</v>
      </c>
      <c r="G8" s="881"/>
      <c r="H8" s="881"/>
      <c r="I8" s="878"/>
      <c r="J8" s="1182"/>
      <c r="K8" s="1182"/>
      <c r="L8" s="1182"/>
      <c r="M8" s="1182"/>
      <c r="N8" s="1183"/>
      <c r="O8" s="881" t="s">
        <v>257</v>
      </c>
      <c r="P8" s="881"/>
      <c r="Q8" s="51">
        <v>0</v>
      </c>
      <c r="R8" s="138"/>
      <c r="S8" s="862" t="s">
        <v>303</v>
      </c>
      <c r="T8" s="863"/>
      <c r="U8" s="863"/>
      <c r="V8" s="863"/>
      <c r="W8" s="863"/>
      <c r="X8" s="863"/>
      <c r="Y8" s="864"/>
      <c r="AA8" s="157" t="s">
        <v>230</v>
      </c>
      <c r="AB8" s="161">
        <f>SUMIF($G$16:$G$41,"COURT",$M$16:$M$41)</f>
        <v>0</v>
      </c>
      <c r="AC8" s="161">
        <f>SUMIF($G$16:$G$41,"COURT",$U$16:$U$41)</f>
        <v>0</v>
      </c>
    </row>
    <row r="9" spans="1:30" s="53" customFormat="1" ht="18" customHeight="1" thickBot="1" x14ac:dyDescent="0.3">
      <c r="A9" s="868" t="s">
        <v>53</v>
      </c>
      <c r="B9" s="869"/>
      <c r="C9" s="869"/>
      <c r="D9" s="870">
        <f>100%-D8</f>
        <v>0</v>
      </c>
      <c r="E9" s="871"/>
      <c r="F9" s="844" t="s">
        <v>244</v>
      </c>
      <c r="G9" s="872"/>
      <c r="H9" s="872"/>
      <c r="I9" s="845"/>
      <c r="J9" s="895"/>
      <c r="K9" s="895"/>
      <c r="L9" s="895"/>
      <c r="M9" s="895"/>
      <c r="N9" s="896"/>
      <c r="O9" s="1086" t="s">
        <v>22</v>
      </c>
      <c r="P9" s="1086"/>
      <c r="Q9" s="54"/>
      <c r="R9" s="138"/>
      <c r="S9" s="865"/>
      <c r="T9" s="866"/>
      <c r="U9" s="866"/>
      <c r="V9" s="866"/>
      <c r="W9" s="866"/>
      <c r="X9" s="866"/>
      <c r="Y9" s="867"/>
      <c r="AA9" s="84" t="s">
        <v>446</v>
      </c>
      <c r="AB9" s="161">
        <f>SUMIF($G$16:$G$41,"CNTY or CTY",$M$16:$M$41)</f>
        <v>0</v>
      </c>
      <c r="AC9" s="161">
        <f>SUMIF($G$16:$G$41,"CNTY or CTY",$U$16:$U$41)</f>
        <v>0</v>
      </c>
    </row>
    <row r="10" spans="1:30" s="53" customFormat="1" ht="16.5" customHeight="1" thickBot="1" x14ac:dyDescent="0.3">
      <c r="A10" s="840" t="s">
        <v>276</v>
      </c>
      <c r="B10" s="841"/>
      <c r="C10" s="841"/>
      <c r="D10" s="1066">
        <f>Q6+Q10</f>
        <v>0</v>
      </c>
      <c r="E10" s="1067"/>
      <c r="F10" s="844" t="s">
        <v>20</v>
      </c>
      <c r="G10" s="872"/>
      <c r="H10" s="872"/>
      <c r="I10" s="845"/>
      <c r="J10" s="895"/>
      <c r="K10" s="895"/>
      <c r="L10" s="895"/>
      <c r="M10" s="895"/>
      <c r="N10" s="896"/>
      <c r="O10" s="1086" t="s">
        <v>233</v>
      </c>
      <c r="P10" s="1086"/>
      <c r="Q10" s="640">
        <f>Q8+Q9*10</f>
        <v>0</v>
      </c>
      <c r="R10" s="218"/>
      <c r="S10" s="849" t="s">
        <v>239</v>
      </c>
      <c r="T10" s="850"/>
      <c r="U10" s="850"/>
      <c r="V10" s="850"/>
      <c r="W10" s="850"/>
      <c r="X10" s="850"/>
      <c r="Y10" s="851"/>
      <c r="AA10" s="158" t="s">
        <v>246</v>
      </c>
      <c r="AB10" s="134">
        <f>SUM(AB5:AB9)</f>
        <v>79</v>
      </c>
      <c r="AC10" s="134">
        <f>SUM(AC5:AC9)</f>
        <v>0</v>
      </c>
    </row>
    <row r="11" spans="1:30" s="53" customFormat="1" ht="16.5" customHeight="1" thickBot="1" x14ac:dyDescent="0.3">
      <c r="A11" s="852" t="s">
        <v>277</v>
      </c>
      <c r="B11" s="853"/>
      <c r="C11" s="853"/>
      <c r="D11" s="854">
        <f>ROUNDUP(D10/10,0)</f>
        <v>0</v>
      </c>
      <c r="E11" s="855"/>
      <c r="F11" s="856" t="s">
        <v>21</v>
      </c>
      <c r="G11" s="1176"/>
      <c r="H11" s="1176"/>
      <c r="I11" s="857"/>
      <c r="J11" s="1068"/>
      <c r="K11" s="886"/>
      <c r="L11" s="886"/>
      <c r="M11" s="886"/>
      <c r="N11" s="886"/>
      <c r="O11" s="1177" t="s">
        <v>568</v>
      </c>
      <c r="P11" s="1178"/>
      <c r="Q11" s="639">
        <f>'1-DUI (Reduce Base)'!P11</f>
        <v>5</v>
      </c>
      <c r="R11" s="218"/>
      <c r="S11" s="837" t="s">
        <v>430</v>
      </c>
      <c r="T11" s="838"/>
      <c r="U11" s="838"/>
      <c r="V11" s="838"/>
      <c r="W11" s="838"/>
      <c r="X11" s="838"/>
      <c r="Y11" s="839"/>
      <c r="AB11" s="242">
        <f>AB10-M43</f>
        <v>0</v>
      </c>
      <c r="AC11" s="242">
        <f>AC10-U43</f>
        <v>0</v>
      </c>
    </row>
    <row r="12" spans="1:30" s="53" customFormat="1" ht="15.75" customHeight="1" thickBot="1" x14ac:dyDescent="0.3">
      <c r="A12" s="193"/>
      <c r="B12" s="193"/>
      <c r="C12" s="173"/>
      <c r="D12" s="173"/>
      <c r="E12" s="173"/>
      <c r="F12" s="60"/>
      <c r="G12" s="55"/>
      <c r="H12" s="56"/>
      <c r="I12" s="57"/>
      <c r="J12" s="57"/>
      <c r="K12" s="57"/>
      <c r="L12" s="57"/>
      <c r="M12" s="57"/>
      <c r="N12" s="57"/>
      <c r="Q12" s="52"/>
      <c r="R12" s="52"/>
      <c r="S12" s="52"/>
      <c r="T12" s="52"/>
      <c r="U12" s="52"/>
      <c r="V12" s="52"/>
      <c r="W12" s="58"/>
      <c r="X12" s="58"/>
      <c r="Y12" s="56"/>
      <c r="AC12" s="59"/>
    </row>
    <row r="13" spans="1:30" s="98" customFormat="1" ht="18.75" customHeight="1" thickBot="1" x14ac:dyDescent="0.3">
      <c r="A13" s="174"/>
      <c r="B13" s="174"/>
      <c r="C13" s="174"/>
      <c r="D13" s="174"/>
      <c r="E13" s="174"/>
      <c r="F13" s="96"/>
      <c r="G13" s="97"/>
      <c r="I13" s="248"/>
      <c r="J13" s="249"/>
      <c r="K13" s="821" t="s">
        <v>297</v>
      </c>
      <c r="L13" s="822"/>
      <c r="M13" s="822"/>
      <c r="N13" s="99"/>
      <c r="O13" s="1155" t="s">
        <v>229</v>
      </c>
      <c r="P13" s="1156"/>
      <c r="Q13" s="1157"/>
      <c r="R13" s="100"/>
      <c r="S13" s="824" t="s">
        <v>295</v>
      </c>
      <c r="T13" s="825"/>
      <c r="U13" s="826"/>
      <c r="V13" s="207"/>
      <c r="W13" s="143"/>
      <c r="X13" s="143"/>
      <c r="Y13" s="144"/>
      <c r="Z13" s="97"/>
      <c r="AA13" s="97"/>
      <c r="AB13" s="97"/>
      <c r="AC13" s="97"/>
      <c r="AD13" s="97"/>
    </row>
    <row r="14" spans="1:30" ht="44.25" customHeight="1" thickBot="1" x14ac:dyDescent="0.3">
      <c r="A14" s="101">
        <v>0.02</v>
      </c>
      <c r="B14" s="101" t="s">
        <v>58</v>
      </c>
      <c r="C14" s="827" t="s">
        <v>226</v>
      </c>
      <c r="D14" s="828"/>
      <c r="E14" s="828"/>
      <c r="F14" s="829"/>
      <c r="G14" s="102" t="s">
        <v>249</v>
      </c>
      <c r="H14" s="103" t="s">
        <v>0</v>
      </c>
      <c r="I14" s="833" t="s">
        <v>298</v>
      </c>
      <c r="J14" s="1174" t="s">
        <v>270</v>
      </c>
      <c r="K14" s="833" t="s">
        <v>315</v>
      </c>
      <c r="L14" s="835" t="s">
        <v>6</v>
      </c>
      <c r="M14" s="215" t="s">
        <v>299</v>
      </c>
      <c r="N14" s="61"/>
      <c r="O14" s="1122" t="s">
        <v>260</v>
      </c>
      <c r="P14" s="1123"/>
      <c r="Q14" s="109" t="s">
        <v>248</v>
      </c>
      <c r="R14" s="110"/>
      <c r="S14" s="564" t="s">
        <v>428</v>
      </c>
      <c r="T14" s="835" t="s">
        <v>6</v>
      </c>
      <c r="U14" s="215" t="s">
        <v>299</v>
      </c>
      <c r="V14" s="209"/>
      <c r="W14" s="189" t="s">
        <v>256</v>
      </c>
      <c r="X14" s="1148" t="s">
        <v>61</v>
      </c>
      <c r="Y14" s="1150" t="s">
        <v>384</v>
      </c>
    </row>
    <row r="15" spans="1:30" ht="30.75" customHeight="1" thickBot="1" x14ac:dyDescent="0.3">
      <c r="A15" s="104"/>
      <c r="B15" s="104"/>
      <c r="C15" s="830"/>
      <c r="D15" s="831"/>
      <c r="E15" s="831"/>
      <c r="F15" s="832"/>
      <c r="G15" s="105"/>
      <c r="H15" s="105"/>
      <c r="I15" s="834"/>
      <c r="J15" s="1175"/>
      <c r="K15" s="834"/>
      <c r="L15" s="836"/>
      <c r="M15" s="222" t="s">
        <v>42</v>
      </c>
      <c r="N15" s="62"/>
      <c r="O15" s="1120"/>
      <c r="P15" s="1121"/>
      <c r="Q15" s="223" t="s">
        <v>43</v>
      </c>
      <c r="R15" s="110"/>
      <c r="S15" s="224">
        <f>(S35-S31)/(I35-S31)</f>
        <v>0</v>
      </c>
      <c r="T15" s="836"/>
      <c r="U15" s="222" t="s">
        <v>44</v>
      </c>
      <c r="V15" s="209"/>
      <c r="W15" s="262" t="s">
        <v>300</v>
      </c>
      <c r="X15" s="1149"/>
      <c r="Y15" s="1151"/>
    </row>
    <row r="16" spans="1:30" s="68" customFormat="1" ht="15.75" hidden="1" customHeight="1" thickTop="1" x14ac:dyDescent="0.25">
      <c r="A16" s="63" t="s">
        <v>8</v>
      </c>
      <c r="B16" s="177"/>
      <c r="C16" s="1105"/>
      <c r="D16" s="1105"/>
      <c r="E16" s="1105"/>
      <c r="F16" s="1105"/>
      <c r="G16" s="64"/>
      <c r="H16" s="65"/>
      <c r="I16" s="139"/>
      <c r="J16" s="147"/>
      <c r="K16" s="147"/>
      <c r="L16" s="147"/>
      <c r="M16" s="180"/>
      <c r="N16" s="149"/>
      <c r="O16" s="1135"/>
      <c r="P16" s="1136"/>
      <c r="Q16" s="172"/>
      <c r="R16" s="66"/>
      <c r="S16" s="145"/>
      <c r="T16" s="147"/>
      <c r="U16" s="151"/>
      <c r="V16" s="210"/>
      <c r="W16" s="145"/>
      <c r="X16" s="145"/>
      <c r="Y16" s="94"/>
      <c r="Z16" s="114"/>
      <c r="AA16" s="114"/>
      <c r="AB16" s="114"/>
      <c r="AC16" s="114"/>
      <c r="AD16" s="114"/>
    </row>
    <row r="17" spans="1:30" s="68" customFormat="1" ht="15.75" hidden="1" customHeight="1" x14ac:dyDescent="0.25">
      <c r="A17" s="63" t="s">
        <v>8</v>
      </c>
      <c r="B17" s="238"/>
      <c r="C17" s="804"/>
      <c r="D17" s="805"/>
      <c r="E17" s="805"/>
      <c r="F17" s="945"/>
      <c r="G17" s="70"/>
      <c r="H17" s="71"/>
      <c r="I17" s="141"/>
      <c r="J17" s="147"/>
      <c r="K17" s="147"/>
      <c r="L17" s="147"/>
      <c r="M17" s="152"/>
      <c r="N17" s="149"/>
      <c r="O17" s="804"/>
      <c r="P17" s="1078"/>
      <c r="Q17" s="252"/>
      <c r="R17" s="66"/>
      <c r="S17" s="145"/>
      <c r="T17" s="147"/>
      <c r="U17" s="152"/>
      <c r="V17" s="210"/>
      <c r="W17" s="145"/>
      <c r="X17" s="145"/>
      <c r="Y17" s="67"/>
      <c r="Z17" s="114"/>
      <c r="AA17" s="114"/>
      <c r="AB17" s="114"/>
      <c r="AC17" s="114"/>
      <c r="AD17" s="114"/>
    </row>
    <row r="18" spans="1:30" s="68" customFormat="1" ht="15.75" customHeight="1" thickTop="1" x14ac:dyDescent="0.25">
      <c r="A18" s="63" t="s">
        <v>8</v>
      </c>
      <c r="B18" s="238"/>
      <c r="C18" s="1105" t="s">
        <v>267</v>
      </c>
      <c r="D18" s="1105"/>
      <c r="E18" s="1105"/>
      <c r="F18" s="1105"/>
      <c r="G18" s="572" t="str">
        <f>IF(D9=0,"COUNTY","CITY")</f>
        <v>COUNTY</v>
      </c>
      <c r="H18" s="71" t="s">
        <v>51</v>
      </c>
      <c r="I18" s="141"/>
      <c r="J18" s="147"/>
      <c r="K18" s="147">
        <f>J42</f>
        <v>1.2</v>
      </c>
      <c r="L18" s="147">
        <f t="shared" ref="L18:L24" si="0">IF(A18="Y", K18*2%,0)</f>
        <v>2.4E-2</v>
      </c>
      <c r="M18" s="152">
        <f t="shared" ref="M18:M24" si="1">K18-L18</f>
        <v>1.1759999999999999</v>
      </c>
      <c r="N18" s="149"/>
      <c r="O18" s="804"/>
      <c r="P18" s="1078"/>
      <c r="Q18" s="172"/>
      <c r="R18" s="66"/>
      <c r="S18" s="145">
        <f t="shared" ref="S18:S30" si="2">IF($S$43=0,,K18*$S$15)</f>
        <v>0</v>
      </c>
      <c r="T18" s="147">
        <f t="shared" ref="T18:T34" si="3">IF(A18="Y", S18*2%,)</f>
        <v>0</v>
      </c>
      <c r="U18" s="152">
        <f t="shared" ref="U18:U34" si="4">S18-T18</f>
        <v>0</v>
      </c>
      <c r="V18" s="210"/>
      <c r="W18" s="145">
        <f t="shared" ref="W18:W35" si="5">IF($W$15="BASE-UP   (B-A)", Q18-M18,Q18-U18)</f>
        <v>-1.1759999999999999</v>
      </c>
      <c r="X18" s="548"/>
      <c r="Y18" s="468"/>
      <c r="Z18" s="114"/>
      <c r="AA18" s="114"/>
      <c r="AB18" s="114"/>
      <c r="AC18" s="114"/>
      <c r="AD18" s="114"/>
    </row>
    <row r="19" spans="1:30" s="68" customFormat="1" ht="15.75" customHeight="1" x14ac:dyDescent="0.25">
      <c r="A19" s="63" t="s">
        <v>8</v>
      </c>
      <c r="B19" s="819" t="s">
        <v>241</v>
      </c>
      <c r="C19" s="812" t="s">
        <v>212</v>
      </c>
      <c r="D19" s="812"/>
      <c r="E19" s="812"/>
      <c r="F19" s="812"/>
      <c r="G19" s="566" t="s">
        <v>32</v>
      </c>
      <c r="H19" s="71" t="s">
        <v>27</v>
      </c>
      <c r="I19" s="140">
        <f>(D10-SUM(I16:I18))*D8</f>
        <v>0</v>
      </c>
      <c r="J19" s="147">
        <f>I19*30%</f>
        <v>0</v>
      </c>
      <c r="K19" s="147">
        <f t="shared" ref="K19:K24" si="6">I19-J19</f>
        <v>0</v>
      </c>
      <c r="L19" s="147">
        <f t="shared" si="0"/>
        <v>0</v>
      </c>
      <c r="M19" s="152">
        <f t="shared" si="1"/>
        <v>0</v>
      </c>
      <c r="N19" s="149"/>
      <c r="O19" s="804"/>
      <c r="P19" s="1078"/>
      <c r="Q19" s="72"/>
      <c r="R19" s="66"/>
      <c r="S19" s="145">
        <f t="shared" si="2"/>
        <v>0</v>
      </c>
      <c r="T19" s="147">
        <f t="shared" si="3"/>
        <v>0</v>
      </c>
      <c r="U19" s="152">
        <f t="shared" si="4"/>
        <v>0</v>
      </c>
      <c r="V19" s="210"/>
      <c r="W19" s="145">
        <f t="shared" si="5"/>
        <v>0</v>
      </c>
      <c r="X19" s="548"/>
      <c r="Y19" s="457"/>
      <c r="Z19" s="114"/>
      <c r="AA19" s="114"/>
      <c r="AB19" s="114"/>
      <c r="AC19" s="114"/>
      <c r="AD19" s="114"/>
    </row>
    <row r="20" spans="1:30" s="68" customFormat="1" ht="15.75" customHeight="1" x14ac:dyDescent="0.25">
      <c r="A20" s="63" t="s">
        <v>8</v>
      </c>
      <c r="B20" s="820"/>
      <c r="C20" s="812" t="s">
        <v>213</v>
      </c>
      <c r="D20" s="812"/>
      <c r="E20" s="812"/>
      <c r="F20" s="812"/>
      <c r="G20" s="566" t="s">
        <v>52</v>
      </c>
      <c r="H20" s="71" t="s">
        <v>25</v>
      </c>
      <c r="I20" s="140">
        <f>(D10-SUM(I16:I18))*D9</f>
        <v>0</v>
      </c>
      <c r="J20" s="147">
        <f>I20*30%</f>
        <v>0</v>
      </c>
      <c r="K20" s="147">
        <f t="shared" si="6"/>
        <v>0</v>
      </c>
      <c r="L20" s="147">
        <f t="shared" si="0"/>
        <v>0</v>
      </c>
      <c r="M20" s="152">
        <f t="shared" si="1"/>
        <v>0</v>
      </c>
      <c r="N20" s="149"/>
      <c r="O20" s="804"/>
      <c r="P20" s="1078"/>
      <c r="Q20" s="72"/>
      <c r="R20" s="66"/>
      <c r="S20" s="145">
        <f t="shared" si="2"/>
        <v>0</v>
      </c>
      <c r="T20" s="147">
        <f t="shared" si="3"/>
        <v>0</v>
      </c>
      <c r="U20" s="152">
        <f t="shared" si="4"/>
        <v>0</v>
      </c>
      <c r="V20" s="210"/>
      <c r="W20" s="145">
        <f t="shared" si="5"/>
        <v>0</v>
      </c>
      <c r="X20" s="548"/>
      <c r="Y20" s="457"/>
      <c r="Z20" s="114"/>
      <c r="AA20" s="114"/>
      <c r="AB20" s="114"/>
      <c r="AC20" s="114"/>
      <c r="AD20" s="114"/>
    </row>
    <row r="21" spans="1:30" s="68" customFormat="1" ht="15.75" customHeight="1" x14ac:dyDescent="0.25">
      <c r="A21" s="63" t="s">
        <v>8</v>
      </c>
      <c r="B21" s="69">
        <v>7</v>
      </c>
      <c r="C21" s="812" t="s">
        <v>546</v>
      </c>
      <c r="D21" s="812"/>
      <c r="E21" s="812"/>
      <c r="F21" s="812"/>
      <c r="G21" s="566" t="s">
        <v>31</v>
      </c>
      <c r="H21" s="71" t="s">
        <v>26</v>
      </c>
      <c r="I21" s="140">
        <f>$D$11*B21</f>
        <v>0</v>
      </c>
      <c r="J21" s="147">
        <f>I21*30%</f>
        <v>0</v>
      </c>
      <c r="K21" s="147">
        <f t="shared" si="6"/>
        <v>0</v>
      </c>
      <c r="L21" s="147">
        <f t="shared" si="0"/>
        <v>0</v>
      </c>
      <c r="M21" s="152">
        <f t="shared" si="1"/>
        <v>0</v>
      </c>
      <c r="N21" s="149"/>
      <c r="O21" s="804"/>
      <c r="P21" s="1078"/>
      <c r="Q21" s="74"/>
      <c r="R21" s="75"/>
      <c r="S21" s="145">
        <f t="shared" si="2"/>
        <v>0</v>
      </c>
      <c r="T21" s="147">
        <f t="shared" si="3"/>
        <v>0</v>
      </c>
      <c r="U21" s="152">
        <f t="shared" si="4"/>
        <v>0</v>
      </c>
      <c r="V21" s="210"/>
      <c r="W21" s="145">
        <f t="shared" si="5"/>
        <v>0</v>
      </c>
      <c r="X21" s="548"/>
      <c r="Y21" s="455"/>
      <c r="Z21" s="114"/>
      <c r="AA21" s="114"/>
      <c r="AB21" s="114"/>
      <c r="AC21" s="114"/>
      <c r="AD21" s="114"/>
    </row>
    <row r="22" spans="1:30" s="68" customFormat="1" ht="15.75" customHeight="1" x14ac:dyDescent="0.25">
      <c r="A22" s="63" t="s">
        <v>8</v>
      </c>
      <c r="B22" s="69">
        <v>3</v>
      </c>
      <c r="C22" s="812" t="s">
        <v>547</v>
      </c>
      <c r="D22" s="812"/>
      <c r="E22" s="812"/>
      <c r="F22" s="812"/>
      <c r="G22" s="566" t="s">
        <v>32</v>
      </c>
      <c r="H22" s="71" t="s">
        <v>27</v>
      </c>
      <c r="I22" s="140">
        <f>$D$11*B22</f>
        <v>0</v>
      </c>
      <c r="J22" s="147">
        <f>I22*30%</f>
        <v>0</v>
      </c>
      <c r="K22" s="147">
        <f t="shared" si="6"/>
        <v>0</v>
      </c>
      <c r="L22" s="147">
        <f t="shared" si="0"/>
        <v>0</v>
      </c>
      <c r="M22" s="152">
        <f t="shared" si="1"/>
        <v>0</v>
      </c>
      <c r="N22" s="149"/>
      <c r="O22" s="804"/>
      <c r="P22" s="1078"/>
      <c r="Q22" s="72"/>
      <c r="R22" s="66"/>
      <c r="S22" s="145">
        <f t="shared" si="2"/>
        <v>0</v>
      </c>
      <c r="T22" s="147">
        <f t="shared" si="3"/>
        <v>0</v>
      </c>
      <c r="U22" s="152">
        <f t="shared" si="4"/>
        <v>0</v>
      </c>
      <c r="V22" s="210"/>
      <c r="W22" s="145">
        <f t="shared" si="5"/>
        <v>0</v>
      </c>
      <c r="X22" s="548"/>
      <c r="Y22" s="455"/>
      <c r="Z22" s="114"/>
      <c r="AA22" s="114"/>
      <c r="AB22" s="114"/>
      <c r="AC22" s="114"/>
      <c r="AD22" s="114"/>
    </row>
    <row r="23" spans="1:30" s="68" customFormat="1" ht="15.75" customHeight="1" x14ac:dyDescent="0.25">
      <c r="A23" s="63" t="s">
        <v>8</v>
      </c>
      <c r="B23" s="69">
        <v>1</v>
      </c>
      <c r="C23" s="804" t="s">
        <v>216</v>
      </c>
      <c r="D23" s="805"/>
      <c r="E23" s="805"/>
      <c r="F23" s="945"/>
      <c r="G23" s="566" t="s">
        <v>32</v>
      </c>
      <c r="H23" s="71" t="s">
        <v>55</v>
      </c>
      <c r="I23" s="140">
        <f>$D$11*B23</f>
        <v>0</v>
      </c>
      <c r="J23" s="147"/>
      <c r="K23" s="147">
        <f t="shared" si="6"/>
        <v>0</v>
      </c>
      <c r="L23" s="147">
        <f t="shared" si="0"/>
        <v>0</v>
      </c>
      <c r="M23" s="152">
        <f t="shared" si="1"/>
        <v>0</v>
      </c>
      <c r="N23" s="149"/>
      <c r="O23" s="804"/>
      <c r="P23" s="1078"/>
      <c r="Q23" s="72"/>
      <c r="R23" s="66"/>
      <c r="S23" s="145">
        <f t="shared" si="2"/>
        <v>0</v>
      </c>
      <c r="T23" s="147">
        <f t="shared" si="3"/>
        <v>0</v>
      </c>
      <c r="U23" s="152">
        <f t="shared" si="4"/>
        <v>0</v>
      </c>
      <c r="V23" s="210"/>
      <c r="W23" s="145">
        <f t="shared" si="5"/>
        <v>0</v>
      </c>
      <c r="X23" s="548"/>
      <c r="Y23" s="455"/>
      <c r="Z23" s="114"/>
      <c r="AA23" s="114"/>
      <c r="AB23" s="114"/>
      <c r="AC23" s="114"/>
      <c r="AD23" s="114"/>
    </row>
    <row r="24" spans="1:30" s="68" customFormat="1" ht="14.5" x14ac:dyDescent="0.25">
      <c r="A24" s="63" t="s">
        <v>8</v>
      </c>
      <c r="B24" s="69">
        <v>4</v>
      </c>
      <c r="C24" s="804" t="s">
        <v>466</v>
      </c>
      <c r="D24" s="805"/>
      <c r="E24" s="805"/>
      <c r="F24" s="945"/>
      <c r="G24" s="566" t="s">
        <v>31</v>
      </c>
      <c r="H24" s="71" t="s">
        <v>72</v>
      </c>
      <c r="I24" s="140">
        <f>$D$11*B24</f>
        <v>0</v>
      </c>
      <c r="J24" s="147"/>
      <c r="K24" s="147">
        <f t="shared" si="6"/>
        <v>0</v>
      </c>
      <c r="L24" s="147">
        <f t="shared" si="0"/>
        <v>0</v>
      </c>
      <c r="M24" s="152">
        <f t="shared" si="1"/>
        <v>0</v>
      </c>
      <c r="N24" s="149"/>
      <c r="O24" s="804"/>
      <c r="P24" s="1078"/>
      <c r="Q24" s="72"/>
      <c r="R24" s="66"/>
      <c r="S24" s="145">
        <f t="shared" si="2"/>
        <v>0</v>
      </c>
      <c r="T24" s="147">
        <f t="shared" si="3"/>
        <v>0</v>
      </c>
      <c r="U24" s="152">
        <f t="shared" si="4"/>
        <v>0</v>
      </c>
      <c r="V24" s="210"/>
      <c r="W24" s="145">
        <f t="shared" si="5"/>
        <v>0</v>
      </c>
      <c r="X24" s="549"/>
      <c r="Y24" s="500"/>
      <c r="Z24" s="114"/>
      <c r="AA24" s="114"/>
      <c r="AB24" s="114"/>
      <c r="AC24" s="114"/>
      <c r="AD24" s="114"/>
    </row>
    <row r="25" spans="1:30" s="68" customFormat="1" ht="15.75" customHeight="1" x14ac:dyDescent="0.25">
      <c r="A25" s="63" t="s">
        <v>8</v>
      </c>
      <c r="B25" s="634">
        <f>'1-DUI (Reduce Base)'!$B$25</f>
        <v>0</v>
      </c>
      <c r="C25" s="812" t="s">
        <v>217</v>
      </c>
      <c r="D25" s="812"/>
      <c r="E25" s="813" t="str">
        <f>IF(SUM(B25:B29)=Q11,"GC 76000 PA ($" &amp;Q11 &amp; " for every 10) breakdown per local board of supervisor resolution (BOS).","ERROR! GC 76000 PA total is not $" &amp;Q11&amp; ". Check Court's board resolution.")</f>
        <v>ERROR! GC 76000 PA total is not $5. Check Court's board resolution.</v>
      </c>
      <c r="F25" s="1143"/>
      <c r="G25" s="566" t="s">
        <v>32</v>
      </c>
      <c r="H25" s="71" t="s">
        <v>64</v>
      </c>
      <c r="I25" s="140">
        <f t="shared" ref="I25:I30" si="7">$D$11*B25</f>
        <v>0</v>
      </c>
      <c r="J25" s="147">
        <f>I25*30%</f>
        <v>0</v>
      </c>
      <c r="K25" s="147">
        <f t="shared" ref="K25:K30" si="8">I25-J25</f>
        <v>0</v>
      </c>
      <c r="L25" s="147">
        <f t="shared" ref="L25:L30" si="9">IF(A25="Y", K25*2%,0)</f>
        <v>0</v>
      </c>
      <c r="M25" s="152">
        <f t="shared" ref="M25:M30" si="10">K25-L25</f>
        <v>0</v>
      </c>
      <c r="N25" s="149"/>
      <c r="O25" s="804"/>
      <c r="P25" s="1078"/>
      <c r="Q25" s="72"/>
      <c r="R25" s="66"/>
      <c r="S25" s="145">
        <f t="shared" si="2"/>
        <v>0</v>
      </c>
      <c r="T25" s="147">
        <f t="shared" si="3"/>
        <v>0</v>
      </c>
      <c r="U25" s="152">
        <f t="shared" si="4"/>
        <v>0</v>
      </c>
      <c r="V25" s="210"/>
      <c r="W25" s="145">
        <f t="shared" si="5"/>
        <v>0</v>
      </c>
      <c r="X25" s="622"/>
      <c r="Y25" s="455"/>
      <c r="Z25" s="114"/>
      <c r="AA25" s="114"/>
      <c r="AB25" s="114"/>
      <c r="AC25" s="114"/>
      <c r="AD25" s="114"/>
    </row>
    <row r="26" spans="1:30" s="68" customFormat="1" ht="15.75" customHeight="1" x14ac:dyDescent="0.25">
      <c r="A26" s="63" t="s">
        <v>8</v>
      </c>
      <c r="B26" s="634">
        <f>'1-DUI (Reduce Base)'!$B$26</f>
        <v>1</v>
      </c>
      <c r="C26" s="812" t="s">
        <v>218</v>
      </c>
      <c r="D26" s="812"/>
      <c r="E26" s="815"/>
      <c r="F26" s="1144"/>
      <c r="G26" s="566" t="s">
        <v>32</v>
      </c>
      <c r="H26" s="71" t="s">
        <v>35</v>
      </c>
      <c r="I26" s="140">
        <f t="shared" si="7"/>
        <v>0</v>
      </c>
      <c r="J26" s="147">
        <f>I26*30%</f>
        <v>0</v>
      </c>
      <c r="K26" s="147">
        <f t="shared" si="8"/>
        <v>0</v>
      </c>
      <c r="L26" s="147">
        <f t="shared" si="9"/>
        <v>0</v>
      </c>
      <c r="M26" s="152">
        <f t="shared" si="10"/>
        <v>0</v>
      </c>
      <c r="N26" s="149"/>
      <c r="O26" s="804"/>
      <c r="P26" s="1078"/>
      <c r="Q26" s="72"/>
      <c r="R26" s="66"/>
      <c r="S26" s="145">
        <f t="shared" si="2"/>
        <v>0</v>
      </c>
      <c r="T26" s="147">
        <f t="shared" si="3"/>
        <v>0</v>
      </c>
      <c r="U26" s="152">
        <f t="shared" si="4"/>
        <v>0</v>
      </c>
      <c r="V26" s="210"/>
      <c r="W26" s="145">
        <f t="shared" si="5"/>
        <v>0</v>
      </c>
      <c r="X26" s="548"/>
      <c r="Y26" s="455"/>
      <c r="Z26" s="114"/>
      <c r="AA26" s="114"/>
      <c r="AB26" s="114"/>
      <c r="AC26" s="114"/>
      <c r="AD26" s="114"/>
    </row>
    <row r="27" spans="1:30" s="68" customFormat="1" ht="15.75" customHeight="1" x14ac:dyDescent="0.25">
      <c r="A27" s="63" t="s">
        <v>8</v>
      </c>
      <c r="B27" s="634">
        <f>'1-DUI (Reduce Base)'!$B$27</f>
        <v>1</v>
      </c>
      <c r="C27" s="812" t="s">
        <v>219</v>
      </c>
      <c r="D27" s="812"/>
      <c r="E27" s="815"/>
      <c r="F27" s="1144"/>
      <c r="G27" s="566" t="s">
        <v>32</v>
      </c>
      <c r="H27" s="71" t="s">
        <v>65</v>
      </c>
      <c r="I27" s="140">
        <f t="shared" si="7"/>
        <v>0</v>
      </c>
      <c r="J27" s="147">
        <f>I27*30%</f>
        <v>0</v>
      </c>
      <c r="K27" s="147">
        <f t="shared" si="8"/>
        <v>0</v>
      </c>
      <c r="L27" s="147">
        <f t="shared" si="9"/>
        <v>0</v>
      </c>
      <c r="M27" s="152">
        <f t="shared" si="10"/>
        <v>0</v>
      </c>
      <c r="N27" s="149"/>
      <c r="O27" s="804"/>
      <c r="P27" s="1078"/>
      <c r="Q27" s="72"/>
      <c r="R27" s="66"/>
      <c r="S27" s="145">
        <f t="shared" si="2"/>
        <v>0</v>
      </c>
      <c r="T27" s="147">
        <f t="shared" si="3"/>
        <v>0</v>
      </c>
      <c r="U27" s="152">
        <f t="shared" si="4"/>
        <v>0</v>
      </c>
      <c r="V27" s="210"/>
      <c r="W27" s="145">
        <f t="shared" si="5"/>
        <v>0</v>
      </c>
      <c r="X27" s="548"/>
      <c r="Y27" s="455"/>
      <c r="Z27" s="114"/>
      <c r="AA27" s="114"/>
      <c r="AB27" s="114"/>
      <c r="AC27" s="114"/>
      <c r="AD27" s="114"/>
    </row>
    <row r="28" spans="1:30" s="68" customFormat="1" ht="15.75" customHeight="1" x14ac:dyDescent="0.25">
      <c r="A28" s="63" t="s">
        <v>8</v>
      </c>
      <c r="B28" s="634">
        <f>'1-DUI (Reduce Base)'!$B$28</f>
        <v>0.5</v>
      </c>
      <c r="C28" s="812" t="s">
        <v>401</v>
      </c>
      <c r="D28" s="812"/>
      <c r="E28" s="815"/>
      <c r="F28" s="1144"/>
      <c r="G28" s="566" t="s">
        <v>32</v>
      </c>
      <c r="H28" s="71"/>
      <c r="I28" s="140">
        <f t="shared" si="7"/>
        <v>0</v>
      </c>
      <c r="J28" s="147">
        <f>I28*30%</f>
        <v>0</v>
      </c>
      <c r="K28" s="147">
        <f t="shared" si="8"/>
        <v>0</v>
      </c>
      <c r="L28" s="147">
        <f t="shared" si="9"/>
        <v>0</v>
      </c>
      <c r="M28" s="152">
        <f t="shared" si="10"/>
        <v>0</v>
      </c>
      <c r="N28" s="149"/>
      <c r="O28" s="804"/>
      <c r="P28" s="1078"/>
      <c r="Q28" s="72"/>
      <c r="R28" s="66"/>
      <c r="S28" s="145">
        <f t="shared" si="2"/>
        <v>0</v>
      </c>
      <c r="T28" s="147">
        <f t="shared" si="3"/>
        <v>0</v>
      </c>
      <c r="U28" s="152">
        <f t="shared" si="4"/>
        <v>0</v>
      </c>
      <c r="V28" s="210"/>
      <c r="W28" s="145">
        <f t="shared" si="5"/>
        <v>0</v>
      </c>
      <c r="X28" s="548"/>
      <c r="Y28" s="455"/>
      <c r="Z28" s="114"/>
      <c r="AA28" s="114"/>
      <c r="AB28" s="114"/>
      <c r="AC28" s="114"/>
      <c r="AD28" s="114"/>
    </row>
    <row r="29" spans="1:30" s="68" customFormat="1" ht="15.75" customHeight="1" x14ac:dyDescent="0.25">
      <c r="A29" s="63" t="s">
        <v>8</v>
      </c>
      <c r="B29" s="634">
        <f>'1-DUI (Reduce Base)'!$B$29</f>
        <v>1</v>
      </c>
      <c r="C29" s="812" t="s">
        <v>254</v>
      </c>
      <c r="D29" s="812"/>
      <c r="E29" s="817"/>
      <c r="F29" s="1145"/>
      <c r="G29" s="566" t="s">
        <v>32</v>
      </c>
      <c r="H29" s="71"/>
      <c r="I29" s="140">
        <f t="shared" si="7"/>
        <v>0</v>
      </c>
      <c r="J29" s="147">
        <f>I29*30%</f>
        <v>0</v>
      </c>
      <c r="K29" s="147">
        <f t="shared" si="8"/>
        <v>0</v>
      </c>
      <c r="L29" s="147">
        <f t="shared" si="9"/>
        <v>0</v>
      </c>
      <c r="M29" s="152">
        <f t="shared" si="10"/>
        <v>0</v>
      </c>
      <c r="N29" s="149"/>
      <c r="O29" s="804"/>
      <c r="P29" s="1078"/>
      <c r="Q29" s="72"/>
      <c r="R29" s="66"/>
      <c r="S29" s="145">
        <f t="shared" si="2"/>
        <v>0</v>
      </c>
      <c r="T29" s="147">
        <f t="shared" si="3"/>
        <v>0</v>
      </c>
      <c r="U29" s="152">
        <f t="shared" si="4"/>
        <v>0</v>
      </c>
      <c r="V29" s="210"/>
      <c r="W29" s="145">
        <f t="shared" si="5"/>
        <v>0</v>
      </c>
      <c r="X29" s="548"/>
      <c r="Y29" s="455"/>
      <c r="Z29" s="114"/>
      <c r="AA29" s="114"/>
      <c r="AB29" s="114"/>
      <c r="AC29" s="114"/>
      <c r="AD29" s="114"/>
    </row>
    <row r="30" spans="1:30" s="68" customFormat="1" ht="15.75" customHeight="1" x14ac:dyDescent="0.25">
      <c r="A30" s="63" t="s">
        <v>8</v>
      </c>
      <c r="B30" s="634">
        <f>'1-DUI (Reduce Base)'!$B$30</f>
        <v>2</v>
      </c>
      <c r="C30" s="804" t="s">
        <v>286</v>
      </c>
      <c r="D30" s="805"/>
      <c r="E30" s="805"/>
      <c r="F30" s="945"/>
      <c r="G30" s="566" t="s">
        <v>32</v>
      </c>
      <c r="H30" s="71" t="s">
        <v>36</v>
      </c>
      <c r="I30" s="140">
        <f t="shared" si="7"/>
        <v>0</v>
      </c>
      <c r="J30" s="147"/>
      <c r="K30" s="147">
        <f t="shared" si="8"/>
        <v>0</v>
      </c>
      <c r="L30" s="147">
        <f t="shared" si="9"/>
        <v>0</v>
      </c>
      <c r="M30" s="152">
        <f t="shared" si="10"/>
        <v>0</v>
      </c>
      <c r="N30" s="149"/>
      <c r="O30" s="804"/>
      <c r="P30" s="1078"/>
      <c r="Q30" s="72"/>
      <c r="R30" s="66"/>
      <c r="S30" s="145">
        <f t="shared" si="2"/>
        <v>0</v>
      </c>
      <c r="T30" s="147">
        <f t="shared" si="3"/>
        <v>0</v>
      </c>
      <c r="U30" s="152">
        <f t="shared" si="4"/>
        <v>0</v>
      </c>
      <c r="V30" s="210"/>
      <c r="W30" s="145">
        <f t="shared" si="5"/>
        <v>0</v>
      </c>
      <c r="X30" s="548"/>
      <c r="Y30" s="468"/>
      <c r="Z30" s="114"/>
      <c r="AA30" s="114"/>
      <c r="AB30" s="114"/>
      <c r="AC30" s="114"/>
      <c r="AD30" s="114"/>
    </row>
    <row r="31" spans="1:30" s="68" customFormat="1" ht="15" customHeight="1" x14ac:dyDescent="0.25">
      <c r="A31" s="63" t="s">
        <v>8</v>
      </c>
      <c r="B31" s="69"/>
      <c r="C31" s="804" t="s">
        <v>385</v>
      </c>
      <c r="D31" s="805"/>
      <c r="E31" s="805"/>
      <c r="F31" s="945"/>
      <c r="G31" s="566" t="s">
        <v>31</v>
      </c>
      <c r="H31" s="81" t="s">
        <v>39</v>
      </c>
      <c r="I31" s="186">
        <v>4</v>
      </c>
      <c r="J31" s="147">
        <f>I31*30%</f>
        <v>1.2</v>
      </c>
      <c r="K31" s="147">
        <f>I31-J31</f>
        <v>2.8</v>
      </c>
      <c r="L31" s="147">
        <f>IF(A31="Y", K31*2%,0)</f>
        <v>5.5999999999999994E-2</v>
      </c>
      <c r="M31" s="152">
        <f>K31-L31</f>
        <v>2.7439999999999998</v>
      </c>
      <c r="N31" s="149"/>
      <c r="O31" s="804"/>
      <c r="P31" s="1078"/>
      <c r="Q31" s="72"/>
      <c r="R31" s="66"/>
      <c r="S31" s="140">
        <f>IF($S$43=0,,K31)</f>
        <v>0</v>
      </c>
      <c r="T31" s="147">
        <f t="shared" si="3"/>
        <v>0</v>
      </c>
      <c r="U31" s="152">
        <f t="shared" si="4"/>
        <v>0</v>
      </c>
      <c r="V31" s="210"/>
      <c r="W31" s="145">
        <f t="shared" si="5"/>
        <v>-2.7439999999999998</v>
      </c>
      <c r="X31" s="549"/>
      <c r="Y31" s="468"/>
      <c r="Z31" s="114"/>
      <c r="AA31" s="114"/>
      <c r="AB31" s="114"/>
      <c r="AC31" s="114"/>
      <c r="AD31" s="114"/>
    </row>
    <row r="32" spans="1:30" s="68" customFormat="1" ht="15.75" customHeight="1" x14ac:dyDescent="0.25">
      <c r="A32" s="63" t="s">
        <v>8</v>
      </c>
      <c r="B32" s="634">
        <f>'1-DUI (Reduce Base)'!$B$32</f>
        <v>2</v>
      </c>
      <c r="C32" s="804" t="s">
        <v>555</v>
      </c>
      <c r="D32" s="805"/>
      <c r="E32" s="945"/>
      <c r="F32" s="1008" t="s">
        <v>281</v>
      </c>
      <c r="G32" s="566" t="s">
        <v>31</v>
      </c>
      <c r="H32" s="71" t="s">
        <v>37</v>
      </c>
      <c r="I32" s="140">
        <f>$D$11*B32</f>
        <v>0</v>
      </c>
      <c r="J32" s="147">
        <f>I32*30%</f>
        <v>0</v>
      </c>
      <c r="K32" s="147">
        <f>I32-J32</f>
        <v>0</v>
      </c>
      <c r="L32" s="147">
        <f>IF(A32="Y", K32*2%,0)</f>
        <v>0</v>
      </c>
      <c r="M32" s="152">
        <f>K32-L32</f>
        <v>0</v>
      </c>
      <c r="N32" s="149"/>
      <c r="O32" s="804"/>
      <c r="P32" s="1078"/>
      <c r="Q32" s="72"/>
      <c r="R32" s="66"/>
      <c r="S32" s="145">
        <f>IF($S$43=0,,K32*$S$15)</f>
        <v>0</v>
      </c>
      <c r="T32" s="147">
        <f t="shared" si="3"/>
        <v>0</v>
      </c>
      <c r="U32" s="152">
        <f t="shared" si="4"/>
        <v>0</v>
      </c>
      <c r="V32" s="210"/>
      <c r="W32" s="145">
        <f t="shared" si="5"/>
        <v>0</v>
      </c>
      <c r="X32" s="622"/>
      <c r="Y32" s="468"/>
      <c r="Z32" s="114"/>
      <c r="AA32" s="114"/>
      <c r="AB32" s="114"/>
      <c r="AC32" s="114"/>
      <c r="AD32" s="114"/>
    </row>
    <row r="33" spans="1:30" s="68" customFormat="1" ht="15.75" customHeight="1" x14ac:dyDescent="0.25">
      <c r="A33" s="63" t="s">
        <v>8</v>
      </c>
      <c r="B33" s="164">
        <f>5-B32</f>
        <v>3</v>
      </c>
      <c r="C33" s="804" t="s">
        <v>556</v>
      </c>
      <c r="D33" s="805"/>
      <c r="E33" s="945"/>
      <c r="F33" s="1009"/>
      <c r="G33" s="566" t="s">
        <v>31</v>
      </c>
      <c r="H33" s="71" t="s">
        <v>197</v>
      </c>
      <c r="I33" s="140">
        <f>$D$11*B33</f>
        <v>0</v>
      </c>
      <c r="J33" s="147">
        <f>I33*30%</f>
        <v>0</v>
      </c>
      <c r="K33" s="147">
        <f>I33-J33</f>
        <v>0</v>
      </c>
      <c r="L33" s="147">
        <f>IF(A33="Y", K33*2%,0)</f>
        <v>0</v>
      </c>
      <c r="M33" s="152">
        <f>K33-L33</f>
        <v>0</v>
      </c>
      <c r="N33" s="149"/>
      <c r="O33" s="804"/>
      <c r="P33" s="1078"/>
      <c r="Q33" s="72"/>
      <c r="R33" s="66"/>
      <c r="S33" s="145">
        <f>IF($S$43=0,,K33*$S$15)</f>
        <v>0</v>
      </c>
      <c r="T33" s="147">
        <f t="shared" si="3"/>
        <v>0</v>
      </c>
      <c r="U33" s="152">
        <f t="shared" si="4"/>
        <v>0</v>
      </c>
      <c r="V33" s="210"/>
      <c r="W33" s="145">
        <f t="shared" si="5"/>
        <v>0</v>
      </c>
      <c r="X33" s="548"/>
      <c r="Y33" s="468"/>
      <c r="Z33" s="114"/>
      <c r="AA33" s="114"/>
      <c r="AB33" s="114"/>
      <c r="AC33" s="114"/>
      <c r="AD33" s="114"/>
    </row>
    <row r="34" spans="1:30" s="68" customFormat="1" ht="15.75" customHeight="1" x14ac:dyDescent="0.25">
      <c r="A34" s="63" t="s">
        <v>7</v>
      </c>
      <c r="B34" s="69"/>
      <c r="C34" s="804" t="s">
        <v>220</v>
      </c>
      <c r="D34" s="805"/>
      <c r="E34" s="805"/>
      <c r="F34" s="945"/>
      <c r="G34" s="566" t="s">
        <v>31</v>
      </c>
      <c r="H34" s="71" t="s">
        <v>10</v>
      </c>
      <c r="I34" s="140">
        <f>$D$10*20%</f>
        <v>0</v>
      </c>
      <c r="J34" s="147"/>
      <c r="K34" s="147">
        <f>I34-J34</f>
        <v>0</v>
      </c>
      <c r="L34" s="147">
        <f>IF(A34="Y", K34*2%,0)</f>
        <v>0</v>
      </c>
      <c r="M34" s="152">
        <f>K34-L34</f>
        <v>0</v>
      </c>
      <c r="N34" s="149"/>
      <c r="O34" s="804"/>
      <c r="P34" s="1078"/>
      <c r="Q34" s="72"/>
      <c r="R34" s="66"/>
      <c r="S34" s="145">
        <f>IF($S$43=0,,K34*$S$15)</f>
        <v>0</v>
      </c>
      <c r="T34" s="147">
        <f t="shared" si="3"/>
        <v>0</v>
      </c>
      <c r="U34" s="152">
        <f t="shared" si="4"/>
        <v>0</v>
      </c>
      <c r="V34" s="210"/>
      <c r="W34" s="145">
        <f t="shared" si="5"/>
        <v>0</v>
      </c>
      <c r="X34" s="548"/>
      <c r="Y34" s="455"/>
      <c r="Z34" s="114"/>
      <c r="AA34" s="114"/>
      <c r="AB34" s="114"/>
      <c r="AC34" s="114"/>
      <c r="AD34" s="114"/>
    </row>
    <row r="35" spans="1:30" s="80" customFormat="1" ht="15.75" customHeight="1" x14ac:dyDescent="0.25">
      <c r="A35" s="63"/>
      <c r="B35" s="76"/>
      <c r="C35" s="810" t="s">
        <v>221</v>
      </c>
      <c r="D35" s="811"/>
      <c r="E35" s="811"/>
      <c r="F35" s="946"/>
      <c r="G35" s="573"/>
      <c r="H35" s="78"/>
      <c r="I35" s="142">
        <f>SUM(I16:I34)</f>
        <v>4</v>
      </c>
      <c r="J35" s="247"/>
      <c r="K35" s="247">
        <f>SUM(K18:K34)</f>
        <v>4</v>
      </c>
      <c r="L35" s="147"/>
      <c r="M35" s="153">
        <f>SUM(M16:M34)</f>
        <v>3.92</v>
      </c>
      <c r="N35" s="150"/>
      <c r="O35" s="804"/>
      <c r="P35" s="1078"/>
      <c r="Q35" s="166">
        <f>SUM(Q16:Q34)</f>
        <v>0</v>
      </c>
      <c r="R35" s="111"/>
      <c r="S35" s="142">
        <f>IF(S43=0,,S43-SUM(S36:S40))</f>
        <v>0</v>
      </c>
      <c r="T35" s="147"/>
      <c r="U35" s="153">
        <f>SUM(U16:U34)</f>
        <v>0</v>
      </c>
      <c r="V35" s="211"/>
      <c r="W35" s="145">
        <f t="shared" si="5"/>
        <v>-3.92</v>
      </c>
      <c r="X35" s="548"/>
      <c r="Y35" s="456"/>
      <c r="Z35" s="129"/>
      <c r="AA35" s="129"/>
      <c r="AB35" s="129"/>
      <c r="AC35" s="129"/>
      <c r="AD35" s="129"/>
    </row>
    <row r="36" spans="1:30" s="68" customFormat="1" ht="15" customHeight="1" x14ac:dyDescent="0.25">
      <c r="A36" s="63" t="s">
        <v>7</v>
      </c>
      <c r="B36" s="69"/>
      <c r="C36" s="804" t="s">
        <v>419</v>
      </c>
      <c r="D36" s="805"/>
      <c r="E36" s="805"/>
      <c r="F36" s="945"/>
      <c r="G36" s="566" t="s">
        <v>31</v>
      </c>
      <c r="H36" s="81"/>
      <c r="I36" s="186">
        <v>40</v>
      </c>
      <c r="J36" s="147"/>
      <c r="K36" s="147">
        <f>I36</f>
        <v>40</v>
      </c>
      <c r="L36" s="147">
        <f>IF(A36="Y", I36*2%,0)</f>
        <v>0</v>
      </c>
      <c r="M36" s="152">
        <f>I36-L36</f>
        <v>40</v>
      </c>
      <c r="N36" s="149"/>
      <c r="O36" s="804"/>
      <c r="P36" s="1078"/>
      <c r="Q36" s="72"/>
      <c r="R36" s="66"/>
      <c r="S36" s="140">
        <f>IF($S$43=0,,I36)</f>
        <v>0</v>
      </c>
      <c r="T36" s="147">
        <f>IF(A36="Y", S36*2%,)</f>
        <v>0</v>
      </c>
      <c r="U36" s="152">
        <f>S36-T36</f>
        <v>0</v>
      </c>
      <c r="V36" s="210"/>
      <c r="W36" s="145">
        <f t="shared" ref="W36:W41" si="11">IF($W$15="BASE-UP   (B-A)", Q36-M36,Q36-U36)</f>
        <v>-40</v>
      </c>
      <c r="X36" s="548"/>
      <c r="Y36" s="455"/>
      <c r="Z36" s="114"/>
      <c r="AA36" s="114"/>
      <c r="AB36" s="114"/>
      <c r="AC36" s="114"/>
      <c r="AD36" s="114"/>
    </row>
    <row r="37" spans="1:30" s="68" customFormat="1" ht="15.75" customHeight="1" x14ac:dyDescent="0.25">
      <c r="A37" s="63" t="s">
        <v>7</v>
      </c>
      <c r="B37" s="69"/>
      <c r="C37" s="806" t="s">
        <v>259</v>
      </c>
      <c r="D37" s="807"/>
      <c r="E37" s="807"/>
      <c r="F37" s="944"/>
      <c r="G37" s="574" t="s">
        <v>31</v>
      </c>
      <c r="H37" s="82" t="s">
        <v>197</v>
      </c>
      <c r="I37" s="186">
        <v>35</v>
      </c>
      <c r="J37" s="147"/>
      <c r="K37" s="147">
        <f>I37</f>
        <v>35</v>
      </c>
      <c r="L37" s="147">
        <f>IF(A37="Y", I37*2%,0)</f>
        <v>0</v>
      </c>
      <c r="M37" s="152">
        <f>I37-L37</f>
        <v>35</v>
      </c>
      <c r="N37" s="149"/>
      <c r="O37" s="804"/>
      <c r="P37" s="1078"/>
      <c r="Q37" s="72"/>
      <c r="R37" s="66"/>
      <c r="S37" s="140">
        <f>IF($S$43=0,,I37)</f>
        <v>0</v>
      </c>
      <c r="T37" s="147">
        <f>IF(A37="Y", S37*2%,)</f>
        <v>0</v>
      </c>
      <c r="U37" s="152">
        <f>S37-T37</f>
        <v>0</v>
      </c>
      <c r="V37" s="210"/>
      <c r="W37" s="145">
        <f t="shared" si="11"/>
        <v>-35</v>
      </c>
      <c r="X37" s="548"/>
      <c r="Y37" s="455"/>
      <c r="Z37" s="114"/>
      <c r="AA37" s="114"/>
      <c r="AB37" s="114"/>
      <c r="AC37" s="114"/>
      <c r="AD37" s="114"/>
    </row>
    <row r="38" spans="1:30" s="68" customFormat="1" ht="15.75" customHeight="1" x14ac:dyDescent="0.25">
      <c r="A38" s="63" t="s">
        <v>7</v>
      </c>
      <c r="B38" s="83"/>
      <c r="C38" s="806" t="s">
        <v>421</v>
      </c>
      <c r="D38" s="807"/>
      <c r="E38" s="807"/>
      <c r="F38" s="944"/>
      <c r="G38" s="574" t="s">
        <v>230</v>
      </c>
      <c r="H38" s="82" t="s">
        <v>24</v>
      </c>
      <c r="I38" s="186"/>
      <c r="J38" s="147"/>
      <c r="K38" s="147">
        <f>I38</f>
        <v>0</v>
      </c>
      <c r="L38" s="147">
        <f>IF(A38="Y", I38*2%,0)</f>
        <v>0</v>
      </c>
      <c r="M38" s="152">
        <f>I38-L38</f>
        <v>0</v>
      </c>
      <c r="N38" s="149"/>
      <c r="O38" s="804"/>
      <c r="P38" s="1078"/>
      <c r="Q38" s="72"/>
      <c r="R38" s="66"/>
      <c r="S38" s="140">
        <f>IF($S$43=0,,I38)</f>
        <v>0</v>
      </c>
      <c r="T38" s="147">
        <f>IF(A38="Y", S38*2%,)</f>
        <v>0</v>
      </c>
      <c r="U38" s="152">
        <f>S38-T38</f>
        <v>0</v>
      </c>
      <c r="V38" s="210"/>
      <c r="W38" s="145">
        <f t="shared" si="11"/>
        <v>0</v>
      </c>
      <c r="X38" s="548"/>
      <c r="Y38" s="455"/>
      <c r="Z38" s="114"/>
      <c r="AA38" s="114"/>
      <c r="AB38" s="114"/>
      <c r="AC38" s="114"/>
      <c r="AD38" s="114"/>
    </row>
    <row r="39" spans="1:30" s="68" customFormat="1" ht="47.25" customHeight="1" x14ac:dyDescent="0.25">
      <c r="A39" s="63" t="s">
        <v>7</v>
      </c>
      <c r="B39" s="83"/>
      <c r="C39" s="804" t="s">
        <v>517</v>
      </c>
      <c r="D39" s="805"/>
      <c r="E39" s="805"/>
      <c r="F39" s="945"/>
      <c r="G39" s="574" t="s">
        <v>230</v>
      </c>
      <c r="H39" s="82" t="s">
        <v>82</v>
      </c>
      <c r="I39" s="186"/>
      <c r="J39" s="147"/>
      <c r="K39" s="147">
        <f>I39</f>
        <v>0</v>
      </c>
      <c r="L39" s="147">
        <f>IF(A39="Y", I39*2%,0)</f>
        <v>0</v>
      </c>
      <c r="M39" s="152">
        <f>I39-L39</f>
        <v>0</v>
      </c>
      <c r="N39" s="149"/>
      <c r="O39" s="804"/>
      <c r="P39" s="1078"/>
      <c r="Q39" s="72"/>
      <c r="R39" s="66"/>
      <c r="S39" s="140">
        <f>IF($S$43=0,,I39)</f>
        <v>0</v>
      </c>
      <c r="T39" s="147">
        <f>IF(A39="Y", S39*2%,)</f>
        <v>0</v>
      </c>
      <c r="U39" s="152">
        <f>S39-T39</f>
        <v>0</v>
      </c>
      <c r="V39" s="210"/>
      <c r="W39" s="145">
        <f t="shared" si="11"/>
        <v>0</v>
      </c>
      <c r="X39" s="548"/>
      <c r="Y39" s="455"/>
      <c r="Z39" s="114"/>
      <c r="AA39" s="114"/>
      <c r="AB39" s="114"/>
      <c r="AC39" s="114"/>
      <c r="AD39" s="114"/>
    </row>
    <row r="40" spans="1:30" s="68" customFormat="1" ht="15.75" customHeight="1" x14ac:dyDescent="0.25">
      <c r="A40" s="63" t="s">
        <v>7</v>
      </c>
      <c r="B40" s="83"/>
      <c r="C40" s="806" t="s">
        <v>225</v>
      </c>
      <c r="D40" s="807"/>
      <c r="E40" s="807"/>
      <c r="F40" s="944"/>
      <c r="G40" s="574" t="s">
        <v>31</v>
      </c>
      <c r="H40" s="82" t="s">
        <v>80</v>
      </c>
      <c r="I40" s="186"/>
      <c r="J40" s="147"/>
      <c r="K40" s="147">
        <f>I40</f>
        <v>0</v>
      </c>
      <c r="L40" s="147">
        <f>IF(A40="Y", I40*2%,0)</f>
        <v>0</v>
      </c>
      <c r="M40" s="152">
        <f>I40-L40</f>
        <v>0</v>
      </c>
      <c r="N40" s="149"/>
      <c r="O40" s="804"/>
      <c r="P40" s="1078"/>
      <c r="Q40" s="72"/>
      <c r="R40" s="66"/>
      <c r="S40" s="140">
        <f>IF($S$43=0,,I40)</f>
        <v>0</v>
      </c>
      <c r="T40" s="147">
        <f>IF(A40="Y", S40*2%,)</f>
        <v>0</v>
      </c>
      <c r="U40" s="152">
        <f>S40-T40</f>
        <v>0</v>
      </c>
      <c r="V40" s="210"/>
      <c r="W40" s="145">
        <f t="shared" si="11"/>
        <v>0</v>
      </c>
      <c r="X40" s="548"/>
      <c r="Y40" s="455"/>
      <c r="Z40" s="114"/>
      <c r="AA40" s="114"/>
      <c r="AB40" s="114"/>
      <c r="AC40" s="114"/>
      <c r="AD40" s="114"/>
    </row>
    <row r="41" spans="1:30" s="68" customFormat="1" ht="31.5" customHeight="1" x14ac:dyDescent="0.25">
      <c r="A41" s="83" t="s">
        <v>7</v>
      </c>
      <c r="B41" s="83"/>
      <c r="C41" s="804" t="s">
        <v>492</v>
      </c>
      <c r="D41" s="805"/>
      <c r="E41" s="805"/>
      <c r="F41" s="945"/>
      <c r="G41" s="574" t="s">
        <v>31</v>
      </c>
      <c r="H41" s="85" t="s">
        <v>41</v>
      </c>
      <c r="I41" s="86"/>
      <c r="J41" s="148"/>
      <c r="K41" s="148"/>
      <c r="L41" s="148"/>
      <c r="M41" s="154">
        <f>L42</f>
        <v>7.9999999999999988E-2</v>
      </c>
      <c r="N41" s="149"/>
      <c r="O41" s="804"/>
      <c r="P41" s="1078"/>
      <c r="Q41" s="72"/>
      <c r="R41" s="66"/>
      <c r="S41" s="93"/>
      <c r="T41" s="148"/>
      <c r="U41" s="154">
        <f>T42</f>
        <v>0</v>
      </c>
      <c r="V41" s="212"/>
      <c r="W41" s="145">
        <f t="shared" si="11"/>
        <v>-7.9999999999999988E-2</v>
      </c>
      <c r="X41" s="548"/>
      <c r="Y41" s="455"/>
      <c r="Z41" s="114"/>
      <c r="AA41" s="114"/>
      <c r="AB41" s="114"/>
      <c r="AC41" s="114"/>
      <c r="AD41" s="114"/>
    </row>
    <row r="42" spans="1:30" s="114" customFormat="1" ht="14.5" x14ac:dyDescent="0.25">
      <c r="A42" s="112"/>
      <c r="B42" s="112"/>
      <c r="C42" s="112"/>
      <c r="D42" s="112"/>
      <c r="E42" s="113"/>
      <c r="F42" s="113"/>
      <c r="J42" s="250">
        <f>SUM(J18:J41)</f>
        <v>1.2</v>
      </c>
      <c r="L42" s="115">
        <f>SUM(L16:L41)</f>
        <v>7.9999999999999988E-2</v>
      </c>
      <c r="M42" s="155"/>
      <c r="Q42" s="116"/>
      <c r="R42" s="117"/>
      <c r="T42" s="115">
        <f>SUM(T16:T41)</f>
        <v>0</v>
      </c>
      <c r="U42" s="155"/>
      <c r="V42" s="213"/>
      <c r="W42" s="165"/>
      <c r="X42" s="165"/>
      <c r="Y42" s="118"/>
    </row>
    <row r="43" spans="1:30" s="95" customFormat="1" ht="16" thickBot="1" x14ac:dyDescent="0.3">
      <c r="A43" s="130"/>
      <c r="B43" s="130"/>
      <c r="C43" s="130"/>
      <c r="D43" s="130"/>
      <c r="E43" s="119"/>
      <c r="F43" s="131" t="s">
        <v>81</v>
      </c>
      <c r="G43" s="132"/>
      <c r="H43" s="133" t="s">
        <v>1</v>
      </c>
      <c r="I43" s="134">
        <f>SUM(I35:I42)</f>
        <v>79</v>
      </c>
      <c r="J43" s="134"/>
      <c r="K43" s="134">
        <f>SUM(K35:K42)</f>
        <v>79</v>
      </c>
      <c r="L43" s="135"/>
      <c r="M43" s="156">
        <f>SUM(M35:M42)</f>
        <v>79</v>
      </c>
      <c r="N43" s="136"/>
      <c r="O43" s="130" t="s">
        <v>1</v>
      </c>
      <c r="P43" s="130"/>
      <c r="Q43" s="137">
        <f>SUM(Q35:Q42)</f>
        <v>0</v>
      </c>
      <c r="R43" s="136"/>
      <c r="S43" s="188"/>
      <c r="T43" s="135"/>
      <c r="U43" s="156">
        <f>SUM(U35:U42)</f>
        <v>0</v>
      </c>
      <c r="V43" s="214"/>
      <c r="W43" s="175">
        <f>SUM(W35:W42)</f>
        <v>-79</v>
      </c>
      <c r="X43" s="530"/>
      <c r="Y43" s="138"/>
    </row>
    <row r="44" spans="1:30" s="50" customFormat="1" ht="15.75" customHeight="1" thickTop="1" x14ac:dyDescent="0.25">
      <c r="A44" s="1140" t="s">
        <v>61</v>
      </c>
      <c r="B44" s="1140"/>
      <c r="C44" s="1140"/>
      <c r="D44" s="192"/>
      <c r="E44" s="121"/>
      <c r="F44" s="121"/>
      <c r="J44" s="122"/>
      <c r="K44" s="122"/>
      <c r="M44" s="123"/>
      <c r="N44" s="122"/>
      <c r="W44" s="124"/>
      <c r="X44" s="124"/>
      <c r="Y44" s="125"/>
    </row>
    <row r="45" spans="1:30" s="127" customFormat="1" ht="18" customHeight="1" x14ac:dyDescent="0.25">
      <c r="A45" s="624">
        <v>1</v>
      </c>
      <c r="B45" s="1137"/>
      <c r="C45" s="1138"/>
      <c r="D45" s="1138"/>
      <c r="E45" s="1138"/>
      <c r="F45" s="1138"/>
      <c r="G45" s="1138"/>
      <c r="H45" s="1138"/>
      <c r="I45" s="1138"/>
      <c r="J45" s="1138"/>
      <c r="K45" s="1138"/>
      <c r="L45" s="1138"/>
      <c r="M45" s="1138"/>
      <c r="N45" s="1138"/>
      <c r="O45" s="1138"/>
      <c r="P45" s="1138"/>
      <c r="Q45" s="1138"/>
      <c r="R45" s="1138"/>
      <c r="S45" s="1138"/>
      <c r="T45" s="1138"/>
      <c r="U45" s="1138"/>
      <c r="V45" s="1138"/>
      <c r="W45" s="1138"/>
      <c r="X45" s="1138"/>
      <c r="Y45" s="1139"/>
    </row>
    <row r="46" spans="1:30" s="127" customFormat="1" ht="18" customHeight="1" x14ac:dyDescent="0.25">
      <c r="A46" s="624">
        <v>2</v>
      </c>
      <c r="B46" s="1137"/>
      <c r="C46" s="1138"/>
      <c r="D46" s="1138"/>
      <c r="E46" s="1138"/>
      <c r="F46" s="1138"/>
      <c r="G46" s="1138"/>
      <c r="H46" s="1138"/>
      <c r="I46" s="1138"/>
      <c r="J46" s="1138"/>
      <c r="K46" s="1138"/>
      <c r="L46" s="1138"/>
      <c r="M46" s="1138"/>
      <c r="N46" s="1138"/>
      <c r="O46" s="1138"/>
      <c r="P46" s="1138"/>
      <c r="Q46" s="1138"/>
      <c r="R46" s="1138"/>
      <c r="S46" s="1138"/>
      <c r="T46" s="1138"/>
      <c r="U46" s="1138"/>
      <c r="V46" s="1138"/>
      <c r="W46" s="1138"/>
      <c r="X46" s="1138"/>
      <c r="Y46" s="1139"/>
    </row>
    <row r="47" spans="1:30" s="127" customFormat="1" ht="18" customHeight="1" x14ac:dyDescent="0.25">
      <c r="A47" s="624">
        <v>3</v>
      </c>
      <c r="B47" s="1137"/>
      <c r="C47" s="1138"/>
      <c r="D47" s="1138"/>
      <c r="E47" s="1138"/>
      <c r="F47" s="1138"/>
      <c r="G47" s="1138"/>
      <c r="H47" s="1138"/>
      <c r="I47" s="1138"/>
      <c r="J47" s="1138"/>
      <c r="K47" s="1138"/>
      <c r="L47" s="1138"/>
      <c r="M47" s="1138"/>
      <c r="N47" s="1138"/>
      <c r="O47" s="1138"/>
      <c r="P47" s="1138"/>
      <c r="Q47" s="1138"/>
      <c r="R47" s="1138"/>
      <c r="S47" s="1138"/>
      <c r="T47" s="1138"/>
      <c r="U47" s="1138"/>
      <c r="V47" s="1138"/>
      <c r="W47" s="1138"/>
      <c r="X47" s="1138"/>
      <c r="Y47" s="1139"/>
    </row>
    <row r="48" spans="1:30" s="50" customFormat="1" ht="21" customHeight="1" x14ac:dyDescent="0.25">
      <c r="A48" s="624">
        <v>4</v>
      </c>
      <c r="B48" s="1137"/>
      <c r="C48" s="1138"/>
      <c r="D48" s="1138"/>
      <c r="E48" s="1138"/>
      <c r="F48" s="1138"/>
      <c r="G48" s="1138"/>
      <c r="H48" s="1138"/>
      <c r="I48" s="1138"/>
      <c r="J48" s="1138"/>
      <c r="K48" s="1138"/>
      <c r="L48" s="1138"/>
      <c r="M48" s="1138"/>
      <c r="N48" s="1138"/>
      <c r="O48" s="1138"/>
      <c r="P48" s="1138"/>
      <c r="Q48" s="1138"/>
      <c r="R48" s="1138"/>
      <c r="S48" s="1138"/>
      <c r="T48" s="1138"/>
      <c r="U48" s="1138"/>
      <c r="V48" s="1138"/>
      <c r="W48" s="1138"/>
      <c r="X48" s="1138"/>
      <c r="Y48" s="1139"/>
    </row>
  </sheetData>
  <sheetProtection insertRows="0"/>
  <mergeCells count="123">
    <mergeCell ref="B45:Y45"/>
    <mergeCell ref="B46:Y46"/>
    <mergeCell ref="A9:C9"/>
    <mergeCell ref="D9:E9"/>
    <mergeCell ref="O9:P9"/>
    <mergeCell ref="J9:N9"/>
    <mergeCell ref="S8:Y9"/>
    <mergeCell ref="L14:L15"/>
    <mergeCell ref="X14:X15"/>
    <mergeCell ref="Y14:Y15"/>
    <mergeCell ref="F9:I9"/>
    <mergeCell ref="F8:I8"/>
    <mergeCell ref="O20:P20"/>
    <mergeCell ref="C21:F21"/>
    <mergeCell ref="O21:P21"/>
    <mergeCell ref="C22:F22"/>
    <mergeCell ref="O22:P22"/>
    <mergeCell ref="C23:F23"/>
    <mergeCell ref="O23:P23"/>
    <mergeCell ref="C24:F24"/>
    <mergeCell ref="C16:F16"/>
    <mergeCell ref="O16:P16"/>
    <mergeCell ref="C17:F17"/>
    <mergeCell ref="O17:P17"/>
    <mergeCell ref="C36:F36"/>
    <mergeCell ref="O36:P36"/>
    <mergeCell ref="O6:P6"/>
    <mergeCell ref="S6:Y6"/>
    <mergeCell ref="F6:I6"/>
    <mergeCell ref="A5:C5"/>
    <mergeCell ref="D5:E5"/>
    <mergeCell ref="O5:P5"/>
    <mergeCell ref="S5:Y5"/>
    <mergeCell ref="F5:I5"/>
    <mergeCell ref="J5:N5"/>
    <mergeCell ref="J6:N6"/>
    <mergeCell ref="A6:C6"/>
    <mergeCell ref="D6:E6"/>
    <mergeCell ref="A8:C8"/>
    <mergeCell ref="D8:E8"/>
    <mergeCell ref="O8:P8"/>
    <mergeCell ref="A10:C10"/>
    <mergeCell ref="D10:E10"/>
    <mergeCell ref="O10:P10"/>
    <mergeCell ref="J7:N7"/>
    <mergeCell ref="J8:N8"/>
    <mergeCell ref="F10:I10"/>
    <mergeCell ref="F7:I7"/>
    <mergeCell ref="A1:M1"/>
    <mergeCell ref="S3:Y3"/>
    <mergeCell ref="A4:C4"/>
    <mergeCell ref="D4:E4"/>
    <mergeCell ref="O4:P4"/>
    <mergeCell ref="S4:Y4"/>
    <mergeCell ref="F4:I4"/>
    <mergeCell ref="J4:N4"/>
    <mergeCell ref="N1:W1"/>
    <mergeCell ref="A3:Q3"/>
    <mergeCell ref="J10:N10"/>
    <mergeCell ref="D7:E7"/>
    <mergeCell ref="A7:C7"/>
    <mergeCell ref="O14:P14"/>
    <mergeCell ref="T14:T15"/>
    <mergeCell ref="O15:P15"/>
    <mergeCell ref="J14:J15"/>
    <mergeCell ref="I14:I15"/>
    <mergeCell ref="K14:K15"/>
    <mergeCell ref="C14:F15"/>
    <mergeCell ref="S10:Y10"/>
    <mergeCell ref="A11:C11"/>
    <mergeCell ref="D11:E11"/>
    <mergeCell ref="S11:Y11"/>
    <mergeCell ref="O13:Q13"/>
    <mergeCell ref="S13:U13"/>
    <mergeCell ref="J11:N11"/>
    <mergeCell ref="K13:M13"/>
    <mergeCell ref="F11:I11"/>
    <mergeCell ref="S7:Y7"/>
    <mergeCell ref="O11:P11"/>
    <mergeCell ref="O32:P32"/>
    <mergeCell ref="C33:E33"/>
    <mergeCell ref="O33:P33"/>
    <mergeCell ref="C18:F18"/>
    <mergeCell ref="O18:P18"/>
    <mergeCell ref="C19:F19"/>
    <mergeCell ref="O19:P19"/>
    <mergeCell ref="C20:F20"/>
    <mergeCell ref="O24:P24"/>
    <mergeCell ref="C25:D25"/>
    <mergeCell ref="E25:F29"/>
    <mergeCell ref="O25:P25"/>
    <mergeCell ref="C26:D26"/>
    <mergeCell ref="O26:P26"/>
    <mergeCell ref="C27:D27"/>
    <mergeCell ref="O27:P27"/>
    <mergeCell ref="C29:D29"/>
    <mergeCell ref="O29:P29"/>
    <mergeCell ref="C28:D28"/>
    <mergeCell ref="O28:P28"/>
    <mergeCell ref="B48:Y48"/>
    <mergeCell ref="A44:C44"/>
    <mergeCell ref="B47:Y47"/>
    <mergeCell ref="B19:B20"/>
    <mergeCell ref="C39:F39"/>
    <mergeCell ref="O39:P39"/>
    <mergeCell ref="C40:F40"/>
    <mergeCell ref="O40:P40"/>
    <mergeCell ref="C41:F41"/>
    <mergeCell ref="O41:P41"/>
    <mergeCell ref="C37:F37"/>
    <mergeCell ref="O37:P37"/>
    <mergeCell ref="C38:F38"/>
    <mergeCell ref="O38:P38"/>
    <mergeCell ref="C34:F34"/>
    <mergeCell ref="O34:P34"/>
    <mergeCell ref="C35:F35"/>
    <mergeCell ref="O35:P35"/>
    <mergeCell ref="C31:F31"/>
    <mergeCell ref="O31:P31"/>
    <mergeCell ref="C30:F30"/>
    <mergeCell ref="O30:P30"/>
    <mergeCell ref="C32:E32"/>
    <mergeCell ref="F32:F33"/>
  </mergeCells>
  <conditionalFormatting sqref="E25">
    <cfRule type="cellIs" dxfId="101" priority="1" operator="notEqual">
      <formula>"GC 76000 PA ($" &amp;Q11&amp;" for every 10) breakdown per local board of supervisor resolution (BOS)."</formula>
    </cfRule>
  </conditionalFormatting>
  <conditionalFormatting sqref="I16:I18">
    <cfRule type="cellIs" dxfId="100" priority="14" stopIfTrue="1" operator="equal">
      <formula>0</formula>
    </cfRule>
  </conditionalFormatting>
  <conditionalFormatting sqref="I18:I30 J18:M41 I32:I35">
    <cfRule type="cellIs" dxfId="99" priority="11" operator="equal">
      <formula>0</formula>
    </cfRule>
  </conditionalFormatting>
  <conditionalFormatting sqref="O16:Q41">
    <cfRule type="expression" dxfId="98" priority="12">
      <formula>MOD(ROW(),2)=0</formula>
    </cfRule>
  </conditionalFormatting>
  <conditionalFormatting sqref="S16:U41">
    <cfRule type="cellIs" dxfId="97" priority="18" stopIfTrue="1" operator="equal">
      <formula>0</formula>
    </cfRule>
  </conditionalFormatting>
  <conditionalFormatting sqref="W12:X13 W44:X44 W49:X65532">
    <cfRule type="cellIs" dxfId="96" priority="16" stopIfTrue="1" operator="notEqual">
      <formula>0</formula>
    </cfRule>
  </conditionalFormatting>
  <conditionalFormatting sqref="X18:X41">
    <cfRule type="cellIs" dxfId="95" priority="2" operator="greaterThan">
      <formula>0</formula>
    </cfRule>
  </conditionalFormatting>
  <dataValidations count="1">
    <dataValidation type="list" allowBlank="1" showInputMessage="1" showErrorMessage="1" sqref="W15" xr:uid="{00000000-0002-0000-1800-000000000000}">
      <formula1>Distribution_Method</formula1>
    </dataValidation>
  </dataValidations>
  <printOptions horizontalCentered="1"/>
  <pageMargins left="0.25" right="0.25" top="0.75" bottom="0.5" header="0.25" footer="0.25"/>
  <pageSetup scale="64" orientation="landscape" r:id="rId1"/>
  <headerFooter alignWithMargins="0">
    <oddHeader>&amp;CSUPERIOR OF COURT OF _________ COUNTY
Revenue Calculation and Distribution Worksheet</oddHeader>
    <oddFooter>&amp;L&amp;F&amp;R&amp;P of &amp;N</oddFooter>
  </headerFooter>
  <ignoredErrors>
    <ignoredError sqref="L19:L34 S31 U35"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57697" r:id="rId4" name="Button 1">
              <controlPr defaultSize="0" print="0" autoFill="0" autoPict="0" macro="mcr_GoToSummary">
                <anchor moveWithCells="1">
                  <from>
                    <xdr:col>0</xdr:col>
                    <xdr:colOff>88900</xdr:colOff>
                    <xdr:row>0</xdr:row>
                    <xdr:rowOff>0</xdr:rowOff>
                  </from>
                  <to>
                    <xdr:col>3</xdr:col>
                    <xdr:colOff>127000</xdr:colOff>
                    <xdr:row>1</xdr:row>
                    <xdr:rowOff>31750</xdr:rowOff>
                  </to>
                </anchor>
              </controlPr>
            </control>
          </mc:Choice>
        </mc:AlternateContent>
        <mc:AlternateContent xmlns:mc="http://schemas.openxmlformats.org/markup-compatibility/2006">
          <mc:Choice Requires="x14">
            <control shapeId="157698" r:id="rId5" name="Button 2">
              <controlPr defaultSize="0" print="0" autoFill="0" autoPict="0" macro="[0]!mcrDisableTwoPercentUnprotect">
                <anchor moveWithCells="1">
                  <from>
                    <xdr:col>0</xdr:col>
                    <xdr:colOff>12700</xdr:colOff>
                    <xdr:row>13</xdr:row>
                    <xdr:rowOff>527050</xdr:rowOff>
                  </from>
                  <to>
                    <xdr:col>0</xdr:col>
                    <xdr:colOff>279400</xdr:colOff>
                    <xdr:row>14</xdr:row>
                    <xdr:rowOff>222250</xdr:rowOff>
                  </to>
                </anchor>
              </controlPr>
            </control>
          </mc:Choice>
        </mc:AlternateContent>
        <mc:AlternateContent xmlns:mc="http://schemas.openxmlformats.org/markup-compatibility/2006">
          <mc:Choice Requires="x14">
            <control shapeId="157699" r:id="rId6" name="Button 3">
              <controlPr defaultSize="0" print="0" autoFill="0" autoPict="0" macro="[0]!mcrEnableTwoPercentUnprotect">
                <anchor moveWithCells="1">
                  <from>
                    <xdr:col>0</xdr:col>
                    <xdr:colOff>0</xdr:colOff>
                    <xdr:row>13</xdr:row>
                    <xdr:rowOff>222250</xdr:rowOff>
                  </from>
                  <to>
                    <xdr:col>0</xdr:col>
                    <xdr:colOff>266700</xdr:colOff>
                    <xdr:row>13</xdr:row>
                    <xdr:rowOff>552450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tabColor theme="6"/>
    <pageSetUpPr fitToPage="1"/>
  </sheetPr>
  <dimension ref="A1:AD53"/>
  <sheetViews>
    <sheetView zoomScale="80" zoomScaleNormal="80" workbookViewId="0">
      <pane ySplit="1" topLeftCell="A2" activePane="bottomLeft" state="frozen"/>
      <selection pane="bottomLeft" sqref="A1:M1"/>
    </sheetView>
  </sheetViews>
  <sheetFormatPr defaultColWidth="9.1796875" defaultRowHeight="18.5" x14ac:dyDescent="0.25"/>
  <cols>
    <col min="1" max="1" width="4.26953125" style="87" customWidth="1"/>
    <col min="2" max="2" width="4.7265625" style="87" customWidth="1"/>
    <col min="3" max="3" width="13.54296875" style="87" customWidth="1"/>
    <col min="4" max="4" width="12" style="87" customWidth="1"/>
    <col min="5" max="5" width="11.26953125" style="88" customWidth="1"/>
    <col min="6" max="6" width="18.1796875" style="121" customWidth="1"/>
    <col min="7" max="7" width="9.1796875" style="46" customWidth="1"/>
    <col min="8" max="8" width="29.453125" style="46" hidden="1" customWidth="1"/>
    <col min="9" max="10" width="8.1796875" style="46" customWidth="1"/>
    <col min="11" max="11" width="8.54296875" style="46" hidden="1" customWidth="1"/>
    <col min="12" max="12" width="6" style="46" hidden="1" customWidth="1"/>
    <col min="13" max="13" width="15.54296875" style="92" customWidth="1"/>
    <col min="14" max="14" width="1.7265625" style="89" customWidth="1"/>
    <col min="15" max="15" width="15.26953125" style="46" customWidth="1"/>
    <col min="16" max="16" width="1.54296875" style="46" customWidth="1"/>
    <col min="17" max="17" width="11" style="46" customWidth="1"/>
    <col min="18" max="18" width="1.81640625" style="89" customWidth="1"/>
    <col min="19" max="19" width="11.81640625" style="89" customWidth="1"/>
    <col min="20" max="20" width="5.7265625" style="89" hidden="1" customWidth="1"/>
    <col min="21" max="21" width="14.7265625" style="89" hidden="1" customWidth="1"/>
    <col min="22" max="22" width="1.81640625" style="50" customWidth="1"/>
    <col min="23" max="23" width="12.453125" style="90" customWidth="1"/>
    <col min="24" max="24" width="5.453125" style="90" customWidth="1"/>
    <col min="25" max="25" width="21.26953125" style="91" customWidth="1"/>
    <col min="26" max="26" width="2.1796875" style="50" customWidth="1"/>
    <col min="27" max="27" width="11.26953125" style="50" customWidth="1"/>
    <col min="28" max="28" width="11.1796875" style="50" customWidth="1"/>
    <col min="29" max="30" width="9.1796875" style="50"/>
    <col min="31" max="16384" width="9.1796875" style="46"/>
  </cols>
  <sheetData>
    <row r="1" spans="1:30" ht="20.25" customHeight="1" thickBot="1" x14ac:dyDescent="0.3">
      <c r="A1" s="1081" t="s">
        <v>433</v>
      </c>
      <c r="B1" s="1082"/>
      <c r="C1" s="1082"/>
      <c r="D1" s="1082"/>
      <c r="E1" s="1082"/>
      <c r="F1" s="1082"/>
      <c r="G1" s="1082"/>
      <c r="H1" s="1082"/>
      <c r="I1" s="1082"/>
      <c r="J1" s="1082"/>
      <c r="K1" s="1082"/>
      <c r="L1" s="1082"/>
      <c r="M1" s="1082"/>
      <c r="N1" s="1079"/>
      <c r="O1" s="1079"/>
      <c r="P1" s="1079"/>
      <c r="Q1" s="1079"/>
      <c r="R1" s="1079"/>
      <c r="S1" s="1079"/>
      <c r="T1" s="1079"/>
      <c r="U1" s="1079"/>
      <c r="V1" s="1079"/>
      <c r="W1" s="1079"/>
      <c r="X1" s="594" t="s">
        <v>486</v>
      </c>
      <c r="Y1" s="612" t="str">
        <f>'Cover Page'!A3</f>
        <v>January 2014</v>
      </c>
    </row>
    <row r="2" spans="1:30" s="50" customFormat="1" ht="6" customHeight="1" thickBot="1" x14ac:dyDescent="0.3">
      <c r="A2" s="47"/>
      <c r="B2" s="47"/>
      <c r="C2" s="47"/>
      <c r="D2" s="47"/>
      <c r="E2" s="47"/>
      <c r="F2" s="47"/>
      <c r="G2" s="47"/>
      <c r="H2" s="47"/>
      <c r="I2" s="47"/>
      <c r="J2" s="47"/>
      <c r="K2" s="47"/>
      <c r="L2" s="48"/>
      <c r="M2" s="48"/>
      <c r="N2" s="48"/>
      <c r="O2" s="48"/>
      <c r="P2" s="48"/>
      <c r="Q2" s="49"/>
      <c r="R2" s="49"/>
      <c r="S2" s="49"/>
      <c r="T2" s="49"/>
      <c r="U2" s="49"/>
      <c r="V2" s="49"/>
      <c r="W2" s="49"/>
      <c r="X2" s="49"/>
      <c r="Y2" s="49"/>
    </row>
    <row r="3" spans="1:30" s="50" customFormat="1" ht="19" thickBot="1" x14ac:dyDescent="0.3">
      <c r="A3" s="630" t="s">
        <v>234</v>
      </c>
      <c r="B3" s="631"/>
      <c r="C3" s="631"/>
      <c r="D3" s="631"/>
      <c r="E3" s="631"/>
      <c r="F3" s="631"/>
      <c r="G3" s="631"/>
      <c r="H3" s="631"/>
      <c r="I3" s="631"/>
      <c r="J3" s="631"/>
      <c r="K3" s="631"/>
      <c r="L3" s="631"/>
      <c r="M3" s="631"/>
      <c r="N3" s="631"/>
      <c r="O3" s="1221"/>
      <c r="P3" s="1222"/>
      <c r="Q3" s="638"/>
      <c r="R3" s="253"/>
      <c r="S3" s="901" t="s">
        <v>261</v>
      </c>
      <c r="T3" s="902"/>
      <c r="U3" s="902"/>
      <c r="V3" s="902"/>
      <c r="W3" s="902"/>
      <c r="X3" s="902"/>
      <c r="Y3" s="903"/>
      <c r="AA3" s="159" t="s">
        <v>250</v>
      </c>
      <c r="AB3" s="120"/>
    </row>
    <row r="4" spans="1:30" s="53" customFormat="1" ht="15.5" x14ac:dyDescent="0.25">
      <c r="A4" s="904" t="s">
        <v>231</v>
      </c>
      <c r="B4" s="905"/>
      <c r="C4" s="905"/>
      <c r="D4" s="906">
        <f>N1</f>
        <v>0</v>
      </c>
      <c r="E4" s="907"/>
      <c r="F4" s="877" t="s">
        <v>28</v>
      </c>
      <c r="G4" s="881"/>
      <c r="H4" s="169"/>
      <c r="I4" s="983"/>
      <c r="J4" s="908"/>
      <c r="K4" s="908"/>
      <c r="L4" s="908"/>
      <c r="M4" s="908"/>
      <c r="N4" s="909"/>
      <c r="O4" s="910" t="s">
        <v>257</v>
      </c>
      <c r="P4" s="910"/>
      <c r="Q4" s="191"/>
      <c r="R4" s="254"/>
      <c r="S4" s="911" t="s">
        <v>236</v>
      </c>
      <c r="T4" s="912"/>
      <c r="U4" s="912"/>
      <c r="V4" s="912"/>
      <c r="W4" s="912"/>
      <c r="X4" s="912"/>
      <c r="Y4" s="913"/>
      <c r="AA4" s="243" t="s">
        <v>308</v>
      </c>
      <c r="AB4" s="241" t="s">
        <v>309</v>
      </c>
      <c r="AC4" s="241" t="s">
        <v>310</v>
      </c>
    </row>
    <row r="5" spans="1:30" s="53" customFormat="1" ht="15.5" x14ac:dyDescent="0.25">
      <c r="A5" s="882" t="s">
        <v>4</v>
      </c>
      <c r="B5" s="883"/>
      <c r="C5" s="883"/>
      <c r="D5" s="894"/>
      <c r="E5" s="885"/>
      <c r="F5" s="844" t="s">
        <v>244</v>
      </c>
      <c r="G5" s="872"/>
      <c r="H5" s="167"/>
      <c r="I5" s="884"/>
      <c r="J5" s="895"/>
      <c r="K5" s="895"/>
      <c r="L5" s="895"/>
      <c r="M5" s="895"/>
      <c r="N5" s="896"/>
      <c r="O5" s="872" t="s">
        <v>22</v>
      </c>
      <c r="P5" s="872"/>
      <c r="Q5" s="54"/>
      <c r="R5" s="254"/>
      <c r="S5" s="897" t="s">
        <v>302</v>
      </c>
      <c r="T5" s="898"/>
      <c r="U5" s="898"/>
      <c r="V5" s="898"/>
      <c r="W5" s="898"/>
      <c r="X5" s="898"/>
      <c r="Y5" s="899"/>
      <c r="AA5" s="157" t="s">
        <v>31</v>
      </c>
      <c r="AB5" s="161">
        <f>SUMIF($G$17:$G$46,"STATE",$M$17:$M$46)</f>
        <v>105.78999999999999</v>
      </c>
      <c r="AC5" s="161">
        <f>SUMIF($G$17:$G$46,"STATE",$U$17:$U$46)</f>
        <v>0</v>
      </c>
    </row>
    <row r="6" spans="1:30" s="53" customFormat="1" ht="16" thickBot="1" x14ac:dyDescent="0.3">
      <c r="A6" s="882" t="s">
        <v>12</v>
      </c>
      <c r="B6" s="883"/>
      <c r="C6" s="883"/>
      <c r="D6" s="894"/>
      <c r="E6" s="900"/>
      <c r="F6" s="844" t="s">
        <v>20</v>
      </c>
      <c r="G6" s="872"/>
      <c r="H6" s="167"/>
      <c r="I6" s="884" t="s">
        <v>317</v>
      </c>
      <c r="J6" s="895"/>
      <c r="K6" s="895"/>
      <c r="L6" s="895"/>
      <c r="M6" s="895"/>
      <c r="N6" s="896"/>
      <c r="O6" s="848" t="s">
        <v>233</v>
      </c>
      <c r="P6" s="848"/>
      <c r="Q6" s="194">
        <f>Q4+Q5*10</f>
        <v>0</v>
      </c>
      <c r="R6" s="254"/>
      <c r="S6" s="891" t="s">
        <v>573</v>
      </c>
      <c r="T6" s="892"/>
      <c r="U6" s="892"/>
      <c r="V6" s="892"/>
      <c r="W6" s="892"/>
      <c r="X6" s="892"/>
      <c r="Y6" s="893"/>
      <c r="AA6" s="157" t="s">
        <v>32</v>
      </c>
      <c r="AB6" s="161">
        <f>SUMIF($G$17:$G$46,"COUNTY",$M$17:$M$46)</f>
        <v>25.209999999999997</v>
      </c>
      <c r="AC6" s="161">
        <f>SUMIF($G$17:$G$46,"COUNTY",$U$17:$U$46)</f>
        <v>0</v>
      </c>
    </row>
    <row r="7" spans="1:30" s="53" customFormat="1" ht="16" thickBot="1" x14ac:dyDescent="0.3">
      <c r="A7" s="882" t="s">
        <v>5</v>
      </c>
      <c r="B7" s="883"/>
      <c r="C7" s="883"/>
      <c r="D7" s="884"/>
      <c r="E7" s="885"/>
      <c r="F7" s="856" t="s">
        <v>21</v>
      </c>
      <c r="G7" s="1176"/>
      <c r="H7" s="168"/>
      <c r="I7" s="1068" t="s">
        <v>66</v>
      </c>
      <c r="J7" s="886"/>
      <c r="K7" s="886"/>
      <c r="L7" s="886"/>
      <c r="M7" s="886"/>
      <c r="N7" s="887"/>
      <c r="O7" s="216"/>
      <c r="P7" s="220"/>
      <c r="Q7" s="217"/>
      <c r="R7" s="254"/>
      <c r="S7" s="888" t="s">
        <v>235</v>
      </c>
      <c r="T7" s="889"/>
      <c r="U7" s="889"/>
      <c r="V7" s="889"/>
      <c r="W7" s="889"/>
      <c r="X7" s="889"/>
      <c r="Y7" s="890"/>
      <c r="AA7" s="157" t="s">
        <v>52</v>
      </c>
      <c r="AB7" s="161">
        <f>SUMIF($G$17:$G$46,"CITY",$M$17:$M$46)</f>
        <v>0</v>
      </c>
      <c r="AC7" s="161">
        <f>SUMIF($G$17:$G$46,"CITY",$U$17:$U$46)</f>
        <v>0</v>
      </c>
    </row>
    <row r="8" spans="1:30" s="53" customFormat="1" ht="15.75" customHeight="1" x14ac:dyDescent="0.25">
      <c r="A8" s="873" t="s">
        <v>54</v>
      </c>
      <c r="B8" s="874"/>
      <c r="C8" s="874"/>
      <c r="D8" s="1163">
        <v>1</v>
      </c>
      <c r="E8" s="1184"/>
      <c r="F8" s="877" t="s">
        <v>253</v>
      </c>
      <c r="G8" s="881"/>
      <c r="H8" s="169"/>
      <c r="I8" s="1188"/>
      <c r="J8" s="1189"/>
      <c r="K8" s="1189"/>
      <c r="L8" s="1189"/>
      <c r="M8" s="1189"/>
      <c r="N8" s="1190"/>
      <c r="O8" s="881" t="s">
        <v>257</v>
      </c>
      <c r="P8" s="881"/>
      <c r="Q8" s="51"/>
      <c r="R8" s="255"/>
      <c r="S8" s="862" t="s">
        <v>303</v>
      </c>
      <c r="T8" s="863"/>
      <c r="U8" s="863"/>
      <c r="V8" s="863"/>
      <c r="W8" s="863"/>
      <c r="X8" s="863"/>
      <c r="Y8" s="864"/>
      <c r="AA8" s="157" t="s">
        <v>230</v>
      </c>
      <c r="AB8" s="161">
        <f>SUMIF($G$17:$G$46,"COURT",$M$17:$M$46)</f>
        <v>0</v>
      </c>
      <c r="AC8" s="161">
        <f>SUMIF($G$17:$G$46,"COURT",$U$17:$U$46)</f>
        <v>0</v>
      </c>
    </row>
    <row r="9" spans="1:30" s="53" customFormat="1" ht="18" customHeight="1" thickBot="1" x14ac:dyDescent="0.3">
      <c r="A9" s="868" t="s">
        <v>53</v>
      </c>
      <c r="B9" s="869"/>
      <c r="C9" s="869"/>
      <c r="D9" s="870">
        <f>100%-D8</f>
        <v>0</v>
      </c>
      <c r="E9" s="871"/>
      <c r="F9" s="844" t="s">
        <v>244</v>
      </c>
      <c r="G9" s="872"/>
      <c r="H9" s="167"/>
      <c r="I9" s="1191"/>
      <c r="J9" s="1192"/>
      <c r="K9" s="1192"/>
      <c r="L9" s="1192"/>
      <c r="M9" s="1192"/>
      <c r="N9" s="1193"/>
      <c r="O9" s="872" t="s">
        <v>22</v>
      </c>
      <c r="P9" s="872"/>
      <c r="Q9" s="54"/>
      <c r="R9" s="255"/>
      <c r="S9" s="865"/>
      <c r="T9" s="866"/>
      <c r="U9" s="866"/>
      <c r="V9" s="866"/>
      <c r="W9" s="866"/>
      <c r="X9" s="866"/>
      <c r="Y9" s="867"/>
      <c r="AA9" s="84" t="s">
        <v>446</v>
      </c>
      <c r="AB9" s="161">
        <f>SUMIF($G$17:$G$46,"CNTY or CTY",$M$17:$M$46)</f>
        <v>0</v>
      </c>
      <c r="AC9" s="161">
        <f>SUMIF($G$17:$G$46,"CNTY or CTY",$U$17:$U$46)</f>
        <v>0</v>
      </c>
    </row>
    <row r="10" spans="1:30" s="53" customFormat="1" ht="16.5" customHeight="1" thickBot="1" x14ac:dyDescent="0.3">
      <c r="A10" s="840" t="s">
        <v>276</v>
      </c>
      <c r="B10" s="841"/>
      <c r="C10" s="841"/>
      <c r="D10" s="1066">
        <f>Q6+Q10</f>
        <v>0</v>
      </c>
      <c r="E10" s="1067"/>
      <c r="F10" s="844" t="s">
        <v>20</v>
      </c>
      <c r="G10" s="872"/>
      <c r="H10" s="167"/>
      <c r="I10" s="1191"/>
      <c r="J10" s="1192"/>
      <c r="K10" s="1192"/>
      <c r="L10" s="1192"/>
      <c r="M10" s="1192"/>
      <c r="N10" s="1193"/>
      <c r="O10" s="848" t="s">
        <v>233</v>
      </c>
      <c r="P10" s="848"/>
      <c r="Q10" s="194">
        <f>Q8+Q9*10</f>
        <v>0</v>
      </c>
      <c r="R10" s="256"/>
      <c r="S10" s="849" t="s">
        <v>239</v>
      </c>
      <c r="T10" s="850"/>
      <c r="U10" s="850"/>
      <c r="V10" s="850"/>
      <c r="W10" s="850"/>
      <c r="X10" s="850"/>
      <c r="Y10" s="851"/>
      <c r="AA10" s="158" t="s">
        <v>246</v>
      </c>
      <c r="AB10" s="134">
        <f>SUM(AB5:AB9)</f>
        <v>131</v>
      </c>
      <c r="AC10" s="134">
        <f>SUM(AC5:AC9)</f>
        <v>0</v>
      </c>
    </row>
    <row r="11" spans="1:30" s="53" customFormat="1" ht="16.5" customHeight="1" thickBot="1" x14ac:dyDescent="0.3">
      <c r="A11" s="852" t="s">
        <v>277</v>
      </c>
      <c r="B11" s="853"/>
      <c r="C11" s="853"/>
      <c r="D11" s="854">
        <f>ROUNDUP(D10/10,0)</f>
        <v>0</v>
      </c>
      <c r="E11" s="855"/>
      <c r="F11" s="856" t="s">
        <v>21</v>
      </c>
      <c r="G11" s="1176"/>
      <c r="H11" s="168"/>
      <c r="I11" s="1218"/>
      <c r="J11" s="1219"/>
      <c r="K11" s="1219"/>
      <c r="L11" s="1219"/>
      <c r="M11" s="1219"/>
      <c r="N11" s="1220"/>
      <c r="O11" s="860" t="s">
        <v>568</v>
      </c>
      <c r="P11" s="861"/>
      <c r="Q11" s="632">
        <f>'1-DUI (Reduce Base)'!P11</f>
        <v>5</v>
      </c>
      <c r="R11" s="256"/>
      <c r="S11" s="837" t="s">
        <v>430</v>
      </c>
      <c r="T11" s="838"/>
      <c r="U11" s="838"/>
      <c r="V11" s="838"/>
      <c r="W11" s="838"/>
      <c r="X11" s="838"/>
      <c r="Y11" s="839"/>
      <c r="AB11" s="242">
        <f>AB10-M48</f>
        <v>0</v>
      </c>
      <c r="AC11" s="242">
        <f>AC10-U48</f>
        <v>0</v>
      </c>
    </row>
    <row r="12" spans="1:30" s="53" customFormat="1" ht="15.75" customHeight="1" thickBot="1" x14ac:dyDescent="0.3">
      <c r="A12" s="193"/>
      <c r="B12" s="193"/>
      <c r="C12" s="173"/>
      <c r="D12" s="173"/>
      <c r="E12" s="173"/>
      <c r="F12" s="60"/>
      <c r="G12" s="55"/>
      <c r="H12" s="56"/>
      <c r="I12" s="57"/>
      <c r="J12" s="57"/>
      <c r="K12" s="57"/>
      <c r="L12" s="57"/>
      <c r="M12" s="57"/>
      <c r="N12" s="57"/>
      <c r="Q12" s="52"/>
      <c r="R12" s="52"/>
      <c r="S12" s="52"/>
      <c r="T12" s="52"/>
      <c r="U12" s="52"/>
      <c r="V12" s="52"/>
      <c r="W12" s="58"/>
      <c r="X12" s="58"/>
      <c r="Y12" s="56"/>
      <c r="AC12" s="59"/>
    </row>
    <row r="13" spans="1:30" s="98" customFormat="1" ht="33.75" customHeight="1" thickBot="1" x14ac:dyDescent="0.3">
      <c r="A13" s="174"/>
      <c r="B13" s="174"/>
      <c r="C13" s="174"/>
      <c r="D13" s="174"/>
      <c r="E13" s="174"/>
      <c r="F13" s="96"/>
      <c r="G13" s="97"/>
      <c r="I13" s="248"/>
      <c r="J13" s="249"/>
      <c r="K13" s="821" t="s">
        <v>297</v>
      </c>
      <c r="L13" s="822"/>
      <c r="M13" s="822"/>
      <c r="N13" s="99"/>
      <c r="O13" s="1155" t="s">
        <v>229</v>
      </c>
      <c r="P13" s="1156"/>
      <c r="Q13" s="1157"/>
      <c r="R13" s="100"/>
      <c r="S13" s="821" t="s">
        <v>295</v>
      </c>
      <c r="T13" s="822"/>
      <c r="U13" s="823"/>
      <c r="V13" s="207"/>
      <c r="W13" s="143"/>
      <c r="X13" s="143"/>
      <c r="Y13" s="144"/>
      <c r="Z13" s="97"/>
      <c r="AA13" s="97"/>
      <c r="AB13" s="97"/>
      <c r="AC13" s="97"/>
      <c r="AD13" s="97"/>
    </row>
    <row r="14" spans="1:30" ht="40.5" customHeight="1" thickBot="1" x14ac:dyDescent="0.3">
      <c r="A14" s="1196" t="s">
        <v>7</v>
      </c>
      <c r="B14" s="1199" t="s">
        <v>58</v>
      </c>
      <c r="C14" s="835" t="s">
        <v>226</v>
      </c>
      <c r="D14" s="835"/>
      <c r="E14" s="835"/>
      <c r="F14" s="835"/>
      <c r="G14" s="1203" t="s">
        <v>249</v>
      </c>
      <c r="H14" s="102" t="s">
        <v>0</v>
      </c>
      <c r="I14" s="833" t="s">
        <v>298</v>
      </c>
      <c r="J14" s="1174" t="s">
        <v>273</v>
      </c>
      <c r="K14" s="833" t="s">
        <v>315</v>
      </c>
      <c r="L14" s="835" t="s">
        <v>6</v>
      </c>
      <c r="M14" s="1210" t="s">
        <v>402</v>
      </c>
      <c r="N14" s="61"/>
      <c r="O14" s="1122" t="s">
        <v>260</v>
      </c>
      <c r="P14" s="1123"/>
      <c r="Q14" s="1216" t="s">
        <v>248</v>
      </c>
      <c r="R14" s="110"/>
      <c r="S14" s="564" t="s">
        <v>428</v>
      </c>
      <c r="T14" s="835" t="s">
        <v>6</v>
      </c>
      <c r="U14" s="215" t="s">
        <v>299</v>
      </c>
      <c r="V14" s="209"/>
      <c r="W14" s="259" t="s">
        <v>256</v>
      </c>
      <c r="X14" s="1148" t="s">
        <v>61</v>
      </c>
      <c r="Y14" s="1150" t="s">
        <v>384</v>
      </c>
    </row>
    <row r="15" spans="1:30" ht="14.25" customHeight="1" thickBot="1" x14ac:dyDescent="0.3">
      <c r="A15" s="1197"/>
      <c r="B15" s="1200"/>
      <c r="C15" s="1202"/>
      <c r="D15" s="1202"/>
      <c r="E15" s="1202"/>
      <c r="F15" s="1202"/>
      <c r="G15" s="1204"/>
      <c r="H15" s="234"/>
      <c r="I15" s="1206"/>
      <c r="J15" s="1207"/>
      <c r="K15" s="1206"/>
      <c r="L15" s="1202"/>
      <c r="M15" s="1211"/>
      <c r="N15" s="62"/>
      <c r="O15" s="1212"/>
      <c r="P15" s="1213"/>
      <c r="Q15" s="1217"/>
      <c r="R15" s="110"/>
      <c r="S15" s="232">
        <f>(S36-S32)/(M36-M32)</f>
        <v>0</v>
      </c>
      <c r="T15" s="836"/>
      <c r="U15" s="222" t="s">
        <v>44</v>
      </c>
      <c r="V15" s="209"/>
      <c r="W15" s="1208" t="s">
        <v>300</v>
      </c>
      <c r="X15" s="1194"/>
      <c r="Y15" s="1195"/>
    </row>
    <row r="16" spans="1:30" ht="18.75" customHeight="1" thickBot="1" x14ac:dyDescent="0.3">
      <c r="A16" s="1198"/>
      <c r="B16" s="1201"/>
      <c r="C16" s="836"/>
      <c r="D16" s="836"/>
      <c r="E16" s="836"/>
      <c r="F16" s="836"/>
      <c r="G16" s="1205"/>
      <c r="H16" s="105"/>
      <c r="I16" s="834"/>
      <c r="J16" s="1175"/>
      <c r="K16" s="106"/>
      <c r="L16" s="451"/>
      <c r="M16" s="258" t="s">
        <v>42</v>
      </c>
      <c r="N16" s="62"/>
      <c r="O16" s="1214"/>
      <c r="P16" s="1215"/>
      <c r="Q16" s="223" t="s">
        <v>43</v>
      </c>
      <c r="R16" s="110"/>
      <c r="S16" s="260" t="s">
        <v>44</v>
      </c>
      <c r="T16" s="236"/>
      <c r="U16" s="257"/>
      <c r="V16" s="209"/>
      <c r="W16" s="1209"/>
      <c r="X16" s="1149"/>
      <c r="Y16" s="1151"/>
    </row>
    <row r="17" spans="1:30" s="68" customFormat="1" ht="15.75" hidden="1" customHeight="1" thickTop="1" x14ac:dyDescent="0.25">
      <c r="A17" s="63" t="s">
        <v>7</v>
      </c>
      <c r="B17" s="238"/>
      <c r="C17" s="1105"/>
      <c r="D17" s="1105"/>
      <c r="E17" s="1105"/>
      <c r="F17" s="1105"/>
      <c r="G17" s="64"/>
      <c r="H17" s="65"/>
      <c r="I17" s="139"/>
      <c r="J17" s="147"/>
      <c r="K17" s="147"/>
      <c r="L17" s="147"/>
      <c r="M17" s="206"/>
      <c r="N17" s="149"/>
      <c r="O17" s="1135"/>
      <c r="P17" s="1136"/>
      <c r="Q17" s="172"/>
      <c r="R17" s="66"/>
      <c r="S17" s="145"/>
      <c r="T17" s="147"/>
      <c r="U17" s="151"/>
      <c r="V17" s="210"/>
      <c r="W17" s="145"/>
      <c r="X17" s="145"/>
      <c r="Y17" s="94"/>
      <c r="Z17" s="114"/>
      <c r="AA17" s="114"/>
      <c r="AB17" s="114"/>
      <c r="AC17" s="114"/>
      <c r="AD17" s="114"/>
    </row>
    <row r="18" spans="1:30" s="68" customFormat="1" ht="15.75" hidden="1" customHeight="1" thickBot="1" x14ac:dyDescent="0.3">
      <c r="A18" s="63" t="s">
        <v>7</v>
      </c>
      <c r="B18" s="238"/>
      <c r="C18" s="804"/>
      <c r="D18" s="805"/>
      <c r="E18" s="805"/>
      <c r="F18" s="945"/>
      <c r="G18" s="70"/>
      <c r="H18" s="71"/>
      <c r="I18" s="141"/>
      <c r="J18" s="147"/>
      <c r="K18" s="147"/>
      <c r="L18" s="147"/>
      <c r="M18" s="629"/>
      <c r="N18" s="149"/>
      <c r="O18" s="804"/>
      <c r="P18" s="1078"/>
      <c r="Q18" s="252"/>
      <c r="R18" s="66"/>
      <c r="S18" s="145"/>
      <c r="T18" s="147"/>
      <c r="U18" s="152"/>
      <c r="V18" s="210"/>
      <c r="W18" s="145"/>
      <c r="X18" s="145"/>
      <c r="Y18" s="67"/>
      <c r="Z18" s="114"/>
      <c r="AA18" s="114"/>
      <c r="AB18" s="114"/>
      <c r="AC18" s="114"/>
      <c r="AD18" s="114"/>
    </row>
    <row r="19" spans="1:30" s="68" customFormat="1" ht="15.75" customHeight="1" thickTop="1" x14ac:dyDescent="0.25">
      <c r="A19" s="63" t="s">
        <v>7</v>
      </c>
      <c r="B19" s="238"/>
      <c r="C19" s="1105" t="s">
        <v>272</v>
      </c>
      <c r="D19" s="1105"/>
      <c r="E19" s="1105"/>
      <c r="F19" s="1105"/>
      <c r="G19" s="572" t="str">
        <f>IF(D9=0,"COUNTY","CITY")</f>
        <v>COUNTY</v>
      </c>
      <c r="H19" s="71" t="s">
        <v>51</v>
      </c>
      <c r="I19" s="141"/>
      <c r="J19" s="147"/>
      <c r="K19" s="147">
        <f>J47</f>
        <v>1.2</v>
      </c>
      <c r="L19" s="147">
        <f t="shared" ref="L19:L31" si="0">IF(A19="Y", K19*2%,0)</f>
        <v>0</v>
      </c>
      <c r="M19" s="151">
        <f t="shared" ref="M19:M34" si="1">K19-L19</f>
        <v>1.2</v>
      </c>
      <c r="N19" s="149"/>
      <c r="O19" s="804"/>
      <c r="P19" s="1078"/>
      <c r="Q19" s="172"/>
      <c r="R19" s="66"/>
      <c r="S19" s="145">
        <f t="shared" ref="S19:S31" si="2">IF($S$48=0,,K19*$S$15)</f>
        <v>0</v>
      </c>
      <c r="T19" s="147">
        <f t="shared" ref="T19:T35" si="3">IF(A19="Y", S19*2%,)</f>
        <v>0</v>
      </c>
      <c r="U19" s="152">
        <f t="shared" ref="U19:U35" si="4">S19-T19</f>
        <v>0</v>
      </c>
      <c r="V19" s="210"/>
      <c r="W19" s="145">
        <f t="shared" ref="W19:W35" si="5">IF($W$15="BASE-UP   (B-A)", Q19-M19,Q19-U19)</f>
        <v>-1.2</v>
      </c>
      <c r="X19" s="548"/>
      <c r="Y19" s="67"/>
      <c r="Z19" s="114"/>
      <c r="AA19" s="114"/>
      <c r="AB19" s="114"/>
      <c r="AC19" s="114"/>
      <c r="AD19" s="114"/>
    </row>
    <row r="20" spans="1:30" s="68" customFormat="1" ht="15.75" customHeight="1" x14ac:dyDescent="0.25">
      <c r="A20" s="63" t="s">
        <v>7</v>
      </c>
      <c r="B20" s="819" t="s">
        <v>241</v>
      </c>
      <c r="C20" s="812" t="s">
        <v>212</v>
      </c>
      <c r="D20" s="812"/>
      <c r="E20" s="812"/>
      <c r="F20" s="812"/>
      <c r="G20" s="566" t="s">
        <v>32</v>
      </c>
      <c r="H20" s="71" t="s">
        <v>27</v>
      </c>
      <c r="I20" s="140">
        <f>(D10-SUM(I17:I19))*D8</f>
        <v>0</v>
      </c>
      <c r="J20" s="147">
        <f>I20*30%</f>
        <v>0</v>
      </c>
      <c r="K20" s="147">
        <f t="shared" ref="K20:K35" si="6">I20-J20</f>
        <v>0</v>
      </c>
      <c r="L20" s="147">
        <f t="shared" si="0"/>
        <v>0</v>
      </c>
      <c r="M20" s="152">
        <f t="shared" si="1"/>
        <v>0</v>
      </c>
      <c r="N20" s="149"/>
      <c r="O20" s="804"/>
      <c r="P20" s="1078"/>
      <c r="Q20" s="72"/>
      <c r="R20" s="66"/>
      <c r="S20" s="145">
        <f t="shared" si="2"/>
        <v>0</v>
      </c>
      <c r="T20" s="147">
        <f t="shared" si="3"/>
        <v>0</v>
      </c>
      <c r="U20" s="152">
        <f t="shared" si="4"/>
        <v>0</v>
      </c>
      <c r="V20" s="210"/>
      <c r="W20" s="145">
        <f t="shared" si="5"/>
        <v>0</v>
      </c>
      <c r="X20" s="548"/>
      <c r="Y20" s="67"/>
      <c r="Z20" s="114"/>
      <c r="AA20" s="114"/>
      <c r="AB20" s="114"/>
      <c r="AC20" s="114"/>
      <c r="AD20" s="114"/>
    </row>
    <row r="21" spans="1:30" s="68" customFormat="1" ht="15.75" customHeight="1" x14ac:dyDescent="0.25">
      <c r="A21" s="63" t="s">
        <v>7</v>
      </c>
      <c r="B21" s="820"/>
      <c r="C21" s="812" t="s">
        <v>213</v>
      </c>
      <c r="D21" s="812"/>
      <c r="E21" s="812"/>
      <c r="F21" s="812"/>
      <c r="G21" s="566" t="s">
        <v>52</v>
      </c>
      <c r="H21" s="71" t="s">
        <v>25</v>
      </c>
      <c r="I21" s="140">
        <f>(D10-SUM(I17:I19))*D9</f>
        <v>0</v>
      </c>
      <c r="J21" s="147">
        <f>I21*30%</f>
        <v>0</v>
      </c>
      <c r="K21" s="147">
        <f t="shared" si="6"/>
        <v>0</v>
      </c>
      <c r="L21" s="147">
        <f t="shared" si="0"/>
        <v>0</v>
      </c>
      <c r="M21" s="152">
        <f t="shared" si="1"/>
        <v>0</v>
      </c>
      <c r="N21" s="149"/>
      <c r="O21" s="804"/>
      <c r="P21" s="1078"/>
      <c r="Q21" s="72"/>
      <c r="R21" s="66"/>
      <c r="S21" s="145">
        <f t="shared" si="2"/>
        <v>0</v>
      </c>
      <c r="T21" s="147">
        <f t="shared" si="3"/>
        <v>0</v>
      </c>
      <c r="U21" s="152">
        <f t="shared" si="4"/>
        <v>0</v>
      </c>
      <c r="V21" s="210"/>
      <c r="W21" s="145">
        <f t="shared" si="5"/>
        <v>0</v>
      </c>
      <c r="X21" s="548"/>
      <c r="Y21" s="67"/>
      <c r="Z21" s="114"/>
      <c r="AA21" s="114"/>
      <c r="AB21" s="114"/>
      <c r="AC21" s="114"/>
      <c r="AD21" s="114"/>
    </row>
    <row r="22" spans="1:30" s="68" customFormat="1" ht="15.75" customHeight="1" x14ac:dyDescent="0.25">
      <c r="A22" s="63" t="s">
        <v>7</v>
      </c>
      <c r="B22" s="69">
        <v>7</v>
      </c>
      <c r="C22" s="812" t="s">
        <v>546</v>
      </c>
      <c r="D22" s="812"/>
      <c r="E22" s="812"/>
      <c r="F22" s="812"/>
      <c r="G22" s="566" t="s">
        <v>31</v>
      </c>
      <c r="H22" s="71" t="s">
        <v>26</v>
      </c>
      <c r="I22" s="140">
        <f t="shared" ref="I22:I31" si="7">$D$11*B22</f>
        <v>0</v>
      </c>
      <c r="J22" s="147">
        <f>I22*30%</f>
        <v>0</v>
      </c>
      <c r="K22" s="147">
        <f t="shared" si="6"/>
        <v>0</v>
      </c>
      <c r="L22" s="147">
        <f t="shared" si="0"/>
        <v>0</v>
      </c>
      <c r="M22" s="152">
        <f t="shared" si="1"/>
        <v>0</v>
      </c>
      <c r="N22" s="149"/>
      <c r="O22" s="804"/>
      <c r="P22" s="1078"/>
      <c r="Q22" s="74"/>
      <c r="R22" s="75"/>
      <c r="S22" s="145">
        <f t="shared" si="2"/>
        <v>0</v>
      </c>
      <c r="T22" s="147">
        <f t="shared" si="3"/>
        <v>0</v>
      </c>
      <c r="U22" s="152">
        <f t="shared" si="4"/>
        <v>0</v>
      </c>
      <c r="V22" s="210"/>
      <c r="W22" s="145">
        <f t="shared" si="5"/>
        <v>0</v>
      </c>
      <c r="X22" s="548"/>
      <c r="Y22" s="67"/>
      <c r="Z22" s="114"/>
      <c r="AA22" s="114"/>
      <c r="AB22" s="114"/>
      <c r="AC22" s="114"/>
      <c r="AD22" s="114"/>
    </row>
    <row r="23" spans="1:30" s="68" customFormat="1" ht="15.75" customHeight="1" x14ac:dyDescent="0.25">
      <c r="A23" s="63" t="s">
        <v>7</v>
      </c>
      <c r="B23" s="69">
        <v>3</v>
      </c>
      <c r="C23" s="812" t="s">
        <v>547</v>
      </c>
      <c r="D23" s="812"/>
      <c r="E23" s="812"/>
      <c r="F23" s="812"/>
      <c r="G23" s="566" t="s">
        <v>32</v>
      </c>
      <c r="H23" s="71" t="s">
        <v>27</v>
      </c>
      <c r="I23" s="140">
        <f t="shared" si="7"/>
        <v>0</v>
      </c>
      <c r="J23" s="147">
        <f>I23*30%</f>
        <v>0</v>
      </c>
      <c r="K23" s="147">
        <f t="shared" si="6"/>
        <v>0</v>
      </c>
      <c r="L23" s="147">
        <f t="shared" si="0"/>
        <v>0</v>
      </c>
      <c r="M23" s="152">
        <f t="shared" si="1"/>
        <v>0</v>
      </c>
      <c r="N23" s="149"/>
      <c r="O23" s="804"/>
      <c r="P23" s="1078"/>
      <c r="Q23" s="72"/>
      <c r="R23" s="66"/>
      <c r="S23" s="145">
        <f t="shared" si="2"/>
        <v>0</v>
      </c>
      <c r="T23" s="147">
        <f t="shared" si="3"/>
        <v>0</v>
      </c>
      <c r="U23" s="152">
        <f t="shared" si="4"/>
        <v>0</v>
      </c>
      <c r="V23" s="210"/>
      <c r="W23" s="145">
        <f t="shared" si="5"/>
        <v>0</v>
      </c>
      <c r="X23" s="548"/>
      <c r="Y23" s="67"/>
      <c r="Z23" s="114"/>
      <c r="AA23" s="114"/>
      <c r="AB23" s="114"/>
      <c r="AC23" s="114"/>
      <c r="AD23" s="114"/>
    </row>
    <row r="24" spans="1:30" s="68" customFormat="1" ht="15.75" customHeight="1" x14ac:dyDescent="0.25">
      <c r="A24" s="63" t="s">
        <v>7</v>
      </c>
      <c r="B24" s="69">
        <v>1</v>
      </c>
      <c r="C24" s="804" t="s">
        <v>216</v>
      </c>
      <c r="D24" s="805"/>
      <c r="E24" s="805"/>
      <c r="F24" s="945"/>
      <c r="G24" s="566" t="s">
        <v>32</v>
      </c>
      <c r="H24" s="71" t="s">
        <v>55</v>
      </c>
      <c r="I24" s="140">
        <f t="shared" si="7"/>
        <v>0</v>
      </c>
      <c r="J24" s="147">
        <f t="shared" ref="J24:J31" si="8">I24*30%</f>
        <v>0</v>
      </c>
      <c r="K24" s="147">
        <f t="shared" si="6"/>
        <v>0</v>
      </c>
      <c r="L24" s="147">
        <f t="shared" si="0"/>
        <v>0</v>
      </c>
      <c r="M24" s="152">
        <f t="shared" si="1"/>
        <v>0</v>
      </c>
      <c r="N24" s="149"/>
      <c r="O24" s="804"/>
      <c r="P24" s="1078"/>
      <c r="Q24" s="72"/>
      <c r="R24" s="66"/>
      <c r="S24" s="145">
        <f t="shared" si="2"/>
        <v>0</v>
      </c>
      <c r="T24" s="147">
        <f t="shared" si="3"/>
        <v>0</v>
      </c>
      <c r="U24" s="152">
        <f t="shared" si="4"/>
        <v>0</v>
      </c>
      <c r="V24" s="210"/>
      <c r="W24" s="145">
        <f t="shared" si="5"/>
        <v>0</v>
      </c>
      <c r="X24" s="548"/>
      <c r="Y24" s="67"/>
      <c r="Z24" s="114"/>
      <c r="AA24" s="114"/>
      <c r="AB24" s="114"/>
      <c r="AC24" s="114"/>
      <c r="AD24" s="114"/>
    </row>
    <row r="25" spans="1:30" s="68" customFormat="1" ht="15.75" customHeight="1" x14ac:dyDescent="0.25">
      <c r="A25" s="63" t="s">
        <v>7</v>
      </c>
      <c r="B25" s="69">
        <v>4</v>
      </c>
      <c r="C25" s="804" t="s">
        <v>466</v>
      </c>
      <c r="D25" s="805"/>
      <c r="E25" s="805"/>
      <c r="F25" s="945"/>
      <c r="G25" s="566" t="s">
        <v>31</v>
      </c>
      <c r="H25" s="71" t="s">
        <v>72</v>
      </c>
      <c r="I25" s="140">
        <f t="shared" si="7"/>
        <v>0</v>
      </c>
      <c r="J25" s="147">
        <f t="shared" si="8"/>
        <v>0</v>
      </c>
      <c r="K25" s="147">
        <f t="shared" si="6"/>
        <v>0</v>
      </c>
      <c r="L25" s="147">
        <f t="shared" si="0"/>
        <v>0</v>
      </c>
      <c r="M25" s="152">
        <f t="shared" si="1"/>
        <v>0</v>
      </c>
      <c r="N25" s="149"/>
      <c r="O25" s="804"/>
      <c r="P25" s="1078"/>
      <c r="Q25" s="72"/>
      <c r="R25" s="66"/>
      <c r="S25" s="145">
        <f t="shared" si="2"/>
        <v>0</v>
      </c>
      <c r="T25" s="147">
        <f t="shared" si="3"/>
        <v>0</v>
      </c>
      <c r="U25" s="152">
        <f t="shared" si="4"/>
        <v>0</v>
      </c>
      <c r="V25" s="210"/>
      <c r="W25" s="145">
        <f t="shared" si="5"/>
        <v>0</v>
      </c>
      <c r="X25" s="548"/>
      <c r="Y25" s="67"/>
      <c r="Z25" s="114"/>
      <c r="AA25" s="114"/>
      <c r="AB25" s="114"/>
      <c r="AC25" s="114"/>
      <c r="AD25" s="114"/>
    </row>
    <row r="26" spans="1:30" s="68" customFormat="1" ht="15.75" customHeight="1" x14ac:dyDescent="0.25">
      <c r="A26" s="63" t="s">
        <v>7</v>
      </c>
      <c r="B26" s="634">
        <f>'1-DUI (Reduce Base)'!$B$25</f>
        <v>0</v>
      </c>
      <c r="C26" s="812" t="s">
        <v>217</v>
      </c>
      <c r="D26" s="812"/>
      <c r="E26" s="813" t="str">
        <f>IF(SUM(B26:B30)=Q11,"GC 76000 PA ($" &amp;Q11 &amp; " for every 10) breakdown per local board of supervisor resolution (BOS).","ERROR! GC 76000 PA total is not $" &amp;Q11&amp; ". Check Court's board resolution.")</f>
        <v>ERROR! GC 76000 PA total is not $5. Check Court's board resolution.</v>
      </c>
      <c r="F26" s="1143"/>
      <c r="G26" s="566" t="s">
        <v>32</v>
      </c>
      <c r="H26" s="71" t="s">
        <v>64</v>
      </c>
      <c r="I26" s="140">
        <f t="shared" si="7"/>
        <v>0</v>
      </c>
      <c r="J26" s="147">
        <f t="shared" si="8"/>
        <v>0</v>
      </c>
      <c r="K26" s="147">
        <f t="shared" si="6"/>
        <v>0</v>
      </c>
      <c r="L26" s="147">
        <f t="shared" si="0"/>
        <v>0</v>
      </c>
      <c r="M26" s="152">
        <f t="shared" si="1"/>
        <v>0</v>
      </c>
      <c r="N26" s="149"/>
      <c r="O26" s="804"/>
      <c r="P26" s="1078"/>
      <c r="Q26" s="72"/>
      <c r="R26" s="66"/>
      <c r="S26" s="145">
        <f t="shared" si="2"/>
        <v>0</v>
      </c>
      <c r="T26" s="147">
        <f t="shared" si="3"/>
        <v>0</v>
      </c>
      <c r="U26" s="152">
        <f t="shared" si="4"/>
        <v>0</v>
      </c>
      <c r="V26" s="210"/>
      <c r="W26" s="145">
        <f t="shared" si="5"/>
        <v>0</v>
      </c>
      <c r="X26" s="548"/>
      <c r="Y26" s="67"/>
      <c r="Z26" s="114"/>
      <c r="AA26" s="114"/>
      <c r="AB26" s="114"/>
      <c r="AC26" s="114"/>
      <c r="AD26" s="114"/>
    </row>
    <row r="27" spans="1:30" s="68" customFormat="1" ht="15.75" customHeight="1" x14ac:dyDescent="0.25">
      <c r="A27" s="63" t="s">
        <v>7</v>
      </c>
      <c r="B27" s="634">
        <f>'1-DUI (Reduce Base)'!$B$26</f>
        <v>1</v>
      </c>
      <c r="C27" s="812" t="s">
        <v>218</v>
      </c>
      <c r="D27" s="812"/>
      <c r="E27" s="815"/>
      <c r="F27" s="1144"/>
      <c r="G27" s="566" t="s">
        <v>32</v>
      </c>
      <c r="H27" s="71" t="s">
        <v>35</v>
      </c>
      <c r="I27" s="140">
        <f t="shared" si="7"/>
        <v>0</v>
      </c>
      <c r="J27" s="147">
        <f t="shared" si="8"/>
        <v>0</v>
      </c>
      <c r="K27" s="147">
        <f t="shared" si="6"/>
        <v>0</v>
      </c>
      <c r="L27" s="147">
        <f t="shared" si="0"/>
        <v>0</v>
      </c>
      <c r="M27" s="152">
        <f t="shared" si="1"/>
        <v>0</v>
      </c>
      <c r="N27" s="149"/>
      <c r="O27" s="804"/>
      <c r="P27" s="1078"/>
      <c r="Q27" s="72"/>
      <c r="R27" s="66"/>
      <c r="S27" s="145">
        <f t="shared" si="2"/>
        <v>0</v>
      </c>
      <c r="T27" s="147">
        <f t="shared" si="3"/>
        <v>0</v>
      </c>
      <c r="U27" s="152">
        <f t="shared" si="4"/>
        <v>0</v>
      </c>
      <c r="V27" s="210"/>
      <c r="W27" s="145">
        <f t="shared" si="5"/>
        <v>0</v>
      </c>
      <c r="X27" s="548"/>
      <c r="Y27" s="67"/>
      <c r="Z27" s="114"/>
      <c r="AA27" s="114"/>
      <c r="AB27" s="114"/>
      <c r="AC27" s="114"/>
      <c r="AD27" s="114"/>
    </row>
    <row r="28" spans="1:30" s="68" customFormat="1" ht="15.75" customHeight="1" x14ac:dyDescent="0.25">
      <c r="A28" s="63" t="s">
        <v>7</v>
      </c>
      <c r="B28" s="634">
        <f>'1-DUI (Reduce Base)'!$B$27</f>
        <v>1</v>
      </c>
      <c r="C28" s="812" t="s">
        <v>219</v>
      </c>
      <c r="D28" s="812"/>
      <c r="E28" s="815"/>
      <c r="F28" s="1144"/>
      <c r="G28" s="566" t="s">
        <v>32</v>
      </c>
      <c r="H28" s="71" t="s">
        <v>65</v>
      </c>
      <c r="I28" s="140">
        <f t="shared" si="7"/>
        <v>0</v>
      </c>
      <c r="J28" s="147">
        <f t="shared" si="8"/>
        <v>0</v>
      </c>
      <c r="K28" s="147">
        <f t="shared" si="6"/>
        <v>0</v>
      </c>
      <c r="L28" s="147">
        <f t="shared" si="0"/>
        <v>0</v>
      </c>
      <c r="M28" s="152">
        <f t="shared" si="1"/>
        <v>0</v>
      </c>
      <c r="N28" s="149"/>
      <c r="O28" s="804"/>
      <c r="P28" s="1078"/>
      <c r="Q28" s="72"/>
      <c r="R28" s="66"/>
      <c r="S28" s="145">
        <f t="shared" si="2"/>
        <v>0</v>
      </c>
      <c r="T28" s="147">
        <f t="shared" si="3"/>
        <v>0</v>
      </c>
      <c r="U28" s="152">
        <f t="shared" si="4"/>
        <v>0</v>
      </c>
      <c r="V28" s="210"/>
      <c r="W28" s="145">
        <f t="shared" si="5"/>
        <v>0</v>
      </c>
      <c r="X28" s="548"/>
      <c r="Y28" s="67"/>
      <c r="Z28" s="114"/>
      <c r="AA28" s="114"/>
      <c r="AB28" s="114"/>
      <c r="AC28" s="114"/>
      <c r="AD28" s="114"/>
    </row>
    <row r="29" spans="1:30" s="68" customFormat="1" ht="15.75" customHeight="1" x14ac:dyDescent="0.25">
      <c r="A29" s="63" t="s">
        <v>7</v>
      </c>
      <c r="B29" s="634">
        <f>'1-DUI (Reduce Base)'!$B$28</f>
        <v>0.5</v>
      </c>
      <c r="C29" s="812" t="s">
        <v>401</v>
      </c>
      <c r="D29" s="812"/>
      <c r="E29" s="815"/>
      <c r="F29" s="1144"/>
      <c r="G29" s="566" t="s">
        <v>32</v>
      </c>
      <c r="H29" s="71" t="s">
        <v>65</v>
      </c>
      <c r="I29" s="140">
        <f t="shared" si="7"/>
        <v>0</v>
      </c>
      <c r="J29" s="147">
        <f>I29*30%</f>
        <v>0</v>
      </c>
      <c r="K29" s="147">
        <f t="shared" si="6"/>
        <v>0</v>
      </c>
      <c r="L29" s="147">
        <f t="shared" si="0"/>
        <v>0</v>
      </c>
      <c r="M29" s="152">
        <f t="shared" si="1"/>
        <v>0</v>
      </c>
      <c r="N29" s="149"/>
      <c r="O29" s="804"/>
      <c r="P29" s="1078"/>
      <c r="Q29" s="72"/>
      <c r="R29" s="66"/>
      <c r="S29" s="145">
        <f t="shared" si="2"/>
        <v>0</v>
      </c>
      <c r="T29" s="147">
        <f t="shared" si="3"/>
        <v>0</v>
      </c>
      <c r="U29" s="152">
        <f t="shared" si="4"/>
        <v>0</v>
      </c>
      <c r="V29" s="210"/>
      <c r="W29" s="145">
        <f t="shared" si="5"/>
        <v>0</v>
      </c>
      <c r="X29" s="548"/>
      <c r="Y29" s="67"/>
      <c r="Z29" s="114"/>
      <c r="AA29" s="114"/>
      <c r="AB29" s="114"/>
      <c r="AC29" s="114"/>
      <c r="AD29" s="114"/>
    </row>
    <row r="30" spans="1:30" s="68" customFormat="1" ht="15.75" customHeight="1" x14ac:dyDescent="0.25">
      <c r="A30" s="63" t="s">
        <v>7</v>
      </c>
      <c r="B30" s="634">
        <f>'1-DUI (Reduce Base)'!$B$29</f>
        <v>1</v>
      </c>
      <c r="C30" s="812" t="s">
        <v>254</v>
      </c>
      <c r="D30" s="812"/>
      <c r="E30" s="817"/>
      <c r="F30" s="1145"/>
      <c r="G30" s="566" t="s">
        <v>32</v>
      </c>
      <c r="H30" s="71"/>
      <c r="I30" s="140">
        <f t="shared" si="7"/>
        <v>0</v>
      </c>
      <c r="J30" s="147">
        <f t="shared" si="8"/>
        <v>0</v>
      </c>
      <c r="K30" s="147">
        <f t="shared" si="6"/>
        <v>0</v>
      </c>
      <c r="L30" s="147">
        <f t="shared" si="0"/>
        <v>0</v>
      </c>
      <c r="M30" s="152">
        <f t="shared" si="1"/>
        <v>0</v>
      </c>
      <c r="N30" s="149"/>
      <c r="O30" s="804"/>
      <c r="P30" s="1078"/>
      <c r="Q30" s="72"/>
      <c r="R30" s="66"/>
      <c r="S30" s="145">
        <f t="shared" si="2"/>
        <v>0</v>
      </c>
      <c r="T30" s="147">
        <f t="shared" si="3"/>
        <v>0</v>
      </c>
      <c r="U30" s="152">
        <f t="shared" si="4"/>
        <v>0</v>
      </c>
      <c r="V30" s="210"/>
      <c r="W30" s="145">
        <f t="shared" si="5"/>
        <v>0</v>
      </c>
      <c r="X30" s="548"/>
      <c r="Y30" s="67"/>
      <c r="Z30" s="114"/>
      <c r="AA30" s="114"/>
      <c r="AB30" s="114"/>
      <c r="AC30" s="114"/>
      <c r="AD30" s="114"/>
    </row>
    <row r="31" spans="1:30" s="68" customFormat="1" ht="15.75" customHeight="1" x14ac:dyDescent="0.25">
      <c r="A31" s="63" t="s">
        <v>7</v>
      </c>
      <c r="B31" s="634">
        <f>'1-DUI (Reduce Base)'!$B$30</f>
        <v>2</v>
      </c>
      <c r="C31" s="804" t="s">
        <v>286</v>
      </c>
      <c r="D31" s="805"/>
      <c r="E31" s="805"/>
      <c r="F31" s="945"/>
      <c r="G31" s="566" t="s">
        <v>32</v>
      </c>
      <c r="H31" s="71" t="s">
        <v>36</v>
      </c>
      <c r="I31" s="140">
        <f t="shared" si="7"/>
        <v>0</v>
      </c>
      <c r="J31" s="147">
        <f t="shared" si="8"/>
        <v>0</v>
      </c>
      <c r="K31" s="147">
        <f t="shared" si="6"/>
        <v>0</v>
      </c>
      <c r="L31" s="147">
        <f t="shared" si="0"/>
        <v>0</v>
      </c>
      <c r="M31" s="152">
        <f t="shared" si="1"/>
        <v>0</v>
      </c>
      <c r="N31" s="149"/>
      <c r="O31" s="804"/>
      <c r="P31" s="1078"/>
      <c r="Q31" s="72"/>
      <c r="R31" s="66"/>
      <c r="S31" s="145">
        <f t="shared" si="2"/>
        <v>0</v>
      </c>
      <c r="T31" s="147">
        <f t="shared" si="3"/>
        <v>0</v>
      </c>
      <c r="U31" s="152">
        <f t="shared" si="4"/>
        <v>0</v>
      </c>
      <c r="V31" s="210"/>
      <c r="W31" s="145">
        <f t="shared" si="5"/>
        <v>0</v>
      </c>
      <c r="X31" s="548"/>
      <c r="Y31" s="67"/>
      <c r="Z31" s="114"/>
      <c r="AA31" s="114"/>
      <c r="AB31" s="114"/>
      <c r="AC31" s="114"/>
      <c r="AD31" s="114"/>
    </row>
    <row r="32" spans="1:30" s="68" customFormat="1" ht="15.75" customHeight="1" x14ac:dyDescent="0.25">
      <c r="A32" s="63" t="s">
        <v>7</v>
      </c>
      <c r="B32" s="69"/>
      <c r="C32" s="804" t="s">
        <v>385</v>
      </c>
      <c r="D32" s="805"/>
      <c r="E32" s="805"/>
      <c r="F32" s="945"/>
      <c r="G32" s="566" t="s">
        <v>31</v>
      </c>
      <c r="H32" s="81" t="s">
        <v>39</v>
      </c>
      <c r="I32" s="186">
        <v>4</v>
      </c>
      <c r="J32" s="147">
        <f>I32*30%</f>
        <v>1.2</v>
      </c>
      <c r="K32" s="147">
        <f t="shared" si="6"/>
        <v>2.8</v>
      </c>
      <c r="L32" s="147">
        <f>IF(A32="Y", I32*2%,0)</f>
        <v>0</v>
      </c>
      <c r="M32" s="152">
        <f t="shared" si="1"/>
        <v>2.8</v>
      </c>
      <c r="N32" s="149"/>
      <c r="O32" s="804"/>
      <c r="P32" s="1078"/>
      <c r="Q32" s="72"/>
      <c r="R32" s="66"/>
      <c r="S32" s="140">
        <f>IF($S$48=0,,M32)</f>
        <v>0</v>
      </c>
      <c r="T32" s="147">
        <f t="shared" si="3"/>
        <v>0</v>
      </c>
      <c r="U32" s="152">
        <f t="shared" si="4"/>
        <v>0</v>
      </c>
      <c r="V32" s="210"/>
      <c r="W32" s="145">
        <f t="shared" si="5"/>
        <v>-2.8</v>
      </c>
      <c r="X32" s="548"/>
      <c r="Y32" s="67"/>
      <c r="Z32" s="114"/>
      <c r="AA32" s="114"/>
      <c r="AB32" s="114"/>
      <c r="AC32" s="114"/>
      <c r="AD32" s="114"/>
    </row>
    <row r="33" spans="1:30" s="68" customFormat="1" ht="15.75" customHeight="1" x14ac:dyDescent="0.25">
      <c r="A33" s="63" t="s">
        <v>7</v>
      </c>
      <c r="B33" s="634">
        <f>'1-DUI (Reduce Base)'!$B$32</f>
        <v>2</v>
      </c>
      <c r="C33" s="804" t="s">
        <v>555</v>
      </c>
      <c r="D33" s="805"/>
      <c r="E33" s="945"/>
      <c r="F33" s="1008" t="s">
        <v>281</v>
      </c>
      <c r="G33" s="566" t="s">
        <v>31</v>
      </c>
      <c r="H33" s="71" t="s">
        <v>37</v>
      </c>
      <c r="I33" s="140">
        <f>$D$11*B33</f>
        <v>0</v>
      </c>
      <c r="J33" s="147">
        <f>I33*30%</f>
        <v>0</v>
      </c>
      <c r="K33" s="147">
        <f t="shared" si="6"/>
        <v>0</v>
      </c>
      <c r="L33" s="147">
        <f>IF(A33="Y", K33*2%,0)</f>
        <v>0</v>
      </c>
      <c r="M33" s="152">
        <f t="shared" si="1"/>
        <v>0</v>
      </c>
      <c r="N33" s="149"/>
      <c r="O33" s="804"/>
      <c r="P33" s="1078"/>
      <c r="Q33" s="72"/>
      <c r="R33" s="66"/>
      <c r="S33" s="145">
        <f>IF($S$48=0,,K33*$S$15)</f>
        <v>0</v>
      </c>
      <c r="T33" s="147">
        <f t="shared" si="3"/>
        <v>0</v>
      </c>
      <c r="U33" s="152">
        <f t="shared" si="4"/>
        <v>0</v>
      </c>
      <c r="V33" s="210"/>
      <c r="W33" s="145">
        <f t="shared" si="5"/>
        <v>0</v>
      </c>
      <c r="X33" s="548"/>
      <c r="Y33" s="67"/>
      <c r="Z33" s="114"/>
      <c r="AA33" s="114"/>
      <c r="AB33" s="114"/>
      <c r="AC33" s="114"/>
      <c r="AD33" s="114"/>
    </row>
    <row r="34" spans="1:30" s="68" customFormat="1" ht="15.75" customHeight="1" x14ac:dyDescent="0.25">
      <c r="A34" s="63" t="s">
        <v>7</v>
      </c>
      <c r="B34" s="164">
        <f>5-B33</f>
        <v>3</v>
      </c>
      <c r="C34" s="804" t="s">
        <v>556</v>
      </c>
      <c r="D34" s="805"/>
      <c r="E34" s="945"/>
      <c r="F34" s="1009"/>
      <c r="G34" s="566" t="s">
        <v>31</v>
      </c>
      <c r="H34" s="71" t="s">
        <v>197</v>
      </c>
      <c r="I34" s="140">
        <f>$D$11*B34</f>
        <v>0</v>
      </c>
      <c r="J34" s="147">
        <f>I34*30%</f>
        <v>0</v>
      </c>
      <c r="K34" s="147">
        <f t="shared" si="6"/>
        <v>0</v>
      </c>
      <c r="L34" s="147">
        <f>IF(A34="Y", K34*2%,0)</f>
        <v>0</v>
      </c>
      <c r="M34" s="152">
        <f t="shared" si="1"/>
        <v>0</v>
      </c>
      <c r="N34" s="149"/>
      <c r="O34" s="804"/>
      <c r="P34" s="1078"/>
      <c r="Q34" s="72"/>
      <c r="R34" s="66"/>
      <c r="S34" s="145">
        <f>IF($S$48=0,,K34*$S$15)</f>
        <v>0</v>
      </c>
      <c r="T34" s="147">
        <f t="shared" si="3"/>
        <v>0</v>
      </c>
      <c r="U34" s="152">
        <f t="shared" si="4"/>
        <v>0</v>
      </c>
      <c r="V34" s="210"/>
      <c r="W34" s="145">
        <f t="shared" si="5"/>
        <v>0</v>
      </c>
      <c r="X34" s="548"/>
      <c r="Y34" s="67"/>
      <c r="Z34" s="114"/>
      <c r="AA34" s="114"/>
      <c r="AB34" s="114"/>
      <c r="AC34" s="114"/>
      <c r="AD34" s="114"/>
    </row>
    <row r="35" spans="1:30" s="68" customFormat="1" ht="15.75" customHeight="1" x14ac:dyDescent="0.25">
      <c r="A35" s="63" t="s">
        <v>7</v>
      </c>
      <c r="B35" s="69"/>
      <c r="C35" s="804" t="s">
        <v>220</v>
      </c>
      <c r="D35" s="805"/>
      <c r="E35" s="805"/>
      <c r="F35" s="945"/>
      <c r="G35" s="566" t="s">
        <v>31</v>
      </c>
      <c r="H35" s="71" t="s">
        <v>10</v>
      </c>
      <c r="I35" s="140">
        <f>$D$10*20%</f>
        <v>0</v>
      </c>
      <c r="J35" s="147"/>
      <c r="K35" s="147">
        <f t="shared" si="6"/>
        <v>0</v>
      </c>
      <c r="L35" s="147">
        <f>IF(A35="Y", K35*2%,0)</f>
        <v>0</v>
      </c>
      <c r="M35" s="152">
        <f>I35-L35</f>
        <v>0</v>
      </c>
      <c r="N35" s="149"/>
      <c r="O35" s="804"/>
      <c r="P35" s="1078"/>
      <c r="Q35" s="72"/>
      <c r="R35" s="66"/>
      <c r="S35" s="145">
        <f>IF($S$48=0,,K35*$S$15)</f>
        <v>0</v>
      </c>
      <c r="T35" s="147">
        <f t="shared" si="3"/>
        <v>0</v>
      </c>
      <c r="U35" s="152">
        <f t="shared" si="4"/>
        <v>0</v>
      </c>
      <c r="V35" s="210"/>
      <c r="W35" s="145">
        <f t="shared" si="5"/>
        <v>0</v>
      </c>
      <c r="X35" s="548"/>
      <c r="Y35" s="67"/>
      <c r="Z35" s="114"/>
      <c r="AA35" s="114"/>
      <c r="AB35" s="114"/>
      <c r="AC35" s="114"/>
      <c r="AD35" s="114"/>
    </row>
    <row r="36" spans="1:30" s="80" customFormat="1" ht="15.75" customHeight="1" x14ac:dyDescent="0.25">
      <c r="A36" s="63"/>
      <c r="B36" s="76"/>
      <c r="C36" s="810" t="s">
        <v>221</v>
      </c>
      <c r="D36" s="811"/>
      <c r="E36" s="811"/>
      <c r="F36" s="946"/>
      <c r="G36" s="573"/>
      <c r="H36" s="78"/>
      <c r="I36" s="142">
        <f>SUM(I19:I35)</f>
        <v>4</v>
      </c>
      <c r="J36" s="247"/>
      <c r="K36" s="247">
        <f>SUM(K19:K35)</f>
        <v>4</v>
      </c>
      <c r="L36" s="147"/>
      <c r="M36" s="153">
        <f>SUM(M17:M35)</f>
        <v>4</v>
      </c>
      <c r="N36" s="150"/>
      <c r="O36" s="804"/>
      <c r="P36" s="1078"/>
      <c r="Q36" s="166">
        <f>SUM(Q19:Q35)</f>
        <v>0</v>
      </c>
      <c r="R36" s="111"/>
      <c r="S36" s="142">
        <f>IF($S$48=0,,S48-SUM(S37:S45))</f>
        <v>0</v>
      </c>
      <c r="T36" s="147"/>
      <c r="U36" s="153">
        <f>SUM(U17:U35)</f>
        <v>0</v>
      </c>
      <c r="V36" s="211"/>
      <c r="W36" s="145">
        <f>SUM(W19:W35)</f>
        <v>-4</v>
      </c>
      <c r="X36" s="548"/>
      <c r="Y36" s="79"/>
      <c r="Z36" s="129"/>
      <c r="AA36" s="129"/>
      <c r="AB36" s="129"/>
      <c r="AC36" s="129"/>
      <c r="AD36" s="129"/>
    </row>
    <row r="37" spans="1:30" s="68" customFormat="1" ht="15.75" customHeight="1" x14ac:dyDescent="0.25">
      <c r="A37" s="63" t="s">
        <v>7</v>
      </c>
      <c r="B37" s="69"/>
      <c r="C37" s="804" t="s">
        <v>419</v>
      </c>
      <c r="D37" s="805"/>
      <c r="E37" s="805"/>
      <c r="F37" s="945"/>
      <c r="G37" s="566" t="s">
        <v>31</v>
      </c>
      <c r="H37" s="81"/>
      <c r="I37" s="186">
        <v>40</v>
      </c>
      <c r="J37" s="147"/>
      <c r="K37" s="147"/>
      <c r="L37" s="147"/>
      <c r="M37" s="152">
        <f t="shared" ref="M37:M45" si="9">I37-L37</f>
        <v>40</v>
      </c>
      <c r="N37" s="149"/>
      <c r="O37" s="804"/>
      <c r="P37" s="1078"/>
      <c r="Q37" s="72"/>
      <c r="R37" s="66"/>
      <c r="S37" s="140">
        <f t="shared" ref="S37:S45" si="10">IF($S$48=0,,I37)</f>
        <v>0</v>
      </c>
      <c r="T37" s="147"/>
      <c r="U37" s="152"/>
      <c r="V37" s="210"/>
      <c r="W37" s="145">
        <f t="shared" ref="W37:W46" si="11">IF($W$15="BASE-UP   (B-A)", Q37-M37,Q37-U37)</f>
        <v>-40</v>
      </c>
      <c r="X37" s="548"/>
      <c r="Y37" s="67"/>
      <c r="Z37" s="114"/>
      <c r="AA37" s="114"/>
      <c r="AB37" s="114"/>
      <c r="AC37" s="114"/>
      <c r="AD37" s="114"/>
    </row>
    <row r="38" spans="1:30" s="68" customFormat="1" ht="15.75" customHeight="1" x14ac:dyDescent="0.25">
      <c r="A38" s="63" t="s">
        <v>7</v>
      </c>
      <c r="B38" s="69"/>
      <c r="C38" s="806" t="s">
        <v>259</v>
      </c>
      <c r="D38" s="807"/>
      <c r="E38" s="807"/>
      <c r="F38" s="944"/>
      <c r="G38" s="574" t="s">
        <v>31</v>
      </c>
      <c r="H38" s="82" t="s">
        <v>197</v>
      </c>
      <c r="I38" s="186">
        <v>35</v>
      </c>
      <c r="J38" s="147"/>
      <c r="K38" s="147">
        <f t="shared" ref="K38:K45" si="12">I38</f>
        <v>35</v>
      </c>
      <c r="L38" s="147">
        <f>IF(A38="Y", I38*2%,0)</f>
        <v>0</v>
      </c>
      <c r="M38" s="152">
        <f t="shared" si="9"/>
        <v>35</v>
      </c>
      <c r="N38" s="149"/>
      <c r="O38" s="804"/>
      <c r="P38" s="1078"/>
      <c r="Q38" s="72"/>
      <c r="R38" s="66"/>
      <c r="S38" s="140">
        <f t="shared" si="10"/>
        <v>0</v>
      </c>
      <c r="T38" s="147">
        <f t="shared" ref="T38:T45" si="13">IF(A38="Y", S38*2%,)</f>
        <v>0</v>
      </c>
      <c r="U38" s="152">
        <f t="shared" ref="U38:U45" si="14">S38-T38</f>
        <v>0</v>
      </c>
      <c r="V38" s="210"/>
      <c r="W38" s="145">
        <f t="shared" si="11"/>
        <v>-35</v>
      </c>
      <c r="X38" s="548"/>
      <c r="Y38" s="67"/>
      <c r="Z38" s="114"/>
      <c r="AA38" s="114"/>
      <c r="AB38" s="114"/>
      <c r="AC38" s="114"/>
      <c r="AD38" s="114"/>
    </row>
    <row r="39" spans="1:30" s="68" customFormat="1" ht="15.75" customHeight="1" x14ac:dyDescent="0.25">
      <c r="A39" s="63" t="s">
        <v>7</v>
      </c>
      <c r="B39" s="83"/>
      <c r="C39" s="806" t="s">
        <v>421</v>
      </c>
      <c r="D39" s="807"/>
      <c r="E39" s="807"/>
      <c r="F39" s="944"/>
      <c r="G39" s="574" t="s">
        <v>230</v>
      </c>
      <c r="H39" s="82" t="s">
        <v>24</v>
      </c>
      <c r="I39" s="186"/>
      <c r="J39" s="147"/>
      <c r="K39" s="147">
        <f t="shared" si="12"/>
        <v>0</v>
      </c>
      <c r="L39" s="147">
        <f>IF(A39="Y", I39*2%,0)</f>
        <v>0</v>
      </c>
      <c r="M39" s="152">
        <f t="shared" si="9"/>
        <v>0</v>
      </c>
      <c r="N39" s="149"/>
      <c r="O39" s="804"/>
      <c r="P39" s="1078"/>
      <c r="Q39" s="72"/>
      <c r="R39" s="66"/>
      <c r="S39" s="140">
        <f t="shared" si="10"/>
        <v>0</v>
      </c>
      <c r="T39" s="147">
        <f t="shared" si="13"/>
        <v>0</v>
      </c>
      <c r="U39" s="152">
        <f t="shared" si="14"/>
        <v>0</v>
      </c>
      <c r="V39" s="210"/>
      <c r="W39" s="145">
        <f t="shared" si="11"/>
        <v>0</v>
      </c>
      <c r="X39" s="548"/>
      <c r="Y39" s="71"/>
      <c r="Z39" s="114"/>
      <c r="AA39" s="114"/>
      <c r="AB39" s="114"/>
      <c r="AC39" s="114"/>
      <c r="AD39" s="114"/>
    </row>
    <row r="40" spans="1:30" s="68" customFormat="1" ht="15.75" customHeight="1" x14ac:dyDescent="0.25">
      <c r="A40" s="63" t="s">
        <v>7</v>
      </c>
      <c r="B40" s="83"/>
      <c r="C40" s="806" t="s">
        <v>448</v>
      </c>
      <c r="D40" s="807"/>
      <c r="E40" s="807"/>
      <c r="F40" s="944"/>
      <c r="G40" s="574" t="s">
        <v>32</v>
      </c>
      <c r="H40" s="82" t="s">
        <v>15</v>
      </c>
      <c r="I40" s="186">
        <f>49*49%</f>
        <v>24.009999999999998</v>
      </c>
      <c r="J40" s="147"/>
      <c r="K40" s="147">
        <f t="shared" si="12"/>
        <v>24.009999999999998</v>
      </c>
      <c r="L40" s="147">
        <f>IF(A40="Y", I40*2%,0)</f>
        <v>0</v>
      </c>
      <c r="M40" s="152">
        <f t="shared" si="9"/>
        <v>24.009999999999998</v>
      </c>
      <c r="N40" s="149"/>
      <c r="O40" s="804"/>
      <c r="P40" s="1078"/>
      <c r="Q40" s="72"/>
      <c r="R40" s="66"/>
      <c r="S40" s="140">
        <f t="shared" si="10"/>
        <v>0</v>
      </c>
      <c r="T40" s="147">
        <f t="shared" si="13"/>
        <v>0</v>
      </c>
      <c r="U40" s="152">
        <f t="shared" si="14"/>
        <v>0</v>
      </c>
      <c r="V40" s="210"/>
      <c r="W40" s="145">
        <f t="shared" si="11"/>
        <v>-24.009999999999998</v>
      </c>
      <c r="X40" s="548"/>
      <c r="Y40" s="71"/>
      <c r="Z40" s="114"/>
      <c r="AA40" s="114"/>
      <c r="AB40" s="114"/>
      <c r="AC40" s="114"/>
      <c r="AD40" s="114"/>
    </row>
    <row r="41" spans="1:30" s="68" customFormat="1" ht="15.75" customHeight="1" x14ac:dyDescent="0.25">
      <c r="A41" s="63" t="s">
        <v>7</v>
      </c>
      <c r="B41" s="83"/>
      <c r="C41" s="806" t="s">
        <v>449</v>
      </c>
      <c r="D41" s="807"/>
      <c r="E41" s="807"/>
      <c r="F41" s="944"/>
      <c r="G41" s="574" t="s">
        <v>31</v>
      </c>
      <c r="H41" s="82" t="s">
        <v>27</v>
      </c>
      <c r="I41" s="186">
        <f>49*51%</f>
        <v>24.990000000000002</v>
      </c>
      <c r="J41" s="147"/>
      <c r="K41" s="147">
        <f t="shared" si="12"/>
        <v>24.990000000000002</v>
      </c>
      <c r="L41" s="147">
        <f>IF(A41="Y", I41*2%,0)</f>
        <v>0</v>
      </c>
      <c r="M41" s="152">
        <f t="shared" si="9"/>
        <v>24.990000000000002</v>
      </c>
      <c r="N41" s="149"/>
      <c r="O41" s="804"/>
      <c r="P41" s="1078"/>
      <c r="Q41" s="72"/>
      <c r="R41" s="66"/>
      <c r="S41" s="140">
        <f t="shared" si="10"/>
        <v>0</v>
      </c>
      <c r="T41" s="147">
        <f t="shared" si="13"/>
        <v>0</v>
      </c>
      <c r="U41" s="152">
        <f t="shared" si="14"/>
        <v>0</v>
      </c>
      <c r="V41" s="210"/>
      <c r="W41" s="145">
        <f t="shared" si="11"/>
        <v>-24.990000000000002</v>
      </c>
      <c r="X41" s="548"/>
      <c r="Y41" s="71"/>
      <c r="Z41" s="114"/>
      <c r="AA41" s="114"/>
      <c r="AB41" s="114"/>
      <c r="AC41" s="114"/>
      <c r="AD41" s="114"/>
    </row>
    <row r="42" spans="1:30" s="68" customFormat="1" ht="15.75" customHeight="1" x14ac:dyDescent="0.25">
      <c r="A42" s="63" t="s">
        <v>7</v>
      </c>
      <c r="B42" s="83"/>
      <c r="C42" s="806" t="s">
        <v>427</v>
      </c>
      <c r="D42" s="807"/>
      <c r="E42" s="807"/>
      <c r="F42" s="944"/>
      <c r="G42" s="574" t="s">
        <v>230</v>
      </c>
      <c r="H42" s="82" t="s">
        <v>13</v>
      </c>
      <c r="I42" s="186"/>
      <c r="J42" s="147"/>
      <c r="K42" s="147">
        <f>I42</f>
        <v>0</v>
      </c>
      <c r="L42" s="147">
        <f>IF(A42="Y", I42*2%,0)</f>
        <v>0</v>
      </c>
      <c r="M42" s="152">
        <f>I42-L42</f>
        <v>0</v>
      </c>
      <c r="N42" s="149"/>
      <c r="O42" s="804"/>
      <c r="P42" s="1078"/>
      <c r="Q42" s="72"/>
      <c r="R42" s="66"/>
      <c r="S42" s="140">
        <f t="shared" si="10"/>
        <v>0</v>
      </c>
      <c r="T42" s="147">
        <f t="shared" si="13"/>
        <v>0</v>
      </c>
      <c r="U42" s="152">
        <f t="shared" si="14"/>
        <v>0</v>
      </c>
      <c r="V42" s="210"/>
      <c r="W42" s="145">
        <f>IF($W$15="BASE-UP   (B-A)", Q42-M42,Q42-U42)</f>
        <v>0</v>
      </c>
      <c r="X42" s="548"/>
      <c r="Y42" s="71"/>
      <c r="Z42" s="114"/>
      <c r="AA42" s="114"/>
      <c r="AB42" s="114"/>
      <c r="AC42" s="114"/>
      <c r="AD42" s="114"/>
    </row>
    <row r="43" spans="1:30" s="68" customFormat="1" ht="31.5" customHeight="1" x14ac:dyDescent="0.25">
      <c r="A43" s="63" t="s">
        <v>7</v>
      </c>
      <c r="B43" s="83"/>
      <c r="C43" s="804" t="s">
        <v>551</v>
      </c>
      <c r="D43" s="807"/>
      <c r="E43" s="807"/>
      <c r="F43" s="944"/>
      <c r="G43" s="574" t="s">
        <v>31</v>
      </c>
      <c r="H43" s="82"/>
      <c r="I43" s="186">
        <v>3</v>
      </c>
      <c r="J43" s="147"/>
      <c r="K43" s="147"/>
      <c r="L43" s="147"/>
      <c r="M43" s="152">
        <f t="shared" si="9"/>
        <v>3</v>
      </c>
      <c r="N43" s="149"/>
      <c r="O43" s="804"/>
      <c r="P43" s="1078"/>
      <c r="Q43" s="72"/>
      <c r="R43" s="66"/>
      <c r="S43" s="140">
        <f t="shared" si="10"/>
        <v>0</v>
      </c>
      <c r="T43" s="147">
        <f t="shared" si="13"/>
        <v>0</v>
      </c>
      <c r="U43" s="152">
        <f t="shared" si="14"/>
        <v>0</v>
      </c>
      <c r="V43" s="210"/>
      <c r="W43" s="145">
        <f t="shared" si="11"/>
        <v>-3</v>
      </c>
      <c r="X43" s="548"/>
      <c r="Y43" s="71"/>
      <c r="Z43" s="114"/>
      <c r="AA43" s="114"/>
      <c r="AB43" s="114"/>
      <c r="AC43" s="114"/>
      <c r="AD43" s="114"/>
    </row>
    <row r="44" spans="1:30" s="68" customFormat="1" ht="62.25" customHeight="1" x14ac:dyDescent="0.25">
      <c r="A44" s="63" t="s">
        <v>7</v>
      </c>
      <c r="B44" s="83"/>
      <c r="C44" s="804" t="s">
        <v>518</v>
      </c>
      <c r="D44" s="805"/>
      <c r="E44" s="805"/>
      <c r="F44" s="945"/>
      <c r="G44" s="574" t="s">
        <v>230</v>
      </c>
      <c r="H44" s="82" t="s">
        <v>82</v>
      </c>
      <c r="I44" s="186"/>
      <c r="J44" s="147"/>
      <c r="K44" s="147">
        <f t="shared" si="12"/>
        <v>0</v>
      </c>
      <c r="L44" s="147">
        <f>IF(A44="Y", I44*2%,0)</f>
        <v>0</v>
      </c>
      <c r="M44" s="152">
        <f t="shared" si="9"/>
        <v>0</v>
      </c>
      <c r="N44" s="149"/>
      <c r="O44" s="804"/>
      <c r="P44" s="1078"/>
      <c r="Q44" s="72"/>
      <c r="R44" s="66"/>
      <c r="S44" s="140">
        <f t="shared" si="10"/>
        <v>0</v>
      </c>
      <c r="T44" s="147">
        <f t="shared" si="13"/>
        <v>0</v>
      </c>
      <c r="U44" s="152">
        <f t="shared" si="14"/>
        <v>0</v>
      </c>
      <c r="V44" s="210"/>
      <c r="W44" s="145">
        <f t="shared" si="11"/>
        <v>0</v>
      </c>
      <c r="X44" s="548"/>
      <c r="Y44" s="71"/>
      <c r="Z44" s="114"/>
      <c r="AA44" s="114"/>
      <c r="AB44" s="114"/>
      <c r="AC44" s="114"/>
      <c r="AD44" s="114"/>
    </row>
    <row r="45" spans="1:30" s="68" customFormat="1" ht="15.75" customHeight="1" x14ac:dyDescent="0.25">
      <c r="A45" s="63" t="s">
        <v>7</v>
      </c>
      <c r="B45" s="83"/>
      <c r="C45" s="806" t="s">
        <v>225</v>
      </c>
      <c r="D45" s="807"/>
      <c r="E45" s="807"/>
      <c r="F45" s="944"/>
      <c r="G45" s="574" t="s">
        <v>31</v>
      </c>
      <c r="H45" s="82" t="s">
        <v>80</v>
      </c>
      <c r="I45" s="186"/>
      <c r="J45" s="147"/>
      <c r="K45" s="147">
        <f t="shared" si="12"/>
        <v>0</v>
      </c>
      <c r="L45" s="147">
        <f>IF(A45="Y", I45*2%,0)</f>
        <v>0</v>
      </c>
      <c r="M45" s="152">
        <f t="shared" si="9"/>
        <v>0</v>
      </c>
      <c r="N45" s="149"/>
      <c r="O45" s="804"/>
      <c r="P45" s="1078"/>
      <c r="Q45" s="72"/>
      <c r="R45" s="66"/>
      <c r="S45" s="140">
        <f t="shared" si="10"/>
        <v>0</v>
      </c>
      <c r="T45" s="147">
        <f t="shared" si="13"/>
        <v>0</v>
      </c>
      <c r="U45" s="152">
        <f t="shared" si="14"/>
        <v>0</v>
      </c>
      <c r="V45" s="210"/>
      <c r="W45" s="145">
        <f t="shared" si="11"/>
        <v>0</v>
      </c>
      <c r="X45" s="548"/>
      <c r="Y45" s="71"/>
      <c r="Z45" s="114"/>
      <c r="AA45" s="114"/>
      <c r="AB45" s="114"/>
      <c r="AC45" s="114"/>
      <c r="AD45" s="114"/>
    </row>
    <row r="46" spans="1:30" s="68" customFormat="1" ht="29.25" customHeight="1" x14ac:dyDescent="0.25">
      <c r="A46" s="83" t="s">
        <v>7</v>
      </c>
      <c r="B46" s="83"/>
      <c r="C46" s="804" t="s">
        <v>492</v>
      </c>
      <c r="D46" s="805"/>
      <c r="E46" s="805"/>
      <c r="F46" s="945"/>
      <c r="G46" s="574" t="s">
        <v>31</v>
      </c>
      <c r="H46" s="85" t="s">
        <v>41</v>
      </c>
      <c r="I46" s="86"/>
      <c r="J46" s="148"/>
      <c r="K46" s="148"/>
      <c r="L46" s="148"/>
      <c r="M46" s="154">
        <f>L47</f>
        <v>0</v>
      </c>
      <c r="N46" s="149"/>
      <c r="O46" s="804"/>
      <c r="P46" s="1078"/>
      <c r="Q46" s="72"/>
      <c r="R46" s="66"/>
      <c r="S46" s="93"/>
      <c r="T46" s="148"/>
      <c r="U46" s="154">
        <f>T47</f>
        <v>0</v>
      </c>
      <c r="V46" s="212"/>
      <c r="W46" s="145">
        <f t="shared" si="11"/>
        <v>0</v>
      </c>
      <c r="X46" s="548"/>
      <c r="Y46" s="71"/>
      <c r="Z46" s="114"/>
      <c r="AA46" s="114"/>
      <c r="AB46" s="114"/>
      <c r="AC46" s="114"/>
      <c r="AD46" s="114"/>
    </row>
    <row r="47" spans="1:30" s="114" customFormat="1" ht="14.5" x14ac:dyDescent="0.25">
      <c r="A47" s="112"/>
      <c r="B47" s="112"/>
      <c r="C47" s="112"/>
      <c r="D47" s="112"/>
      <c r="E47" s="113"/>
      <c r="F47" s="113"/>
      <c r="J47" s="250">
        <f>SUM(J19:J46)</f>
        <v>1.2</v>
      </c>
      <c r="L47" s="115">
        <f>SUM(L17:L46)</f>
        <v>0</v>
      </c>
      <c r="M47" s="155"/>
      <c r="Q47" s="116"/>
      <c r="R47" s="117"/>
      <c r="T47" s="115">
        <f>SUM(T17:T46)</f>
        <v>0</v>
      </c>
      <c r="U47" s="155"/>
      <c r="V47" s="213"/>
      <c r="W47" s="165"/>
      <c r="X47" s="165"/>
      <c r="Y47" s="118"/>
    </row>
    <row r="48" spans="1:30" s="95" customFormat="1" ht="16" thickBot="1" x14ac:dyDescent="0.3">
      <c r="A48" s="130"/>
      <c r="B48" s="130"/>
      <c r="C48" s="130"/>
      <c r="D48" s="130"/>
      <c r="E48" s="119"/>
      <c r="F48" s="131" t="s">
        <v>81</v>
      </c>
      <c r="G48" s="132"/>
      <c r="H48" s="133" t="s">
        <v>1</v>
      </c>
      <c r="I48" s="134">
        <f>SUM(I36:I47)</f>
        <v>131</v>
      </c>
      <c r="J48" s="134"/>
      <c r="K48" s="134">
        <f>SUM(K36:K47)</f>
        <v>88</v>
      </c>
      <c r="L48" s="135"/>
      <c r="M48" s="156">
        <f>SUM(M36:M47)</f>
        <v>131</v>
      </c>
      <c r="N48" s="136"/>
      <c r="O48" s="130" t="s">
        <v>1</v>
      </c>
      <c r="P48" s="130"/>
      <c r="Q48" s="137">
        <f>SUM(Q36:Q47)</f>
        <v>0</v>
      </c>
      <c r="R48" s="136"/>
      <c r="S48" s="188"/>
      <c r="T48" s="135"/>
      <c r="U48" s="156">
        <f>SUM(U36:U47)</f>
        <v>0</v>
      </c>
      <c r="V48" s="214"/>
      <c r="W48" s="175">
        <f>SUM(W36:W47)</f>
        <v>-131</v>
      </c>
      <c r="X48" s="530"/>
      <c r="Y48" s="138"/>
    </row>
    <row r="49" spans="1:25" s="50" customFormat="1" ht="15.75" customHeight="1" thickTop="1" x14ac:dyDescent="0.25">
      <c r="A49" s="1140" t="s">
        <v>61</v>
      </c>
      <c r="B49" s="1140"/>
      <c r="C49" s="1140"/>
      <c r="D49" s="192"/>
      <c r="E49" s="121"/>
      <c r="F49" s="121"/>
      <c r="J49" s="122"/>
      <c r="K49" s="122"/>
      <c r="M49" s="123"/>
      <c r="N49" s="122"/>
      <c r="W49" s="124"/>
      <c r="X49" s="124"/>
      <c r="Y49" s="125"/>
    </row>
    <row r="50" spans="1:25" s="127" customFormat="1" ht="18" customHeight="1" x14ac:dyDescent="0.25">
      <c r="A50" s="624">
        <v>1</v>
      </c>
      <c r="B50" s="1065"/>
      <c r="C50" s="1065"/>
      <c r="D50" s="1065"/>
      <c r="E50" s="1065"/>
      <c r="F50" s="1065"/>
      <c r="G50" s="1065"/>
      <c r="H50" s="1065"/>
      <c r="I50" s="1065"/>
      <c r="J50" s="1065"/>
      <c r="K50" s="1065"/>
      <c r="L50" s="1065"/>
      <c r="M50" s="1065"/>
      <c r="N50" s="1065"/>
      <c r="O50" s="1065"/>
      <c r="P50" s="1065"/>
      <c r="Q50" s="1065"/>
      <c r="R50" s="1065"/>
      <c r="S50" s="1065"/>
      <c r="T50" s="1065"/>
      <c r="U50" s="1065"/>
      <c r="V50" s="1065"/>
      <c r="W50" s="1065"/>
      <c r="X50" s="1065"/>
      <c r="Y50" s="1065"/>
    </row>
    <row r="51" spans="1:25" s="127" customFormat="1" ht="18" customHeight="1" x14ac:dyDescent="0.25">
      <c r="A51" s="624">
        <v>2</v>
      </c>
      <c r="B51" s="1065"/>
      <c r="C51" s="1065"/>
      <c r="D51" s="1065"/>
      <c r="E51" s="1065"/>
      <c r="F51" s="1065"/>
      <c r="G51" s="1065"/>
      <c r="H51" s="1065"/>
      <c r="I51" s="1065"/>
      <c r="J51" s="1065"/>
      <c r="K51" s="1065"/>
      <c r="L51" s="1065"/>
      <c r="M51" s="1065"/>
      <c r="N51" s="1065"/>
      <c r="O51" s="1065"/>
      <c r="P51" s="1065"/>
      <c r="Q51" s="1065"/>
      <c r="R51" s="1065"/>
      <c r="S51" s="1065"/>
      <c r="T51" s="1065"/>
      <c r="U51" s="1065"/>
      <c r="V51" s="1065"/>
      <c r="W51" s="1065"/>
      <c r="X51" s="1065"/>
      <c r="Y51" s="1065"/>
    </row>
    <row r="52" spans="1:25" s="127" customFormat="1" ht="18" customHeight="1" x14ac:dyDescent="0.25">
      <c r="A52" s="624">
        <v>3</v>
      </c>
      <c r="B52" s="1065"/>
      <c r="C52" s="1065"/>
      <c r="D52" s="1065"/>
      <c r="E52" s="1065"/>
      <c r="F52" s="1065"/>
      <c r="G52" s="1065"/>
      <c r="H52" s="1065"/>
      <c r="I52" s="1065"/>
      <c r="J52" s="1065"/>
      <c r="K52" s="1065"/>
      <c r="L52" s="1065"/>
      <c r="M52" s="1065"/>
      <c r="N52" s="1065"/>
      <c r="O52" s="1065"/>
      <c r="P52" s="1065"/>
      <c r="Q52" s="1065"/>
      <c r="R52" s="1065"/>
      <c r="S52" s="1065"/>
      <c r="T52" s="1065"/>
      <c r="U52" s="1065"/>
      <c r="V52" s="1065"/>
      <c r="W52" s="1065"/>
      <c r="X52" s="1065"/>
      <c r="Y52" s="1065"/>
    </row>
    <row r="53" spans="1:25" s="50" customFormat="1" ht="17.25" customHeight="1" x14ac:dyDescent="0.25">
      <c r="A53" s="624">
        <v>4</v>
      </c>
      <c r="B53" s="1065"/>
      <c r="C53" s="1065"/>
      <c r="D53" s="1065"/>
      <c r="E53" s="1065"/>
      <c r="F53" s="1065"/>
      <c r="G53" s="1065"/>
      <c r="H53" s="1065"/>
      <c r="I53" s="1065"/>
      <c r="J53" s="1065"/>
      <c r="K53" s="1065"/>
      <c r="L53" s="1065"/>
      <c r="M53" s="1065"/>
      <c r="N53" s="1065"/>
      <c r="O53" s="1065"/>
      <c r="P53" s="1065"/>
      <c r="Q53" s="1065"/>
      <c r="R53" s="1065"/>
      <c r="S53" s="1065"/>
      <c r="T53" s="1065"/>
      <c r="U53" s="1065"/>
      <c r="V53" s="1065"/>
      <c r="W53" s="1065"/>
      <c r="X53" s="1065"/>
      <c r="Y53" s="1065"/>
    </row>
  </sheetData>
  <sheetProtection insertRows="0"/>
  <mergeCells count="136">
    <mergeCell ref="O3:P3"/>
    <mergeCell ref="O11:P11"/>
    <mergeCell ref="C37:F37"/>
    <mergeCell ref="A49:C49"/>
    <mergeCell ref="B50:Y50"/>
    <mergeCell ref="B51:Y51"/>
    <mergeCell ref="B52:Y52"/>
    <mergeCell ref="C44:F44"/>
    <mergeCell ref="O44:P44"/>
    <mergeCell ref="C45:F45"/>
    <mergeCell ref="O45:P45"/>
    <mergeCell ref="C46:F46"/>
    <mergeCell ref="O46:P46"/>
    <mergeCell ref="C41:F41"/>
    <mergeCell ref="O41:P41"/>
    <mergeCell ref="C42:F42"/>
    <mergeCell ref="O42:P42"/>
    <mergeCell ref="C43:F43"/>
    <mergeCell ref="C38:F38"/>
    <mergeCell ref="O38:P38"/>
    <mergeCell ref="C39:F39"/>
    <mergeCell ref="O39:P39"/>
    <mergeCell ref="C40:F40"/>
    <mergeCell ref="O40:P40"/>
    <mergeCell ref="O37:P37"/>
    <mergeCell ref="O43:P43"/>
    <mergeCell ref="C35:F35"/>
    <mergeCell ref="O35:P35"/>
    <mergeCell ref="C36:F36"/>
    <mergeCell ref="O36:P36"/>
    <mergeCell ref="C32:F32"/>
    <mergeCell ref="O32:P32"/>
    <mergeCell ref="O30:P30"/>
    <mergeCell ref="C31:F31"/>
    <mergeCell ref="O31:P31"/>
    <mergeCell ref="C33:E33"/>
    <mergeCell ref="F33:F34"/>
    <mergeCell ref="O33:P33"/>
    <mergeCell ref="C34:E34"/>
    <mergeCell ref="O34:P34"/>
    <mergeCell ref="C25:F25"/>
    <mergeCell ref="O25:P25"/>
    <mergeCell ref="C26:D26"/>
    <mergeCell ref="E26:F30"/>
    <mergeCell ref="O26:P26"/>
    <mergeCell ref="C27:D27"/>
    <mergeCell ref="O27:P27"/>
    <mergeCell ref="C28:D28"/>
    <mergeCell ref="O28:P28"/>
    <mergeCell ref="C29:D29"/>
    <mergeCell ref="O29:P29"/>
    <mergeCell ref="C30:D30"/>
    <mergeCell ref="C22:F22"/>
    <mergeCell ref="O22:P22"/>
    <mergeCell ref="A11:C11"/>
    <mergeCell ref="D11:E11"/>
    <mergeCell ref="F11:G11"/>
    <mergeCell ref="I11:N11"/>
    <mergeCell ref="C23:F23"/>
    <mergeCell ref="O23:P23"/>
    <mergeCell ref="C24:F24"/>
    <mergeCell ref="O24:P24"/>
    <mergeCell ref="C19:F19"/>
    <mergeCell ref="O19:P19"/>
    <mergeCell ref="C17:F17"/>
    <mergeCell ref="B20:B21"/>
    <mergeCell ref="C20:F20"/>
    <mergeCell ref="O20:P20"/>
    <mergeCell ref="C21:F21"/>
    <mergeCell ref="O21:P21"/>
    <mergeCell ref="C18:F18"/>
    <mergeCell ref="O18:P18"/>
    <mergeCell ref="S11:Y11"/>
    <mergeCell ref="K13:M13"/>
    <mergeCell ref="O13:Q13"/>
    <mergeCell ref="S13:U13"/>
    <mergeCell ref="O17:P17"/>
    <mergeCell ref="X14:X16"/>
    <mergeCell ref="Y14:Y16"/>
    <mergeCell ref="A14:A16"/>
    <mergeCell ref="B14:B16"/>
    <mergeCell ref="C14:F16"/>
    <mergeCell ref="G14:G16"/>
    <mergeCell ref="I14:I16"/>
    <mergeCell ref="J14:J16"/>
    <mergeCell ref="W15:W16"/>
    <mergeCell ref="T14:T15"/>
    <mergeCell ref="K14:K15"/>
    <mergeCell ref="L14:L15"/>
    <mergeCell ref="M14:M15"/>
    <mergeCell ref="O14:P16"/>
    <mergeCell ref="Q14:Q15"/>
    <mergeCell ref="F7:G7"/>
    <mergeCell ref="I7:N7"/>
    <mergeCell ref="S7:Y7"/>
    <mergeCell ref="A8:C8"/>
    <mergeCell ref="D8:E8"/>
    <mergeCell ref="F8:G8"/>
    <mergeCell ref="I8:N8"/>
    <mergeCell ref="O8:P8"/>
    <mergeCell ref="A10:C10"/>
    <mergeCell ref="D10:E10"/>
    <mergeCell ref="F10:G10"/>
    <mergeCell ref="I10:N10"/>
    <mergeCell ref="O10:P10"/>
    <mergeCell ref="S10:Y10"/>
    <mergeCell ref="S8:Y9"/>
    <mergeCell ref="A9:C9"/>
    <mergeCell ref="D9:E9"/>
    <mergeCell ref="F9:G9"/>
    <mergeCell ref="I9:N9"/>
    <mergeCell ref="O9:P9"/>
    <mergeCell ref="B53:Y53"/>
    <mergeCell ref="A1:M1"/>
    <mergeCell ref="S3:Y3"/>
    <mergeCell ref="A4:C4"/>
    <mergeCell ref="D4:E4"/>
    <mergeCell ref="F4:G4"/>
    <mergeCell ref="I4:N4"/>
    <mergeCell ref="O4:P4"/>
    <mergeCell ref="S4:Y4"/>
    <mergeCell ref="N1:W1"/>
    <mergeCell ref="A6:C6"/>
    <mergeCell ref="D6:E6"/>
    <mergeCell ref="F6:G6"/>
    <mergeCell ref="I6:N6"/>
    <mergeCell ref="O6:P6"/>
    <mergeCell ref="S6:Y6"/>
    <mergeCell ref="A5:C5"/>
    <mergeCell ref="D5:E5"/>
    <mergeCell ref="F5:G5"/>
    <mergeCell ref="I5:N5"/>
    <mergeCell ref="O5:P5"/>
    <mergeCell ref="S5:Y5"/>
    <mergeCell ref="A7:C7"/>
    <mergeCell ref="D7:E7"/>
  </mergeCells>
  <conditionalFormatting sqref="E26">
    <cfRule type="cellIs" dxfId="94" priority="1" operator="notEqual">
      <formula>"GC 76000 PA ($" &amp;Q11 &amp;" for every 10) breakdown per local board of supervisor resolution (BOS)."</formula>
    </cfRule>
  </conditionalFormatting>
  <conditionalFormatting sqref="I17:I19">
    <cfRule type="cellIs" dxfId="93" priority="17" stopIfTrue="1" operator="equal">
      <formula>0</formula>
    </cfRule>
  </conditionalFormatting>
  <conditionalFormatting sqref="I19:I31 J19:M46 I33:I36">
    <cfRule type="cellIs" dxfId="92" priority="14" operator="equal">
      <formula>0</formula>
    </cfRule>
  </conditionalFormatting>
  <conditionalFormatting sqref="O17:Q46">
    <cfRule type="expression" dxfId="91" priority="15">
      <formula>MOD(ROW(),2)=0</formula>
    </cfRule>
  </conditionalFormatting>
  <conditionalFormatting sqref="S17:U46">
    <cfRule type="cellIs" dxfId="90" priority="19" stopIfTrue="1" operator="equal">
      <formula>0</formula>
    </cfRule>
  </conditionalFormatting>
  <conditionalFormatting sqref="W12:X13 W49:X49 W54:X65535">
    <cfRule type="cellIs" dxfId="89" priority="18" stopIfTrue="1" operator="notEqual">
      <formula>0</formula>
    </cfRule>
  </conditionalFormatting>
  <conditionalFormatting sqref="X19:X46">
    <cfRule type="cellIs" dxfId="88" priority="2" operator="greaterThan">
      <formula>0</formula>
    </cfRule>
  </conditionalFormatting>
  <dataValidations count="1">
    <dataValidation type="list" allowBlank="1" showInputMessage="1" showErrorMessage="1" sqref="W15" xr:uid="{00000000-0002-0000-1900-000000000000}">
      <formula1>Distribution_Method</formula1>
    </dataValidation>
  </dataValidations>
  <printOptions horizontalCentered="1"/>
  <pageMargins left="0.25" right="0.25" top="0.75" bottom="0.5" header="0.25" footer="0.25"/>
  <pageSetup scale="58" orientation="landscape" r:id="rId1"/>
  <headerFooter alignWithMargins="0">
    <oddHeader>&amp;CSUPERIOR OF COURT OF _________ COUNTY
Revenue Calculation and Distribution Worksheet</oddHeader>
    <oddFooter>&amp;L&amp;F&amp;R&amp;P of &amp;N</oddFooter>
  </headerFooter>
  <ignoredErrors>
    <ignoredError sqref="S32 W36 M36" formula="1"/>
    <ignoredError sqref="I40:I4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17089" r:id="rId4" name="Button 1">
              <controlPr defaultSize="0" print="0" autoFill="0" autoPict="0" macro="mcr_GoToSummary">
                <anchor moveWithCells="1">
                  <from>
                    <xdr:col>0</xdr:col>
                    <xdr:colOff>88900</xdr:colOff>
                    <xdr:row>0</xdr:row>
                    <xdr:rowOff>0</xdr:rowOff>
                  </from>
                  <to>
                    <xdr:col>3</xdr:col>
                    <xdr:colOff>127000</xdr:colOff>
                    <xdr:row>1</xdr:row>
                    <xdr:rowOff>31750</xdr:rowOff>
                  </to>
                </anchor>
              </controlPr>
            </control>
          </mc:Choice>
        </mc:AlternateContent>
        <mc:AlternateContent xmlns:mc="http://schemas.openxmlformats.org/markup-compatibility/2006">
          <mc:Choice Requires="x14">
            <control shapeId="217090" r:id="rId5" name="Button 2">
              <controlPr defaultSize="0" print="0" autoFill="0" autoPict="0" macro="[0]!mcrDisableTwoPercentUnprotect">
                <anchor moveWithCells="1">
                  <from>
                    <xdr:col>0</xdr:col>
                    <xdr:colOff>12700</xdr:colOff>
                    <xdr:row>13</xdr:row>
                    <xdr:rowOff>527050</xdr:rowOff>
                  </from>
                  <to>
                    <xdr:col>0</xdr:col>
                    <xdr:colOff>279400</xdr:colOff>
                    <xdr:row>15</xdr:row>
                    <xdr:rowOff>203200</xdr:rowOff>
                  </to>
                </anchor>
              </controlPr>
            </control>
          </mc:Choice>
        </mc:AlternateContent>
        <mc:AlternateContent xmlns:mc="http://schemas.openxmlformats.org/markup-compatibility/2006">
          <mc:Choice Requires="x14">
            <control shapeId="217091" r:id="rId6" name="Button 3">
              <controlPr defaultSize="0" print="0" autoFill="0" autoPict="0" macro="[0]!mcrEnableTwoPercentUnprotect">
                <anchor moveWithCells="1">
                  <from>
                    <xdr:col>0</xdr:col>
                    <xdr:colOff>0</xdr:colOff>
                    <xdr:row>13</xdr:row>
                    <xdr:rowOff>222250</xdr:rowOff>
                  </from>
                  <to>
                    <xdr:col>0</xdr:col>
                    <xdr:colOff>266700</xdr:colOff>
                    <xdr:row>13</xdr:row>
                    <xdr:rowOff>438150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6"/>
  </sheetPr>
  <dimension ref="A1"/>
  <sheetViews>
    <sheetView workbookViewId="0">
      <selection activeCell="L44" sqref="L44"/>
    </sheetView>
  </sheetViews>
  <sheetFormatPr defaultRowHeight="12.5" x14ac:dyDescent="0.25"/>
  <cols>
    <col min="8" max="8" width="9.1796875" customWidth="1"/>
  </cols>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3">
    <tabColor theme="6"/>
    <pageSetUpPr fitToPage="1"/>
  </sheetPr>
  <dimension ref="A1:AB53"/>
  <sheetViews>
    <sheetView zoomScale="80" zoomScaleNormal="80" workbookViewId="0">
      <pane ySplit="1" topLeftCell="A2" activePane="bottomLeft" state="frozen"/>
      <selection activeCell="C25" sqref="C25:D25"/>
      <selection pane="bottomLeft" sqref="A1:K1"/>
    </sheetView>
  </sheetViews>
  <sheetFormatPr defaultColWidth="9.1796875" defaultRowHeight="18.5" x14ac:dyDescent="0.25"/>
  <cols>
    <col min="1" max="1" width="4.26953125" style="87" customWidth="1"/>
    <col min="2" max="2" width="4.7265625" style="87" customWidth="1"/>
    <col min="3" max="3" width="14.1796875" style="87" customWidth="1"/>
    <col min="4" max="4" width="13.26953125" style="87" customWidth="1"/>
    <col min="5" max="5" width="10.453125" style="88" customWidth="1"/>
    <col min="6" max="6" width="17.453125" style="121" customWidth="1"/>
    <col min="7" max="7" width="9.1796875" style="46" customWidth="1"/>
    <col min="8" max="8" width="29.453125" style="46" hidden="1" customWidth="1"/>
    <col min="9" max="11" width="7.81640625" style="46" customWidth="1"/>
    <col min="12" max="12" width="6" style="46" hidden="1" customWidth="1"/>
    <col min="13" max="13" width="14" style="92" customWidth="1"/>
    <col min="14" max="14" width="1.7265625" style="89" customWidth="1"/>
    <col min="15" max="15" width="14" style="46" customWidth="1"/>
    <col min="16" max="16" width="1.54296875" style="46" customWidth="1"/>
    <col min="17" max="17" width="14.26953125" style="46" customWidth="1"/>
    <col min="18" max="18" width="1.7265625" style="89" customWidth="1"/>
    <col min="19" max="19" width="13.54296875" style="89" customWidth="1"/>
    <col min="20" max="20" width="1.26953125" style="50" customWidth="1"/>
    <col min="21" max="21" width="11.453125" style="90" customWidth="1"/>
    <col min="22" max="22" width="5" style="90" customWidth="1"/>
    <col min="23" max="23" width="25.26953125" style="91" customWidth="1"/>
    <col min="24" max="24" width="2.1796875" style="50" customWidth="1"/>
    <col min="25" max="25" width="11.54296875" style="50" customWidth="1"/>
    <col min="26" max="27" width="9.7265625" style="50" customWidth="1"/>
    <col min="28" max="28" width="9.1796875" style="50"/>
    <col min="29" max="16384" width="9.1796875" style="46"/>
  </cols>
  <sheetData>
    <row r="1" spans="1:28" ht="20.25" customHeight="1" thickBot="1" x14ac:dyDescent="0.3">
      <c r="A1" s="1081" t="s">
        <v>288</v>
      </c>
      <c r="B1" s="1082"/>
      <c r="C1" s="1082"/>
      <c r="D1" s="1082"/>
      <c r="E1" s="1082"/>
      <c r="F1" s="1082"/>
      <c r="G1" s="1082"/>
      <c r="H1" s="1082"/>
      <c r="I1" s="1082"/>
      <c r="J1" s="1082"/>
      <c r="K1" s="1082"/>
      <c r="L1" s="591"/>
      <c r="M1" s="591"/>
      <c r="N1" s="591"/>
      <c r="O1" s="591"/>
      <c r="P1" s="591"/>
      <c r="Q1" s="591"/>
      <c r="R1" s="591"/>
      <c r="S1" s="591"/>
      <c r="T1" s="591"/>
      <c r="U1" s="591"/>
      <c r="V1" s="593" t="s">
        <v>486</v>
      </c>
      <c r="W1" s="612" t="str">
        <f>'Cover Page'!A3</f>
        <v>January 2014</v>
      </c>
    </row>
    <row r="2" spans="1:28" s="50" customFormat="1" ht="11.25" customHeight="1" thickBot="1" x14ac:dyDescent="0.3">
      <c r="A2" s="47"/>
      <c r="B2" s="47"/>
      <c r="C2" s="47"/>
      <c r="D2" s="47"/>
      <c r="E2" s="47"/>
      <c r="F2" s="47"/>
      <c r="G2" s="47"/>
      <c r="H2" s="47"/>
      <c r="I2" s="47"/>
      <c r="J2" s="47"/>
      <c r="K2" s="47"/>
      <c r="L2" s="48"/>
      <c r="M2" s="48"/>
      <c r="N2" s="48"/>
      <c r="O2" s="48"/>
      <c r="P2" s="48"/>
      <c r="Q2" s="49"/>
      <c r="R2" s="49"/>
      <c r="S2" s="49"/>
      <c r="T2" s="49"/>
      <c r="U2" s="49"/>
      <c r="V2" s="49"/>
      <c r="W2" s="49"/>
    </row>
    <row r="3" spans="1:28" s="50" customFormat="1" ht="19.5" thickTop="1" thickBot="1" x14ac:dyDescent="0.3">
      <c r="A3" s="630" t="s">
        <v>234</v>
      </c>
      <c r="B3" s="631"/>
      <c r="C3" s="631"/>
      <c r="D3" s="631"/>
      <c r="E3" s="631"/>
      <c r="F3" s="631"/>
      <c r="G3" s="631"/>
      <c r="H3" s="631"/>
      <c r="I3" s="631"/>
      <c r="J3" s="631"/>
      <c r="K3" s="631"/>
      <c r="L3" s="631"/>
      <c r="M3" s="1221"/>
      <c r="N3" s="1245"/>
      <c r="O3" s="638"/>
      <c r="P3" s="160"/>
      <c r="Q3" s="1091" t="s">
        <v>261</v>
      </c>
      <c r="R3" s="1092"/>
      <c r="S3" s="1092"/>
      <c r="T3" s="1092"/>
      <c r="U3" s="1092"/>
      <c r="V3" s="1092"/>
      <c r="W3" s="1093"/>
      <c r="Y3" s="159" t="s">
        <v>250</v>
      </c>
      <c r="Z3" s="120"/>
    </row>
    <row r="4" spans="1:28" s="53" customFormat="1" ht="15.5" x14ac:dyDescent="0.25">
      <c r="A4" s="1087" t="s">
        <v>231</v>
      </c>
      <c r="B4" s="1087"/>
      <c r="C4" s="1087"/>
      <c r="D4" s="1226">
        <f>L1</f>
        <v>0</v>
      </c>
      <c r="E4" s="1227"/>
      <c r="F4" s="1228" t="s">
        <v>28</v>
      </c>
      <c r="G4" s="1100"/>
      <c r="H4" s="190"/>
      <c r="I4" s="983"/>
      <c r="J4" s="908"/>
      <c r="K4" s="909"/>
      <c r="L4" s="910" t="s">
        <v>257</v>
      </c>
      <c r="M4" s="910"/>
      <c r="N4" s="1100"/>
      <c r="O4" s="191"/>
      <c r="P4" s="52"/>
      <c r="Q4" s="1094" t="s">
        <v>236</v>
      </c>
      <c r="R4" s="1095"/>
      <c r="S4" s="1095"/>
      <c r="T4" s="1095"/>
      <c r="U4" s="1095"/>
      <c r="V4" s="1095"/>
      <c r="W4" s="1096"/>
      <c r="Y4" s="240" t="s">
        <v>308</v>
      </c>
      <c r="Z4" s="241" t="s">
        <v>309</v>
      </c>
      <c r="AA4" s="241" t="s">
        <v>310</v>
      </c>
    </row>
    <row r="5" spans="1:28" s="53" customFormat="1" ht="15.5" x14ac:dyDescent="0.25">
      <c r="A5" s="883" t="s">
        <v>4</v>
      </c>
      <c r="B5" s="883"/>
      <c r="C5" s="883"/>
      <c r="D5" s="894"/>
      <c r="E5" s="885"/>
      <c r="F5" s="844" t="s">
        <v>244</v>
      </c>
      <c r="G5" s="845"/>
      <c r="H5" s="167"/>
      <c r="I5" s="884"/>
      <c r="J5" s="895"/>
      <c r="K5" s="896"/>
      <c r="L5" s="872" t="s">
        <v>22</v>
      </c>
      <c r="M5" s="872"/>
      <c r="N5" s="845"/>
      <c r="O5" s="54"/>
      <c r="P5" s="52"/>
      <c r="Q5" s="897" t="s">
        <v>302</v>
      </c>
      <c r="R5" s="898"/>
      <c r="S5" s="898"/>
      <c r="T5" s="898"/>
      <c r="U5" s="898"/>
      <c r="V5" s="898"/>
      <c r="W5" s="899"/>
      <c r="Y5" s="157" t="s">
        <v>31</v>
      </c>
      <c r="Z5" s="161">
        <f>SUMIF($G$17:$G$45,"STATE",$M$17:$M$45)</f>
        <v>102.99000000000001</v>
      </c>
      <c r="AA5" s="161">
        <f>SUMIF($G$17:$G$45,"STATE",$S$17:$S$45)</f>
        <v>0</v>
      </c>
    </row>
    <row r="6" spans="1:28" s="53" customFormat="1" ht="16" thickBot="1" x14ac:dyDescent="0.3">
      <c r="A6" s="883" t="s">
        <v>12</v>
      </c>
      <c r="B6" s="883"/>
      <c r="C6" s="883"/>
      <c r="D6" s="894"/>
      <c r="E6" s="900"/>
      <c r="F6" s="844" t="s">
        <v>20</v>
      </c>
      <c r="G6" s="845"/>
      <c r="H6" s="167"/>
      <c r="I6" s="884" t="s">
        <v>271</v>
      </c>
      <c r="J6" s="895"/>
      <c r="K6" s="896"/>
      <c r="L6" s="848" t="s">
        <v>233</v>
      </c>
      <c r="M6" s="848"/>
      <c r="N6" s="1229"/>
      <c r="O6" s="194">
        <f>O4+O5*10</f>
        <v>0</v>
      </c>
      <c r="P6" s="52"/>
      <c r="Q6" s="891" t="s">
        <v>573</v>
      </c>
      <c r="R6" s="892"/>
      <c r="S6" s="892"/>
      <c r="T6" s="892"/>
      <c r="U6" s="892"/>
      <c r="V6" s="892"/>
      <c r="W6" s="893"/>
      <c r="Y6" s="157" t="s">
        <v>32</v>
      </c>
      <c r="Z6" s="161">
        <f>SUMIF($G$17:$G$45,"county",$M$17:$M$45)</f>
        <v>28.00999999999998</v>
      </c>
      <c r="AA6" s="161">
        <f>SUMIF($G$17:$G$45,"county",$S$17:$S$45)</f>
        <v>0</v>
      </c>
    </row>
    <row r="7" spans="1:28" s="53" customFormat="1" ht="16" thickBot="1" x14ac:dyDescent="0.3">
      <c r="A7" s="883" t="s">
        <v>5</v>
      </c>
      <c r="B7" s="883"/>
      <c r="C7" s="883"/>
      <c r="D7" s="884"/>
      <c r="E7" s="885"/>
      <c r="F7" s="856" t="s">
        <v>21</v>
      </c>
      <c r="G7" s="857"/>
      <c r="H7" s="168"/>
      <c r="I7" s="1068" t="s">
        <v>66</v>
      </c>
      <c r="J7" s="886"/>
      <c r="K7" s="1230"/>
      <c r="L7" s="1104"/>
      <c r="M7" s="1104"/>
      <c r="N7" s="1104"/>
      <c r="O7" s="195"/>
      <c r="P7" s="52"/>
      <c r="Q7" s="1117" t="s">
        <v>235</v>
      </c>
      <c r="R7" s="1118"/>
      <c r="S7" s="1118"/>
      <c r="T7" s="1118"/>
      <c r="U7" s="1118"/>
      <c r="V7" s="1118"/>
      <c r="W7" s="1119"/>
      <c r="Y7" s="157" t="s">
        <v>52</v>
      </c>
      <c r="Z7" s="161">
        <f>SUMIF($G$17:$G$45,"city",$M$17:$M$45)</f>
        <v>0</v>
      </c>
      <c r="AA7" s="161">
        <f>SUMIF($G$17:$G$45,"city",$S$17:$S$45)</f>
        <v>0</v>
      </c>
    </row>
    <row r="8" spans="1:28" s="53" customFormat="1" ht="15.75" customHeight="1" x14ac:dyDescent="0.25">
      <c r="A8" s="874" t="s">
        <v>54</v>
      </c>
      <c r="B8" s="874"/>
      <c r="C8" s="874"/>
      <c r="D8" s="1163">
        <v>1</v>
      </c>
      <c r="E8" s="1184"/>
      <c r="F8" s="877" t="s">
        <v>253</v>
      </c>
      <c r="G8" s="878"/>
      <c r="H8" s="169"/>
      <c r="I8" s="983"/>
      <c r="J8" s="908"/>
      <c r="K8" s="909"/>
      <c r="L8" s="881" t="s">
        <v>257</v>
      </c>
      <c r="M8" s="881"/>
      <c r="N8" s="878"/>
      <c r="O8" s="51">
        <v>0</v>
      </c>
      <c r="P8" s="52"/>
      <c r="Q8" s="1131" t="s">
        <v>303</v>
      </c>
      <c r="R8" s="863"/>
      <c r="S8" s="863"/>
      <c r="T8" s="863"/>
      <c r="U8" s="863"/>
      <c r="V8" s="863"/>
      <c r="W8" s="1132"/>
      <c r="Y8" s="157" t="s">
        <v>230</v>
      </c>
      <c r="Z8" s="161">
        <f>SUMIF($G$17:$G$45,"court",$M$17:$M$45)</f>
        <v>0</v>
      </c>
      <c r="AA8" s="161">
        <f>SUMIF($G$17:$G$45,"court",$S$17:$S$45)</f>
        <v>0</v>
      </c>
    </row>
    <row r="9" spans="1:28" s="53" customFormat="1" ht="20.25" customHeight="1" thickBot="1" x14ac:dyDescent="0.3">
      <c r="A9" s="874" t="s">
        <v>53</v>
      </c>
      <c r="B9" s="874"/>
      <c r="C9" s="874"/>
      <c r="D9" s="870">
        <f>100%-D8</f>
        <v>0</v>
      </c>
      <c r="E9" s="871"/>
      <c r="F9" s="844" t="s">
        <v>244</v>
      </c>
      <c r="G9" s="845"/>
      <c r="H9" s="167"/>
      <c r="I9" s="884"/>
      <c r="J9" s="895"/>
      <c r="K9" s="896"/>
      <c r="L9" s="872" t="s">
        <v>22</v>
      </c>
      <c r="M9" s="872"/>
      <c r="N9" s="845"/>
      <c r="O9" s="54"/>
      <c r="Q9" s="1133"/>
      <c r="R9" s="866"/>
      <c r="S9" s="866"/>
      <c r="T9" s="866"/>
      <c r="U9" s="866"/>
      <c r="V9" s="866"/>
      <c r="W9" s="1134"/>
      <c r="Y9" s="84" t="s">
        <v>446</v>
      </c>
      <c r="Z9" s="161">
        <f>SUMIF($G$17:$G$45,"CNTY or CTY",$M$17:$M$45)</f>
        <v>0</v>
      </c>
      <c r="AA9" s="161">
        <f>SUMIF($G$17:$G$45,"CNTY or CTY",$S$17:$S$45)</f>
        <v>0</v>
      </c>
    </row>
    <row r="10" spans="1:28" s="53" customFormat="1" ht="16.5" customHeight="1" thickBot="1" x14ac:dyDescent="0.3">
      <c r="A10" s="840" t="s">
        <v>276</v>
      </c>
      <c r="B10" s="841"/>
      <c r="C10" s="841"/>
      <c r="D10" s="1066">
        <f>O6+O10</f>
        <v>0</v>
      </c>
      <c r="E10" s="1067"/>
      <c r="F10" s="844" t="s">
        <v>20</v>
      </c>
      <c r="G10" s="845"/>
      <c r="H10" s="167"/>
      <c r="I10" s="884"/>
      <c r="J10" s="895"/>
      <c r="K10" s="896"/>
      <c r="L10" s="848" t="s">
        <v>233</v>
      </c>
      <c r="M10" s="848"/>
      <c r="N10" s="1229"/>
      <c r="O10" s="194">
        <f>O8+O9*10</f>
        <v>0</v>
      </c>
      <c r="Q10" s="1237" t="s">
        <v>239</v>
      </c>
      <c r="R10" s="850"/>
      <c r="S10" s="850"/>
      <c r="T10" s="850"/>
      <c r="U10" s="850"/>
      <c r="V10" s="850"/>
      <c r="W10" s="1238"/>
      <c r="Y10" s="158" t="s">
        <v>246</v>
      </c>
      <c r="Z10" s="134">
        <f>SUM(Z5:Z9)</f>
        <v>131</v>
      </c>
      <c r="AA10" s="134">
        <f>SUM(AA5:AA9)</f>
        <v>0</v>
      </c>
    </row>
    <row r="11" spans="1:28" s="53" customFormat="1" ht="16.5" customHeight="1" thickBot="1" x14ac:dyDescent="0.3">
      <c r="A11" s="852" t="s">
        <v>277</v>
      </c>
      <c r="B11" s="853"/>
      <c r="C11" s="853"/>
      <c r="D11" s="854">
        <f>ROUNDUP(D10/10,0)</f>
        <v>0</v>
      </c>
      <c r="E11" s="855"/>
      <c r="F11" s="856" t="s">
        <v>21</v>
      </c>
      <c r="G11" s="857"/>
      <c r="H11" s="168"/>
      <c r="I11" s="1068"/>
      <c r="J11" s="886"/>
      <c r="K11" s="887"/>
      <c r="L11" s="860" t="s">
        <v>568</v>
      </c>
      <c r="M11" s="1239"/>
      <c r="N11" s="861"/>
      <c r="O11" s="632">
        <f>'1-DUI (Reduce Base)'!P11</f>
        <v>5</v>
      </c>
      <c r="Q11" s="1240" t="s">
        <v>430</v>
      </c>
      <c r="R11" s="1241"/>
      <c r="S11" s="1241"/>
      <c r="T11" s="1241"/>
      <c r="U11" s="1241"/>
      <c r="V11" s="1241"/>
      <c r="W11" s="1242"/>
      <c r="Z11" s="242">
        <f>Z10-M48</f>
        <v>0</v>
      </c>
      <c r="AA11" s="242">
        <f>AA10-S48</f>
        <v>0</v>
      </c>
    </row>
    <row r="12" spans="1:28" s="53" customFormat="1" ht="15" customHeight="1" thickBot="1" x14ac:dyDescent="0.3">
      <c r="A12" s="173"/>
      <c r="B12" s="173"/>
      <c r="C12" s="173"/>
      <c r="D12" s="173"/>
      <c r="E12" s="173"/>
      <c r="F12" s="60"/>
      <c r="G12" s="55"/>
      <c r="H12" s="56"/>
      <c r="I12" s="57"/>
      <c r="J12" s="57"/>
      <c r="K12" s="57"/>
      <c r="L12" s="57"/>
      <c r="M12" s="57"/>
      <c r="N12" s="57"/>
      <c r="Q12" s="52"/>
      <c r="R12" s="52"/>
      <c r="S12" s="52"/>
      <c r="T12" s="52"/>
      <c r="U12" s="58"/>
      <c r="V12" s="58"/>
      <c r="W12" s="56"/>
      <c r="AA12" s="59"/>
    </row>
    <row r="13" spans="1:28" s="98" customFormat="1" ht="36" customHeight="1" thickBot="1" x14ac:dyDescent="0.3">
      <c r="A13" s="174"/>
      <c r="B13" s="174"/>
      <c r="C13" s="174"/>
      <c r="D13" s="174"/>
      <c r="E13" s="174"/>
      <c r="F13" s="96"/>
      <c r="G13" s="97"/>
      <c r="I13" s="181"/>
      <c r="J13" s="181"/>
      <c r="K13" s="246"/>
      <c r="L13" s="822" t="s">
        <v>314</v>
      </c>
      <c r="M13" s="823"/>
      <c r="N13" s="225"/>
      <c r="O13" s="1233" t="s">
        <v>312</v>
      </c>
      <c r="P13" s="1156"/>
      <c r="Q13" s="1157"/>
      <c r="R13" s="226"/>
      <c r="S13" s="244" t="s">
        <v>311</v>
      </c>
      <c r="T13" s="207"/>
      <c r="U13" s="143"/>
      <c r="V13" s="143"/>
      <c r="W13" s="144"/>
      <c r="X13" s="97"/>
      <c r="Y13" s="97"/>
      <c r="Z13" s="97"/>
      <c r="AA13" s="97"/>
      <c r="AB13" s="97"/>
    </row>
    <row r="14" spans="1:28" ht="50.25" customHeight="1" thickBot="1" x14ac:dyDescent="0.3">
      <c r="A14" s="101">
        <v>0.02</v>
      </c>
      <c r="B14" s="101" t="s">
        <v>58</v>
      </c>
      <c r="C14" s="835" t="s">
        <v>226</v>
      </c>
      <c r="D14" s="835"/>
      <c r="E14" s="835"/>
      <c r="F14" s="835"/>
      <c r="G14" s="102" t="s">
        <v>249</v>
      </c>
      <c r="H14" s="102" t="s">
        <v>0</v>
      </c>
      <c r="I14" s="833" t="s">
        <v>269</v>
      </c>
      <c r="J14" s="204" t="s">
        <v>290</v>
      </c>
      <c r="K14" s="204" t="s">
        <v>294</v>
      </c>
      <c r="L14" s="835" t="s">
        <v>6</v>
      </c>
      <c r="M14" s="1123" t="s">
        <v>304</v>
      </c>
      <c r="N14" s="61"/>
      <c r="O14" s="1122" t="s">
        <v>260</v>
      </c>
      <c r="P14" s="1123"/>
      <c r="Q14" s="109" t="s">
        <v>248</v>
      </c>
      <c r="R14" s="110"/>
      <c r="S14" s="170" t="s">
        <v>313</v>
      </c>
      <c r="T14" s="208"/>
      <c r="U14" s="189" t="s">
        <v>256</v>
      </c>
      <c r="V14" s="1148" t="s">
        <v>61</v>
      </c>
      <c r="W14" s="1150" t="s">
        <v>384</v>
      </c>
    </row>
    <row r="15" spans="1:28" ht="11.25" customHeight="1" thickBot="1" x14ac:dyDescent="0.3">
      <c r="A15" s="233"/>
      <c r="B15" s="233"/>
      <c r="C15" s="1202"/>
      <c r="D15" s="1202"/>
      <c r="E15" s="1202"/>
      <c r="F15" s="1202"/>
      <c r="G15" s="234"/>
      <c r="H15" s="234"/>
      <c r="I15" s="1206"/>
      <c r="J15" s="235"/>
      <c r="K15" s="235"/>
      <c r="L15" s="836"/>
      <c r="M15" s="1213"/>
      <c r="N15" s="62"/>
      <c r="O15" s="1234"/>
      <c r="P15" s="1235"/>
      <c r="Q15" s="171"/>
      <c r="R15" s="110"/>
      <c r="S15" s="232">
        <f>(S35-SUM(S25:S26))/(I35-SUM(K25:K26))</f>
        <v>0</v>
      </c>
      <c r="T15" s="239"/>
      <c r="U15" s="1231" t="s">
        <v>300</v>
      </c>
      <c r="V15" s="1194"/>
      <c r="W15" s="1195"/>
    </row>
    <row r="16" spans="1:28" ht="20.25" customHeight="1" thickBot="1" x14ac:dyDescent="0.3">
      <c r="A16" s="245" t="s">
        <v>7</v>
      </c>
      <c r="B16" s="104"/>
      <c r="C16" s="199"/>
      <c r="D16" s="200"/>
      <c r="E16" s="200"/>
      <c r="F16" s="201"/>
      <c r="G16" s="105"/>
      <c r="H16" s="105"/>
      <c r="I16" s="106"/>
      <c r="J16" s="205"/>
      <c r="K16" s="205"/>
      <c r="L16" s="236"/>
      <c r="M16" s="222" t="s">
        <v>42</v>
      </c>
      <c r="N16" s="62"/>
      <c r="O16" s="202"/>
      <c r="P16" s="203"/>
      <c r="Q16" s="222" t="s">
        <v>43</v>
      </c>
      <c r="R16" s="110"/>
      <c r="S16" s="222" t="s">
        <v>44</v>
      </c>
      <c r="T16" s="237"/>
      <c r="U16" s="1232"/>
      <c r="V16" s="1194"/>
      <c r="W16" s="1236"/>
    </row>
    <row r="17" spans="1:28" s="68" customFormat="1" ht="15" thickTop="1" x14ac:dyDescent="0.25">
      <c r="A17" s="63" t="s">
        <v>7</v>
      </c>
      <c r="B17" s="238"/>
      <c r="C17" s="1105" t="s">
        <v>291</v>
      </c>
      <c r="D17" s="1105"/>
      <c r="E17" s="1105"/>
      <c r="F17" s="1105"/>
      <c r="G17" s="575" t="s">
        <v>32</v>
      </c>
      <c r="H17" s="65" t="s">
        <v>14</v>
      </c>
      <c r="I17" s="139"/>
      <c r="J17" s="145"/>
      <c r="K17" s="145"/>
      <c r="L17" s="147">
        <f>IF(A17="Y",(I35-K35)*2%,)</f>
        <v>0</v>
      </c>
      <c r="M17" s="180">
        <f>(I48-K48)-L17</f>
        <v>1.7999999999999829</v>
      </c>
      <c r="N17" s="149"/>
      <c r="O17" s="1243"/>
      <c r="P17" s="1244"/>
      <c r="Q17" s="197"/>
      <c r="R17" s="66"/>
      <c r="S17" s="180">
        <f t="shared" ref="S17:S24" si="0">IF($S$48=0,,$S$15*M17)</f>
        <v>0</v>
      </c>
      <c r="T17" s="227"/>
      <c r="U17" s="145">
        <f>IF($U$15="Base-up   (B-A)",Q17-M17,Q17-S17)</f>
        <v>-1.7999999999999829</v>
      </c>
      <c r="V17" s="548"/>
      <c r="W17" s="464"/>
      <c r="X17" s="114"/>
      <c r="Y17" s="114"/>
      <c r="Z17" s="114"/>
      <c r="AA17" s="114"/>
      <c r="AB17" s="114"/>
    </row>
    <row r="18" spans="1:28" s="68" customFormat="1" ht="14.5" x14ac:dyDescent="0.25">
      <c r="A18" s="63" t="s">
        <v>7</v>
      </c>
      <c r="B18" s="198"/>
      <c r="C18" s="1105" t="s">
        <v>289</v>
      </c>
      <c r="D18" s="1105"/>
      <c r="E18" s="1105"/>
      <c r="F18" s="1105"/>
      <c r="G18" s="567" t="str">
        <f>IF(D9&gt;0,"CITY","COUNTY")</f>
        <v>COUNTY</v>
      </c>
      <c r="H18" s="65" t="s">
        <v>14</v>
      </c>
      <c r="I18" s="139"/>
      <c r="J18" s="145"/>
      <c r="K18" s="145">
        <f>J46</f>
        <v>1.2</v>
      </c>
      <c r="L18" s="147">
        <f>IF(A18="Y",K18* 2%,0)</f>
        <v>0</v>
      </c>
      <c r="M18" s="152">
        <f>K18-L18</f>
        <v>1.2</v>
      </c>
      <c r="N18" s="149"/>
      <c r="O18" s="804"/>
      <c r="P18" s="1078"/>
      <c r="Q18" s="72"/>
      <c r="R18" s="66"/>
      <c r="S18" s="152">
        <f t="shared" si="0"/>
        <v>0</v>
      </c>
      <c r="T18" s="227"/>
      <c r="U18" s="145">
        <f t="shared" ref="U18:U45" si="1">IF($U$15="Base-up   (B-A)",Q18-M18,Q18-S18)</f>
        <v>-1.2</v>
      </c>
      <c r="V18" s="548"/>
      <c r="W18" s="462"/>
      <c r="X18" s="114"/>
      <c r="Y18" s="114"/>
      <c r="Z18" s="114"/>
      <c r="AA18" s="114"/>
      <c r="AB18" s="114"/>
    </row>
    <row r="19" spans="1:28" s="68" customFormat="1" ht="14.5" x14ac:dyDescent="0.25">
      <c r="A19" s="63" t="s">
        <v>7</v>
      </c>
      <c r="B19" s="819" t="s">
        <v>241</v>
      </c>
      <c r="C19" s="812" t="s">
        <v>307</v>
      </c>
      <c r="D19" s="812"/>
      <c r="E19" s="812"/>
      <c r="F19" s="812"/>
      <c r="G19" s="566" t="s">
        <v>32</v>
      </c>
      <c r="H19" s="71" t="s">
        <v>27</v>
      </c>
      <c r="I19" s="140">
        <f>($D$10)*D8</f>
        <v>0</v>
      </c>
      <c r="J19" s="140">
        <f>I19*30%</f>
        <v>0</v>
      </c>
      <c r="K19" s="556"/>
      <c r="L19" s="147">
        <f t="shared" ref="L19:L32" si="2">IF(A19="Y",K19* 2%,0)</f>
        <v>0</v>
      </c>
      <c r="M19" s="152">
        <f t="shared" ref="M19:M34" si="3">K19-L19</f>
        <v>0</v>
      </c>
      <c r="N19" s="149"/>
      <c r="O19" s="804"/>
      <c r="P19" s="1078"/>
      <c r="Q19" s="72"/>
      <c r="R19" s="66"/>
      <c r="S19" s="152">
        <f t="shared" si="0"/>
        <v>0</v>
      </c>
      <c r="T19" s="227"/>
      <c r="U19" s="145">
        <f t="shared" si="1"/>
        <v>0</v>
      </c>
      <c r="V19" s="548"/>
      <c r="W19" s="464"/>
      <c r="X19" s="114"/>
      <c r="Y19" s="114"/>
      <c r="Z19" s="114"/>
      <c r="AA19" s="114"/>
      <c r="AB19" s="114"/>
    </row>
    <row r="20" spans="1:28" s="68" customFormat="1" ht="14.5" x14ac:dyDescent="0.25">
      <c r="A20" s="63" t="s">
        <v>7</v>
      </c>
      <c r="B20" s="820"/>
      <c r="C20" s="812" t="s">
        <v>306</v>
      </c>
      <c r="D20" s="812"/>
      <c r="E20" s="812"/>
      <c r="F20" s="812"/>
      <c r="G20" s="566" t="s">
        <v>52</v>
      </c>
      <c r="H20" s="71" t="s">
        <v>25</v>
      </c>
      <c r="I20" s="140">
        <f>($D$10)*D9</f>
        <v>0</v>
      </c>
      <c r="J20" s="140">
        <f t="shared" ref="J20:J33" si="4">I20*30%</f>
        <v>0</v>
      </c>
      <c r="K20" s="140">
        <f>IF(I20&gt;0,(I20-J20)*98%,)</f>
        <v>0</v>
      </c>
      <c r="L20" s="147">
        <f t="shared" si="2"/>
        <v>0</v>
      </c>
      <c r="M20" s="152">
        <f t="shared" si="3"/>
        <v>0</v>
      </c>
      <c r="N20" s="149"/>
      <c r="O20" s="804"/>
      <c r="P20" s="1078"/>
      <c r="Q20" s="72"/>
      <c r="R20" s="66"/>
      <c r="S20" s="152">
        <f t="shared" si="0"/>
        <v>0</v>
      </c>
      <c r="T20" s="227"/>
      <c r="U20" s="145">
        <f t="shared" si="1"/>
        <v>0</v>
      </c>
      <c r="V20" s="548"/>
      <c r="W20" s="462"/>
      <c r="X20" s="623"/>
      <c r="Y20" s="114"/>
      <c r="Z20" s="114"/>
      <c r="AA20" s="114"/>
      <c r="AB20" s="114"/>
    </row>
    <row r="21" spans="1:28" s="68" customFormat="1" ht="15" customHeight="1" x14ac:dyDescent="0.25">
      <c r="A21" s="63" t="s">
        <v>7</v>
      </c>
      <c r="B21" s="69">
        <v>7</v>
      </c>
      <c r="C21" s="812" t="s">
        <v>546</v>
      </c>
      <c r="D21" s="812"/>
      <c r="E21" s="812"/>
      <c r="F21" s="812"/>
      <c r="G21" s="566" t="s">
        <v>31</v>
      </c>
      <c r="H21" s="71" t="s">
        <v>26</v>
      </c>
      <c r="I21" s="140">
        <f>$D$11*B21</f>
        <v>0</v>
      </c>
      <c r="J21" s="140">
        <f t="shared" si="4"/>
        <v>0</v>
      </c>
      <c r="K21" s="555"/>
      <c r="L21" s="147">
        <f t="shared" si="2"/>
        <v>0</v>
      </c>
      <c r="M21" s="152">
        <f t="shared" si="3"/>
        <v>0</v>
      </c>
      <c r="N21" s="149"/>
      <c r="O21" s="804"/>
      <c r="P21" s="1078"/>
      <c r="Q21" s="74"/>
      <c r="R21" s="75"/>
      <c r="S21" s="152">
        <f t="shared" si="0"/>
        <v>0</v>
      </c>
      <c r="T21" s="227"/>
      <c r="U21" s="145">
        <f t="shared" si="1"/>
        <v>0</v>
      </c>
      <c r="V21" s="548"/>
      <c r="W21" s="457"/>
      <c r="X21" s="114"/>
      <c r="Y21" s="114"/>
      <c r="Z21" s="114"/>
      <c r="AA21" s="114"/>
      <c r="AB21" s="114"/>
    </row>
    <row r="22" spans="1:28" s="68" customFormat="1" ht="15" customHeight="1" x14ac:dyDescent="0.25">
      <c r="A22" s="63" t="s">
        <v>7</v>
      </c>
      <c r="B22" s="69">
        <v>3</v>
      </c>
      <c r="C22" s="812" t="s">
        <v>547</v>
      </c>
      <c r="D22" s="812"/>
      <c r="E22" s="812"/>
      <c r="F22" s="812"/>
      <c r="G22" s="566" t="s">
        <v>32</v>
      </c>
      <c r="H22" s="71" t="s">
        <v>27</v>
      </c>
      <c r="I22" s="140">
        <f t="shared" ref="I22:I33" si="5">$D$11*B22</f>
        <v>0</v>
      </c>
      <c r="J22" s="140">
        <f t="shared" si="4"/>
        <v>0</v>
      </c>
      <c r="K22" s="555"/>
      <c r="L22" s="147">
        <f t="shared" si="2"/>
        <v>0</v>
      </c>
      <c r="M22" s="152">
        <f t="shared" si="3"/>
        <v>0</v>
      </c>
      <c r="N22" s="149"/>
      <c r="O22" s="804"/>
      <c r="P22" s="1078"/>
      <c r="Q22" s="72"/>
      <c r="R22" s="66"/>
      <c r="S22" s="152">
        <f t="shared" si="0"/>
        <v>0</v>
      </c>
      <c r="T22" s="227"/>
      <c r="U22" s="145">
        <f t="shared" si="1"/>
        <v>0</v>
      </c>
      <c r="V22" s="548"/>
      <c r="W22" s="457"/>
      <c r="X22" s="114"/>
      <c r="Y22" s="114"/>
      <c r="Z22" s="114"/>
      <c r="AA22" s="114"/>
      <c r="AB22" s="114"/>
    </row>
    <row r="23" spans="1:28" s="68" customFormat="1" ht="15.75" customHeight="1" x14ac:dyDescent="0.25">
      <c r="A23" s="63" t="s">
        <v>7</v>
      </c>
      <c r="B23" s="69">
        <v>1</v>
      </c>
      <c r="C23" s="804" t="s">
        <v>216</v>
      </c>
      <c r="D23" s="805"/>
      <c r="E23" s="805"/>
      <c r="F23" s="945"/>
      <c r="G23" s="566" t="s">
        <v>32</v>
      </c>
      <c r="H23" s="71" t="s">
        <v>55</v>
      </c>
      <c r="I23" s="140">
        <f t="shared" si="5"/>
        <v>0</v>
      </c>
      <c r="J23" s="140">
        <f t="shared" si="4"/>
        <v>0</v>
      </c>
      <c r="K23" s="555"/>
      <c r="L23" s="147">
        <f t="shared" si="2"/>
        <v>0</v>
      </c>
      <c r="M23" s="152">
        <f t="shared" si="3"/>
        <v>0</v>
      </c>
      <c r="N23" s="149"/>
      <c r="O23" s="804"/>
      <c r="P23" s="1078"/>
      <c r="Q23" s="72"/>
      <c r="R23" s="66"/>
      <c r="S23" s="152">
        <f t="shared" si="0"/>
        <v>0</v>
      </c>
      <c r="T23" s="227"/>
      <c r="U23" s="145">
        <f t="shared" si="1"/>
        <v>0</v>
      </c>
      <c r="V23" s="548"/>
      <c r="W23" s="457"/>
      <c r="X23" s="114"/>
      <c r="Y23" s="114"/>
      <c r="Z23" s="114"/>
      <c r="AA23" s="114"/>
      <c r="AB23" s="114"/>
    </row>
    <row r="24" spans="1:28" s="68" customFormat="1" ht="14.5" x14ac:dyDescent="0.25">
      <c r="A24" s="63" t="s">
        <v>7</v>
      </c>
      <c r="B24" s="69">
        <v>4</v>
      </c>
      <c r="C24" s="804" t="s">
        <v>466</v>
      </c>
      <c r="D24" s="805"/>
      <c r="E24" s="805"/>
      <c r="F24" s="945"/>
      <c r="G24" s="566" t="s">
        <v>31</v>
      </c>
      <c r="H24" s="71" t="s">
        <v>72</v>
      </c>
      <c r="I24" s="140">
        <f t="shared" si="5"/>
        <v>0</v>
      </c>
      <c r="J24" s="140">
        <f t="shared" si="4"/>
        <v>0</v>
      </c>
      <c r="K24" s="555"/>
      <c r="L24" s="147">
        <f t="shared" si="2"/>
        <v>0</v>
      </c>
      <c r="M24" s="152">
        <f t="shared" si="3"/>
        <v>0</v>
      </c>
      <c r="N24" s="149"/>
      <c r="O24" s="804"/>
      <c r="P24" s="1078"/>
      <c r="Q24" s="72"/>
      <c r="R24" s="66"/>
      <c r="S24" s="152">
        <f t="shared" si="0"/>
        <v>0</v>
      </c>
      <c r="T24" s="227"/>
      <c r="U24" s="145">
        <f>IF($U$15="Base-up   (B-A)",Q24-M24,Q24-S24)</f>
        <v>0</v>
      </c>
      <c r="V24" s="548"/>
      <c r="W24" s="457"/>
      <c r="X24" s="114"/>
      <c r="Y24" s="114"/>
      <c r="Z24" s="114"/>
      <c r="AA24" s="114"/>
      <c r="AB24" s="114"/>
    </row>
    <row r="25" spans="1:28" s="68" customFormat="1" ht="19.5" customHeight="1" x14ac:dyDescent="0.25">
      <c r="A25" s="63" t="s">
        <v>7</v>
      </c>
      <c r="B25" s="634">
        <f>'1-DUI (Reduce Base)'!$B$25</f>
        <v>0</v>
      </c>
      <c r="C25" s="812" t="s">
        <v>217</v>
      </c>
      <c r="D25" s="812"/>
      <c r="E25" s="813" t="str">
        <f>IF(SUM(B25:B29)=O11,"GC 76000 PA ($" &amp;O11 &amp; " for every 10) breakdown per local board of supervisor resolution (BOS).","ERROR! GC 76000 PA total is not $" &amp;O11&amp; ". Check Court's board resolution.")</f>
        <v>ERROR! GC 76000 PA total is not $5. Check Court's board resolution.</v>
      </c>
      <c r="F25" s="1143"/>
      <c r="G25" s="566" t="s">
        <v>32</v>
      </c>
      <c r="H25" s="71" t="s">
        <v>64</v>
      </c>
      <c r="I25" s="140">
        <f t="shared" si="5"/>
        <v>0</v>
      </c>
      <c r="J25" s="140">
        <f t="shared" si="4"/>
        <v>0</v>
      </c>
      <c r="K25" s="140">
        <f>IF(B25&gt;0,1,)</f>
        <v>0</v>
      </c>
      <c r="L25" s="147">
        <f t="shared" si="2"/>
        <v>0</v>
      </c>
      <c r="M25" s="152">
        <f t="shared" si="3"/>
        <v>0</v>
      </c>
      <c r="N25" s="149"/>
      <c r="O25" s="804"/>
      <c r="P25" s="1078"/>
      <c r="Q25" s="72"/>
      <c r="R25" s="66"/>
      <c r="S25" s="152">
        <f>IF($S$48=0,,M25)</f>
        <v>0</v>
      </c>
      <c r="T25" s="227"/>
      <c r="U25" s="145">
        <f t="shared" si="1"/>
        <v>0</v>
      </c>
      <c r="V25" s="548"/>
      <c r="W25" s="85"/>
      <c r="X25" s="114"/>
      <c r="Y25" s="114"/>
      <c r="Z25" s="114"/>
      <c r="AA25" s="114"/>
      <c r="AB25" s="114"/>
    </row>
    <row r="26" spans="1:28" s="68" customFormat="1" ht="19.5" customHeight="1" x14ac:dyDescent="0.25">
      <c r="A26" s="63" t="s">
        <v>7</v>
      </c>
      <c r="B26" s="634">
        <f>'1-DUI (Reduce Base)'!$B$26</f>
        <v>1</v>
      </c>
      <c r="C26" s="812" t="s">
        <v>218</v>
      </c>
      <c r="D26" s="812"/>
      <c r="E26" s="815"/>
      <c r="F26" s="1144"/>
      <c r="G26" s="566" t="s">
        <v>32</v>
      </c>
      <c r="H26" s="71" t="s">
        <v>35</v>
      </c>
      <c r="I26" s="140">
        <f t="shared" si="5"/>
        <v>0</v>
      </c>
      <c r="J26" s="140">
        <f t="shared" si="4"/>
        <v>0</v>
      </c>
      <c r="K26" s="140">
        <f>IF(B26&gt;0,1,)</f>
        <v>1</v>
      </c>
      <c r="L26" s="147">
        <f t="shared" si="2"/>
        <v>0</v>
      </c>
      <c r="M26" s="152">
        <f t="shared" si="3"/>
        <v>1</v>
      </c>
      <c r="N26" s="149"/>
      <c r="O26" s="804"/>
      <c r="P26" s="1078"/>
      <c r="Q26" s="72"/>
      <c r="R26" s="66"/>
      <c r="S26" s="152">
        <f>IF($S$48=0,,M26)</f>
        <v>0</v>
      </c>
      <c r="T26" s="227"/>
      <c r="U26" s="145">
        <f t="shared" si="1"/>
        <v>-1</v>
      </c>
      <c r="V26" s="548"/>
      <c r="W26" s="457"/>
      <c r="X26" s="114"/>
      <c r="Y26" s="114"/>
      <c r="Z26" s="114"/>
      <c r="AA26" s="114"/>
      <c r="AB26" s="114"/>
    </row>
    <row r="27" spans="1:28" s="68" customFormat="1" ht="19.5" customHeight="1" x14ac:dyDescent="0.25">
      <c r="A27" s="63" t="s">
        <v>7</v>
      </c>
      <c r="B27" s="634">
        <f>'1-DUI (Reduce Base)'!$B$27</f>
        <v>1</v>
      </c>
      <c r="C27" s="812" t="s">
        <v>219</v>
      </c>
      <c r="D27" s="812"/>
      <c r="E27" s="815"/>
      <c r="F27" s="1144"/>
      <c r="G27" s="566" t="s">
        <v>32</v>
      </c>
      <c r="H27" s="71" t="s">
        <v>65</v>
      </c>
      <c r="I27" s="140">
        <f t="shared" si="5"/>
        <v>0</v>
      </c>
      <c r="J27" s="140">
        <f t="shared" si="4"/>
        <v>0</v>
      </c>
      <c r="K27" s="140">
        <f>IF(B27&gt;0,$D$11*2,)</f>
        <v>0</v>
      </c>
      <c r="L27" s="147">
        <f t="shared" si="2"/>
        <v>0</v>
      </c>
      <c r="M27" s="152">
        <f t="shared" si="3"/>
        <v>0</v>
      </c>
      <c r="N27" s="149"/>
      <c r="O27" s="804"/>
      <c r="P27" s="1078"/>
      <c r="Q27" s="72"/>
      <c r="R27" s="66"/>
      <c r="S27" s="152">
        <f>IF($S$48=0,,$S$15*M27)</f>
        <v>0</v>
      </c>
      <c r="T27" s="227"/>
      <c r="U27" s="145">
        <f t="shared" si="1"/>
        <v>0</v>
      </c>
      <c r="V27" s="548"/>
      <c r="W27" s="468"/>
      <c r="X27" s="114"/>
      <c r="Y27" s="114"/>
      <c r="Z27" s="114"/>
      <c r="AA27" s="114"/>
      <c r="AB27" s="114"/>
    </row>
    <row r="28" spans="1:28" s="68" customFormat="1" ht="19.5" customHeight="1" x14ac:dyDescent="0.25">
      <c r="A28" s="63" t="s">
        <v>7</v>
      </c>
      <c r="B28" s="634">
        <f>'1-DUI (Reduce Base)'!$B$28</f>
        <v>0.5</v>
      </c>
      <c r="C28" s="812" t="s">
        <v>401</v>
      </c>
      <c r="D28" s="812"/>
      <c r="E28" s="815"/>
      <c r="F28" s="1144"/>
      <c r="G28" s="566" t="s">
        <v>32</v>
      </c>
      <c r="H28" s="71" t="s">
        <v>65</v>
      </c>
      <c r="I28" s="140">
        <f t="shared" si="5"/>
        <v>0</v>
      </c>
      <c r="J28" s="140">
        <f>I28*30%</f>
        <v>0</v>
      </c>
      <c r="K28" s="140"/>
      <c r="L28" s="147">
        <f>IF(A28="Y",K28* 2%,0)</f>
        <v>0</v>
      </c>
      <c r="M28" s="152">
        <f>K28-L28</f>
        <v>0</v>
      </c>
      <c r="N28" s="149"/>
      <c r="O28" s="804"/>
      <c r="P28" s="1078"/>
      <c r="Q28" s="72"/>
      <c r="R28" s="66"/>
      <c r="S28" s="152">
        <f>IF($S$49=0,,$S$15*M28)</f>
        <v>0</v>
      </c>
      <c r="T28" s="227"/>
      <c r="U28" s="145">
        <f>IF($U$15="Base-up   (B-A)",Q28-M28,Q28-S28)</f>
        <v>0</v>
      </c>
      <c r="V28" s="548"/>
      <c r="W28" s="468"/>
      <c r="X28" s="114"/>
      <c r="Y28" s="114"/>
      <c r="Z28" s="114"/>
      <c r="AA28" s="114"/>
      <c r="AB28" s="114"/>
    </row>
    <row r="29" spans="1:28" s="68" customFormat="1" ht="14.5" x14ac:dyDescent="0.25">
      <c r="A29" s="63" t="s">
        <v>7</v>
      </c>
      <c r="B29" s="634">
        <f>'1-DUI (Reduce Base)'!$B$29</f>
        <v>1</v>
      </c>
      <c r="C29" s="812" t="s">
        <v>254</v>
      </c>
      <c r="D29" s="812"/>
      <c r="E29" s="817"/>
      <c r="F29" s="1145"/>
      <c r="G29" s="566" t="s">
        <v>32</v>
      </c>
      <c r="H29" s="71"/>
      <c r="I29" s="140">
        <f t="shared" si="5"/>
        <v>0</v>
      </c>
      <c r="J29" s="140">
        <f t="shared" si="4"/>
        <v>0</v>
      </c>
      <c r="K29" s="140"/>
      <c r="L29" s="147">
        <f t="shared" si="2"/>
        <v>0</v>
      </c>
      <c r="M29" s="152">
        <f t="shared" si="3"/>
        <v>0</v>
      </c>
      <c r="N29" s="149"/>
      <c r="O29" s="804"/>
      <c r="P29" s="1078"/>
      <c r="Q29" s="72"/>
      <c r="R29" s="66"/>
      <c r="S29" s="152">
        <f>IF($S$49=0,,$S$15*M29)</f>
        <v>0</v>
      </c>
      <c r="T29" s="227"/>
      <c r="U29" s="145">
        <f t="shared" si="1"/>
        <v>0</v>
      </c>
      <c r="V29" s="548"/>
      <c r="W29" s="457"/>
      <c r="X29" s="114"/>
      <c r="Y29" s="114"/>
      <c r="Z29" s="114"/>
      <c r="AA29" s="114"/>
      <c r="AB29" s="114"/>
    </row>
    <row r="30" spans="1:28" s="68" customFormat="1" ht="14.5" x14ac:dyDescent="0.25">
      <c r="A30" s="63" t="s">
        <v>7</v>
      </c>
      <c r="B30" s="634">
        <f>'1-DUI (Reduce Base)'!$B$30</f>
        <v>2</v>
      </c>
      <c r="C30" s="804" t="s">
        <v>286</v>
      </c>
      <c r="D30" s="805"/>
      <c r="E30" s="805"/>
      <c r="F30" s="945"/>
      <c r="G30" s="566" t="s">
        <v>32</v>
      </c>
      <c r="H30" s="71" t="s">
        <v>36</v>
      </c>
      <c r="I30" s="140">
        <f t="shared" si="5"/>
        <v>0</v>
      </c>
      <c r="J30" s="140">
        <f t="shared" si="4"/>
        <v>0</v>
      </c>
      <c r="K30" s="140">
        <f>IF(B30&gt;0,$D$11*2,)</f>
        <v>0</v>
      </c>
      <c r="L30" s="147">
        <f t="shared" si="2"/>
        <v>0</v>
      </c>
      <c r="M30" s="152">
        <f t="shared" si="3"/>
        <v>0</v>
      </c>
      <c r="N30" s="149"/>
      <c r="O30" s="804"/>
      <c r="P30" s="1078"/>
      <c r="Q30" s="72"/>
      <c r="R30" s="66"/>
      <c r="S30" s="152">
        <f>IF($S$49=0,,$S$15*M30)</f>
        <v>0</v>
      </c>
      <c r="T30" s="227"/>
      <c r="U30" s="145">
        <f t="shared" si="1"/>
        <v>0</v>
      </c>
      <c r="V30" s="548"/>
      <c r="W30" s="468"/>
      <c r="X30" s="114"/>
      <c r="Y30" s="114"/>
      <c r="Z30" s="114"/>
      <c r="AA30" s="114"/>
      <c r="AB30" s="114"/>
    </row>
    <row r="31" spans="1:28" s="68" customFormat="1" ht="15" customHeight="1" x14ac:dyDescent="0.25">
      <c r="A31" s="63" t="s">
        <v>7</v>
      </c>
      <c r="B31" s="69"/>
      <c r="C31" s="804" t="s">
        <v>385</v>
      </c>
      <c r="D31" s="805"/>
      <c r="E31" s="805"/>
      <c r="F31" s="945"/>
      <c r="G31" s="566" t="s">
        <v>31</v>
      </c>
      <c r="H31" s="81" t="s">
        <v>39</v>
      </c>
      <c r="I31" s="184">
        <v>4</v>
      </c>
      <c r="J31" s="140">
        <f>I31*30%</f>
        <v>1.2</v>
      </c>
      <c r="K31" s="140"/>
      <c r="L31" s="147"/>
      <c r="M31" s="152">
        <f>K31</f>
        <v>0</v>
      </c>
      <c r="N31" s="149"/>
      <c r="O31" s="804"/>
      <c r="P31" s="1078"/>
      <c r="Q31" s="72"/>
      <c r="R31" s="66"/>
      <c r="S31" s="152">
        <f>IF($S$48=0,,K31)</f>
        <v>0</v>
      </c>
      <c r="T31" s="227"/>
      <c r="U31" s="145">
        <f>IF($U$15="Base-up   (B-A)",Q31-M31,Q31-S31)</f>
        <v>0</v>
      </c>
      <c r="V31" s="549"/>
      <c r="W31" s="457"/>
      <c r="X31" s="114"/>
      <c r="Y31" s="114"/>
      <c r="Z31" s="114"/>
      <c r="AA31" s="114"/>
      <c r="AB31" s="114"/>
    </row>
    <row r="32" spans="1:28" s="68" customFormat="1" ht="16.5" customHeight="1" x14ac:dyDescent="0.25">
      <c r="A32" s="63" t="s">
        <v>7</v>
      </c>
      <c r="B32" s="634">
        <f>'1-DUI (Reduce Base)'!$B$32</f>
        <v>2</v>
      </c>
      <c r="C32" s="804" t="s">
        <v>555</v>
      </c>
      <c r="D32" s="805"/>
      <c r="E32" s="945"/>
      <c r="F32" s="1008" t="s">
        <v>281</v>
      </c>
      <c r="G32" s="566" t="s">
        <v>31</v>
      </c>
      <c r="H32" s="71" t="s">
        <v>37</v>
      </c>
      <c r="I32" s="140">
        <f t="shared" si="5"/>
        <v>0</v>
      </c>
      <c r="J32" s="140">
        <f t="shared" si="4"/>
        <v>0</v>
      </c>
      <c r="K32" s="140">
        <f>I32</f>
        <v>0</v>
      </c>
      <c r="L32" s="147">
        <f t="shared" si="2"/>
        <v>0</v>
      </c>
      <c r="M32" s="152">
        <f t="shared" si="3"/>
        <v>0</v>
      </c>
      <c r="N32" s="149"/>
      <c r="O32" s="804"/>
      <c r="P32" s="1078"/>
      <c r="Q32" s="72"/>
      <c r="R32" s="66"/>
      <c r="S32" s="152">
        <f>IF($S$48=0,,$S$15*M32)</f>
        <v>0</v>
      </c>
      <c r="T32" s="227"/>
      <c r="U32" s="145">
        <f t="shared" si="1"/>
        <v>0</v>
      </c>
      <c r="V32" s="622"/>
      <c r="W32" s="468"/>
      <c r="X32" s="114"/>
      <c r="Y32" s="114"/>
      <c r="Z32" s="114"/>
      <c r="AA32" s="114"/>
      <c r="AB32" s="114"/>
    </row>
    <row r="33" spans="1:28" s="68" customFormat="1" ht="15" customHeight="1" x14ac:dyDescent="0.25">
      <c r="A33" s="63" t="s">
        <v>7</v>
      </c>
      <c r="B33" s="164">
        <f>5-B32</f>
        <v>3</v>
      </c>
      <c r="C33" s="804" t="s">
        <v>556</v>
      </c>
      <c r="D33" s="805"/>
      <c r="E33" s="945"/>
      <c r="F33" s="1009"/>
      <c r="G33" s="566" t="s">
        <v>31</v>
      </c>
      <c r="H33" s="71" t="s">
        <v>197</v>
      </c>
      <c r="I33" s="140">
        <f t="shared" si="5"/>
        <v>0</v>
      </c>
      <c r="J33" s="140">
        <f t="shared" si="4"/>
        <v>0</v>
      </c>
      <c r="K33" s="140">
        <f>I33</f>
        <v>0</v>
      </c>
      <c r="L33" s="147">
        <f>IF(A33="Y",#REF!* 2%,0)</f>
        <v>0</v>
      </c>
      <c r="M33" s="152">
        <f t="shared" si="3"/>
        <v>0</v>
      </c>
      <c r="N33" s="149"/>
      <c r="O33" s="804"/>
      <c r="P33" s="1078"/>
      <c r="Q33" s="72"/>
      <c r="R33" s="66"/>
      <c r="S33" s="152">
        <f>IF($S$48=0,,$S$15*M33)</f>
        <v>0</v>
      </c>
      <c r="T33" s="227"/>
      <c r="U33" s="145">
        <f t="shared" si="1"/>
        <v>0</v>
      </c>
      <c r="V33" s="548"/>
      <c r="W33" s="468"/>
      <c r="X33" s="114"/>
      <c r="Y33" s="114"/>
      <c r="Z33" s="114"/>
      <c r="AA33" s="114"/>
      <c r="AB33" s="114"/>
    </row>
    <row r="34" spans="1:28" s="68" customFormat="1" ht="14.5" x14ac:dyDescent="0.25">
      <c r="A34" s="63" t="s">
        <v>7</v>
      </c>
      <c r="B34" s="69"/>
      <c r="C34" s="804" t="s">
        <v>220</v>
      </c>
      <c r="D34" s="805"/>
      <c r="E34" s="805"/>
      <c r="F34" s="945"/>
      <c r="G34" s="566" t="s">
        <v>31</v>
      </c>
      <c r="H34" s="71" t="s">
        <v>10</v>
      </c>
      <c r="I34" s="140">
        <f>D10*20%</f>
        <v>0</v>
      </c>
      <c r="J34" s="140"/>
      <c r="K34" s="140">
        <f>I34</f>
        <v>0</v>
      </c>
      <c r="L34" s="147"/>
      <c r="M34" s="152">
        <f t="shared" si="3"/>
        <v>0</v>
      </c>
      <c r="N34" s="149"/>
      <c r="O34" s="804"/>
      <c r="P34" s="1078"/>
      <c r="Q34" s="72"/>
      <c r="R34" s="66"/>
      <c r="S34" s="152">
        <f>IF($S$48=0,,$S$15*M34)</f>
        <v>0</v>
      </c>
      <c r="T34" s="227"/>
      <c r="U34" s="145">
        <f t="shared" si="1"/>
        <v>0</v>
      </c>
      <c r="V34" s="548"/>
      <c r="W34" s="457"/>
      <c r="X34" s="114"/>
      <c r="Y34" s="114"/>
      <c r="Z34" s="114"/>
      <c r="AA34" s="114"/>
      <c r="AB34" s="114"/>
    </row>
    <row r="35" spans="1:28" s="80" customFormat="1" ht="14.5" x14ac:dyDescent="0.25">
      <c r="A35" s="63"/>
      <c r="B35" s="76"/>
      <c r="C35" s="810" t="s">
        <v>221</v>
      </c>
      <c r="D35" s="811"/>
      <c r="E35" s="811"/>
      <c r="F35" s="946"/>
      <c r="G35" s="573"/>
      <c r="H35" s="78"/>
      <c r="I35" s="142">
        <f>SUM(I18:I34)</f>
        <v>4</v>
      </c>
      <c r="J35" s="142"/>
      <c r="K35" s="142">
        <f>SUM(K17:K34)</f>
        <v>2.2000000000000002</v>
      </c>
      <c r="L35" s="147"/>
      <c r="M35" s="153">
        <f>SUM(M17:M34)</f>
        <v>3.9999999999999831</v>
      </c>
      <c r="N35" s="150"/>
      <c r="O35" s="804"/>
      <c r="P35" s="1078"/>
      <c r="Q35" s="166">
        <f>SUM(Q17:Q34)</f>
        <v>0</v>
      </c>
      <c r="R35" s="111"/>
      <c r="S35" s="153">
        <f>IF($S$48=0,,S48-SUM(S36:S44))</f>
        <v>0</v>
      </c>
      <c r="T35" s="228"/>
      <c r="U35" s="145">
        <f t="shared" si="1"/>
        <v>-3.9999999999999831</v>
      </c>
      <c r="V35" s="548"/>
      <c r="W35" s="458"/>
      <c r="X35" s="129"/>
      <c r="Y35" s="129"/>
      <c r="Z35" s="129"/>
      <c r="AA35" s="129"/>
      <c r="AB35" s="129"/>
    </row>
    <row r="36" spans="1:28" s="68" customFormat="1" ht="15" customHeight="1" x14ac:dyDescent="0.25">
      <c r="A36" s="63" t="s">
        <v>7</v>
      </c>
      <c r="B36" s="69"/>
      <c r="C36" s="804" t="s">
        <v>419</v>
      </c>
      <c r="D36" s="805"/>
      <c r="E36" s="805"/>
      <c r="F36" s="945"/>
      <c r="G36" s="566" t="s">
        <v>31</v>
      </c>
      <c r="H36" s="81"/>
      <c r="I36" s="184">
        <v>40</v>
      </c>
      <c r="J36" s="140"/>
      <c r="K36" s="140">
        <f t="shared" ref="K36:K44" si="6">I36</f>
        <v>40</v>
      </c>
      <c r="L36" s="147"/>
      <c r="M36" s="152">
        <f t="shared" ref="M36:M45" si="7">K36-L36</f>
        <v>40</v>
      </c>
      <c r="N36" s="149"/>
      <c r="O36" s="804"/>
      <c r="P36" s="1078"/>
      <c r="Q36" s="72"/>
      <c r="R36" s="66"/>
      <c r="S36" s="152">
        <f>IF($S$48=0,,K36)</f>
        <v>0</v>
      </c>
      <c r="T36" s="227"/>
      <c r="U36" s="145">
        <f t="shared" si="1"/>
        <v>-40</v>
      </c>
      <c r="V36" s="548"/>
      <c r="W36" s="458"/>
      <c r="X36" s="114"/>
      <c r="Y36" s="114"/>
      <c r="Z36" s="114"/>
      <c r="AA36" s="114"/>
      <c r="AB36" s="114"/>
    </row>
    <row r="37" spans="1:28" s="68" customFormat="1" ht="14.5" x14ac:dyDescent="0.25">
      <c r="A37" s="63" t="s">
        <v>7</v>
      </c>
      <c r="B37" s="69"/>
      <c r="C37" s="806" t="s">
        <v>259</v>
      </c>
      <c r="D37" s="807"/>
      <c r="E37" s="807"/>
      <c r="F37" s="944"/>
      <c r="G37" s="574" t="s">
        <v>31</v>
      </c>
      <c r="H37" s="82" t="s">
        <v>197</v>
      </c>
      <c r="I37" s="184">
        <v>35</v>
      </c>
      <c r="J37" s="178"/>
      <c r="K37" s="140">
        <f t="shared" si="6"/>
        <v>35</v>
      </c>
      <c r="L37" s="147">
        <f>IF(A37="Y", IF($L$15="BASE-UP",#REF!*2%, IF($L$15="TOP-DOWN",#REF!* 2%,0)),0)</f>
        <v>0</v>
      </c>
      <c r="M37" s="152">
        <f t="shared" si="7"/>
        <v>35</v>
      </c>
      <c r="N37" s="149"/>
      <c r="O37" s="804"/>
      <c r="P37" s="1078"/>
      <c r="Q37" s="72"/>
      <c r="R37" s="66"/>
      <c r="S37" s="152">
        <f>IF($S$48=0,,K37)</f>
        <v>0</v>
      </c>
      <c r="T37" s="227"/>
      <c r="U37" s="145">
        <f t="shared" si="1"/>
        <v>-35</v>
      </c>
      <c r="V37" s="548"/>
      <c r="W37" s="457"/>
      <c r="X37" s="114"/>
      <c r="Y37" s="114"/>
      <c r="Z37" s="114"/>
      <c r="AA37" s="114"/>
      <c r="AB37" s="114"/>
    </row>
    <row r="38" spans="1:28" s="68" customFormat="1" ht="14.5" x14ac:dyDescent="0.25">
      <c r="A38" s="63" t="s">
        <v>7</v>
      </c>
      <c r="B38" s="69"/>
      <c r="C38" s="806" t="s">
        <v>292</v>
      </c>
      <c r="D38" s="807"/>
      <c r="E38" s="807"/>
      <c r="F38" s="944"/>
      <c r="G38" s="574" t="s">
        <v>32</v>
      </c>
      <c r="H38" s="82"/>
      <c r="I38" s="184">
        <f>49*49%</f>
        <v>24.009999999999998</v>
      </c>
      <c r="J38" s="178"/>
      <c r="K38" s="140">
        <f t="shared" si="6"/>
        <v>24.009999999999998</v>
      </c>
      <c r="L38" s="147">
        <f>IF(A38="Y", IF($L$15="BASE-UP",#REF!*2%, IF($L$15="TOP-DOWN",#REF!* 2%,0)),0)</f>
        <v>0</v>
      </c>
      <c r="M38" s="152">
        <f t="shared" si="7"/>
        <v>24.009999999999998</v>
      </c>
      <c r="N38" s="149"/>
      <c r="O38" s="804"/>
      <c r="P38" s="1078"/>
      <c r="Q38" s="72"/>
      <c r="R38" s="66"/>
      <c r="S38" s="152">
        <f>IF($S$48=0,,K38)</f>
        <v>0</v>
      </c>
      <c r="T38" s="227"/>
      <c r="U38" s="145">
        <f t="shared" si="1"/>
        <v>-24.009999999999998</v>
      </c>
      <c r="V38" s="549"/>
      <c r="W38" s="468"/>
      <c r="X38" s="114"/>
      <c r="Y38" s="114"/>
      <c r="Z38" s="114"/>
      <c r="AA38" s="114"/>
      <c r="AB38" s="114"/>
    </row>
    <row r="39" spans="1:28" s="68" customFormat="1" ht="14.5" x14ac:dyDescent="0.25">
      <c r="A39" s="63" t="s">
        <v>7</v>
      </c>
      <c r="B39" s="69"/>
      <c r="C39" s="806" t="s">
        <v>293</v>
      </c>
      <c r="D39" s="807"/>
      <c r="E39" s="807"/>
      <c r="F39" s="944"/>
      <c r="G39" s="574" t="s">
        <v>31</v>
      </c>
      <c r="H39" s="82"/>
      <c r="I39" s="184">
        <f>49*51%</f>
        <v>24.990000000000002</v>
      </c>
      <c r="J39" s="178"/>
      <c r="K39" s="140">
        <f t="shared" si="6"/>
        <v>24.990000000000002</v>
      </c>
      <c r="L39" s="147">
        <f>IF(A39="Y", IF($L$15="BASE-UP",#REF!*2%, IF($L$15="TOP-DOWN",#REF!* 2%,0)),0)</f>
        <v>0</v>
      </c>
      <c r="M39" s="152">
        <f t="shared" si="7"/>
        <v>24.990000000000002</v>
      </c>
      <c r="N39" s="149"/>
      <c r="O39" s="804"/>
      <c r="P39" s="1078"/>
      <c r="Q39" s="72"/>
      <c r="R39" s="66"/>
      <c r="S39" s="152">
        <f t="shared" ref="S39:S44" si="8">IF($S$48=0,,K39)</f>
        <v>0</v>
      </c>
      <c r="T39" s="227"/>
      <c r="U39" s="145">
        <f t="shared" si="1"/>
        <v>-24.990000000000002</v>
      </c>
      <c r="V39" s="622"/>
      <c r="W39" s="468"/>
      <c r="X39" s="114"/>
      <c r="Y39" s="114"/>
      <c r="Z39" s="114"/>
      <c r="AA39" s="114"/>
      <c r="AB39" s="114"/>
    </row>
    <row r="40" spans="1:28" s="68" customFormat="1" ht="15.75" customHeight="1" x14ac:dyDescent="0.25">
      <c r="A40" s="63" t="s">
        <v>7</v>
      </c>
      <c r="B40" s="69"/>
      <c r="C40" s="806" t="s">
        <v>427</v>
      </c>
      <c r="D40" s="807"/>
      <c r="E40" s="807"/>
      <c r="F40" s="944"/>
      <c r="G40" s="574" t="s">
        <v>230</v>
      </c>
      <c r="H40" s="82"/>
      <c r="I40" s="184"/>
      <c r="J40" s="178"/>
      <c r="K40" s="140">
        <f>I40</f>
        <v>0</v>
      </c>
      <c r="L40" s="147">
        <f>IF(A40="Y", IF($L$15="BASE-UP",#REF!*2%, IF($L$15="TOP-DOWN",#REF!* 2%,0)),0)</f>
        <v>0</v>
      </c>
      <c r="M40" s="152">
        <f>K40-L40</f>
        <v>0</v>
      </c>
      <c r="N40" s="149"/>
      <c r="O40" s="804"/>
      <c r="P40" s="1078"/>
      <c r="Q40" s="72"/>
      <c r="R40" s="66"/>
      <c r="S40" s="152">
        <f t="shared" si="8"/>
        <v>0</v>
      </c>
      <c r="T40" s="227"/>
      <c r="U40" s="145">
        <f>IF($U$15="Base-up   (B-A)",Q40-M40,Q40-S40)</f>
        <v>0</v>
      </c>
      <c r="V40" s="548"/>
      <c r="W40" s="459"/>
      <c r="X40" s="114"/>
      <c r="Y40" s="114"/>
      <c r="Z40" s="114"/>
      <c r="AA40" s="114"/>
      <c r="AB40" s="114"/>
    </row>
    <row r="41" spans="1:28" s="68" customFormat="1" ht="33.75" customHeight="1" x14ac:dyDescent="0.25">
      <c r="A41" s="63" t="s">
        <v>7</v>
      </c>
      <c r="B41" s="69"/>
      <c r="C41" s="804" t="s">
        <v>551</v>
      </c>
      <c r="D41" s="807"/>
      <c r="E41" s="807"/>
      <c r="F41" s="944"/>
      <c r="G41" s="574" t="s">
        <v>31</v>
      </c>
      <c r="H41" s="82"/>
      <c r="I41" s="184">
        <v>3</v>
      </c>
      <c r="J41" s="178"/>
      <c r="K41" s="140">
        <f>I41</f>
        <v>3</v>
      </c>
      <c r="L41" s="147">
        <f>IF(A41="Y", IF($L$15="BASE-UP",#REF!*2%, IF($L$15="TOP-DOWN",#REF!* 2%,0)),0)</f>
        <v>0</v>
      </c>
      <c r="M41" s="152">
        <f>K41-L41</f>
        <v>3</v>
      </c>
      <c r="N41" s="149"/>
      <c r="O41" s="804"/>
      <c r="P41" s="1078"/>
      <c r="Q41" s="72"/>
      <c r="R41" s="66"/>
      <c r="S41" s="152">
        <f t="shared" si="8"/>
        <v>0</v>
      </c>
      <c r="T41" s="227"/>
      <c r="U41" s="145">
        <f t="shared" si="1"/>
        <v>-3</v>
      </c>
      <c r="V41" s="548"/>
      <c r="W41" s="527"/>
      <c r="X41" s="114"/>
      <c r="Y41" s="114"/>
      <c r="Z41" s="114"/>
      <c r="AA41" s="114"/>
      <c r="AB41" s="114"/>
    </row>
    <row r="42" spans="1:28" s="68" customFormat="1" ht="15.75" customHeight="1" x14ac:dyDescent="0.25">
      <c r="A42" s="63" t="s">
        <v>7</v>
      </c>
      <c r="B42" s="83"/>
      <c r="C42" s="806" t="s">
        <v>421</v>
      </c>
      <c r="D42" s="807"/>
      <c r="E42" s="807"/>
      <c r="F42" s="944"/>
      <c r="G42" s="574" t="s">
        <v>230</v>
      </c>
      <c r="H42" s="82" t="s">
        <v>24</v>
      </c>
      <c r="I42" s="184"/>
      <c r="J42" s="178"/>
      <c r="K42" s="140">
        <f t="shared" si="6"/>
        <v>0</v>
      </c>
      <c r="L42" s="147">
        <f>IF(A42="Y", IF($L$15="BASE-UP",#REF!*2%, IF($L$15="TOP-DOWN",#REF!* 2%,0)),0)</f>
        <v>0</v>
      </c>
      <c r="M42" s="152">
        <f t="shared" si="7"/>
        <v>0</v>
      </c>
      <c r="N42" s="149"/>
      <c r="O42" s="804"/>
      <c r="P42" s="1078"/>
      <c r="Q42" s="72"/>
      <c r="R42" s="66"/>
      <c r="S42" s="152">
        <f t="shared" si="8"/>
        <v>0</v>
      </c>
      <c r="T42" s="227"/>
      <c r="U42" s="145">
        <f t="shared" si="1"/>
        <v>0</v>
      </c>
      <c r="V42" s="548"/>
      <c r="W42" s="457"/>
      <c r="X42" s="114"/>
      <c r="Y42" s="114"/>
      <c r="Z42" s="114"/>
      <c r="AA42" s="114"/>
      <c r="AB42" s="114"/>
    </row>
    <row r="43" spans="1:28" s="68" customFormat="1" ht="62.25" customHeight="1" x14ac:dyDescent="0.25">
      <c r="A43" s="63" t="s">
        <v>7</v>
      </c>
      <c r="B43" s="83"/>
      <c r="C43" s="804" t="s">
        <v>518</v>
      </c>
      <c r="D43" s="805"/>
      <c r="E43" s="805"/>
      <c r="F43" s="945"/>
      <c r="G43" s="574" t="s">
        <v>230</v>
      </c>
      <c r="H43" s="82" t="s">
        <v>82</v>
      </c>
      <c r="I43" s="184"/>
      <c r="J43" s="178"/>
      <c r="K43" s="140">
        <f t="shared" si="6"/>
        <v>0</v>
      </c>
      <c r="L43" s="147">
        <f>IF(A43="Y", IF($L$15="BASE-UP",#REF!*2%, IF($L$15="TOP-DOWN",#REF!* 2%,0)),0)</f>
        <v>0</v>
      </c>
      <c r="M43" s="152">
        <f t="shared" si="7"/>
        <v>0</v>
      </c>
      <c r="N43" s="149"/>
      <c r="O43" s="804"/>
      <c r="P43" s="1078"/>
      <c r="Q43" s="72"/>
      <c r="R43" s="66"/>
      <c r="S43" s="152">
        <f t="shared" si="8"/>
        <v>0</v>
      </c>
      <c r="T43" s="227"/>
      <c r="U43" s="145">
        <f t="shared" si="1"/>
        <v>0</v>
      </c>
      <c r="V43" s="548"/>
      <c r="W43" s="457"/>
      <c r="X43" s="114"/>
      <c r="Y43" s="114"/>
      <c r="Z43" s="114"/>
      <c r="AA43" s="114"/>
      <c r="AB43" s="114"/>
    </row>
    <row r="44" spans="1:28" s="68" customFormat="1" ht="15.75" customHeight="1" x14ac:dyDescent="0.25">
      <c r="A44" s="63" t="s">
        <v>7</v>
      </c>
      <c r="B44" s="83"/>
      <c r="C44" s="806" t="s">
        <v>225</v>
      </c>
      <c r="D44" s="807"/>
      <c r="E44" s="807"/>
      <c r="F44" s="944"/>
      <c r="G44" s="574" t="s">
        <v>31</v>
      </c>
      <c r="H44" s="82" t="s">
        <v>80</v>
      </c>
      <c r="I44" s="185"/>
      <c r="J44" s="178"/>
      <c r="K44" s="140">
        <f t="shared" si="6"/>
        <v>0</v>
      </c>
      <c r="L44" s="147">
        <f>IF(A44="Y", IF($L$15="BASE-UP",#REF!*2%, IF($L$15="TOP-DOWN",#REF!* 2%,0)),0)</f>
        <v>0</v>
      </c>
      <c r="M44" s="152">
        <f t="shared" si="7"/>
        <v>0</v>
      </c>
      <c r="N44" s="149"/>
      <c r="O44" s="804"/>
      <c r="P44" s="1078"/>
      <c r="Q44" s="72"/>
      <c r="R44" s="66"/>
      <c r="S44" s="152">
        <f t="shared" si="8"/>
        <v>0</v>
      </c>
      <c r="T44" s="227"/>
      <c r="U44" s="145">
        <f t="shared" si="1"/>
        <v>0</v>
      </c>
      <c r="V44" s="548"/>
      <c r="W44" s="457"/>
      <c r="X44" s="114"/>
      <c r="Y44" s="114"/>
      <c r="Z44" s="114"/>
      <c r="AA44" s="114"/>
      <c r="AB44" s="114"/>
    </row>
    <row r="45" spans="1:28" s="68" customFormat="1" ht="15.75" hidden="1" customHeight="1" x14ac:dyDescent="0.25">
      <c r="A45" s="63"/>
      <c r="B45" s="83"/>
      <c r="C45" s="806" t="s">
        <v>224</v>
      </c>
      <c r="D45" s="807"/>
      <c r="E45" s="807"/>
      <c r="F45" s="944"/>
      <c r="G45" s="84" t="s">
        <v>31</v>
      </c>
      <c r="H45" s="85" t="s">
        <v>41</v>
      </c>
      <c r="I45" s="86"/>
      <c r="J45" s="179"/>
      <c r="K45" s="179"/>
      <c r="L45" s="148"/>
      <c r="M45" s="152">
        <f t="shared" si="7"/>
        <v>0</v>
      </c>
      <c r="N45" s="149"/>
      <c r="O45" s="804"/>
      <c r="P45" s="1078"/>
      <c r="Q45" s="72"/>
      <c r="R45" s="66"/>
      <c r="S45" s="154"/>
      <c r="T45" s="229"/>
      <c r="U45" s="145">
        <f t="shared" si="1"/>
        <v>0</v>
      </c>
      <c r="V45" s="145"/>
      <c r="W45" s="71"/>
      <c r="X45" s="114"/>
      <c r="Y45" s="114"/>
      <c r="Z45" s="114"/>
      <c r="AA45" s="114"/>
      <c r="AB45" s="114"/>
    </row>
    <row r="46" spans="1:28" s="114" customFormat="1" ht="14.5" x14ac:dyDescent="0.25">
      <c r="A46" s="182"/>
      <c r="B46" s="112"/>
      <c r="C46" s="112"/>
      <c r="D46" s="112"/>
      <c r="E46" s="113"/>
      <c r="F46" s="113"/>
      <c r="J46" s="115">
        <f>SUM(J18:J45)</f>
        <v>1.2</v>
      </c>
      <c r="K46" s="115"/>
      <c r="L46" s="115">
        <f>SUM(L18:L45)</f>
        <v>0</v>
      </c>
      <c r="M46" s="155"/>
      <c r="Q46" s="116"/>
      <c r="R46" s="117"/>
      <c r="S46" s="155"/>
      <c r="U46" s="165"/>
      <c r="V46" s="165"/>
      <c r="W46" s="118"/>
    </row>
    <row r="47" spans="1:28" s="114" customFormat="1" ht="14.5" hidden="1" x14ac:dyDescent="0.25">
      <c r="A47" s="183" t="s">
        <v>8</v>
      </c>
      <c r="B47" s="112"/>
      <c r="C47" s="112"/>
      <c r="D47" s="112"/>
      <c r="E47" s="113"/>
      <c r="F47" s="113"/>
      <c r="J47" s="115"/>
      <c r="K47" s="115"/>
      <c r="L47" s="115"/>
      <c r="M47" s="155"/>
      <c r="Q47" s="116"/>
      <c r="R47" s="117"/>
      <c r="S47" s="155"/>
      <c r="U47" s="165"/>
      <c r="V47" s="165"/>
      <c r="W47" s="118"/>
    </row>
    <row r="48" spans="1:28" s="95" customFormat="1" ht="16" thickBot="1" x14ac:dyDescent="0.3">
      <c r="A48" s="183"/>
      <c r="B48" s="130"/>
      <c r="C48" s="130"/>
      <c r="D48" s="130"/>
      <c r="E48" s="119"/>
      <c r="F48" s="131" t="s">
        <v>81</v>
      </c>
      <c r="G48" s="132"/>
      <c r="H48" s="133" t="s">
        <v>1</v>
      </c>
      <c r="I48" s="134">
        <f>SUM(I35:I46)</f>
        <v>131</v>
      </c>
      <c r="J48" s="134"/>
      <c r="K48" s="134">
        <f>SUM(K35:K45)</f>
        <v>129.20000000000002</v>
      </c>
      <c r="L48" s="135"/>
      <c r="M48" s="156">
        <f>SUM(M35:M46)</f>
        <v>131</v>
      </c>
      <c r="N48" s="136"/>
      <c r="O48" s="130" t="s">
        <v>1</v>
      </c>
      <c r="P48" s="130"/>
      <c r="Q48" s="137">
        <f>SUM(Q35:Q46)</f>
        <v>0</v>
      </c>
      <c r="R48" s="136"/>
      <c r="S48" s="231"/>
      <c r="T48" s="230"/>
      <c r="U48" s="175">
        <f>SUM(U35:U46)</f>
        <v>-131</v>
      </c>
      <c r="V48" s="530"/>
      <c r="W48" s="138"/>
    </row>
    <row r="49" spans="1:25" s="50" customFormat="1" ht="15.75" customHeight="1" thickTop="1" x14ac:dyDescent="0.25">
      <c r="A49" s="1064" t="s">
        <v>61</v>
      </c>
      <c r="B49" s="1064"/>
      <c r="C49" s="1064"/>
      <c r="D49" s="192"/>
      <c r="E49" s="121"/>
      <c r="F49" s="121"/>
      <c r="M49" s="123"/>
      <c r="N49" s="122"/>
      <c r="U49" s="124"/>
      <c r="V49" s="124"/>
      <c r="W49" s="125"/>
    </row>
    <row r="50" spans="1:25" s="127" customFormat="1" ht="16.5" customHeight="1" x14ac:dyDescent="0.25">
      <c r="A50" s="624">
        <v>1</v>
      </c>
      <c r="B50" s="1223"/>
      <c r="C50" s="1224"/>
      <c r="D50" s="1224"/>
      <c r="E50" s="1224"/>
      <c r="F50" s="1224"/>
      <c r="G50" s="1224"/>
      <c r="H50" s="1224"/>
      <c r="I50" s="1224"/>
      <c r="J50" s="1224"/>
      <c r="K50" s="1224"/>
      <c r="L50" s="1224"/>
      <c r="M50" s="1224"/>
      <c r="N50" s="1224"/>
      <c r="O50" s="1224"/>
      <c r="P50" s="1224"/>
      <c r="Q50" s="1224"/>
      <c r="R50" s="1224"/>
      <c r="S50" s="1224"/>
      <c r="T50" s="1224"/>
      <c r="U50" s="1224"/>
      <c r="V50" s="1224"/>
      <c r="W50" s="1225"/>
    </row>
    <row r="51" spans="1:25" s="127" customFormat="1" ht="16.5" customHeight="1" x14ac:dyDescent="0.25">
      <c r="A51" s="624">
        <v>2</v>
      </c>
      <c r="B51" s="1223"/>
      <c r="C51" s="1224"/>
      <c r="D51" s="1224"/>
      <c r="E51" s="1224"/>
      <c r="F51" s="1224"/>
      <c r="G51" s="1224"/>
      <c r="H51" s="1224"/>
      <c r="I51" s="1224"/>
      <c r="J51" s="1224"/>
      <c r="K51" s="1224"/>
      <c r="L51" s="1224"/>
      <c r="M51" s="1224"/>
      <c r="N51" s="1224"/>
      <c r="O51" s="1224"/>
      <c r="P51" s="1224"/>
      <c r="Q51" s="1224"/>
      <c r="R51" s="1224"/>
      <c r="S51" s="1224"/>
      <c r="T51" s="1224"/>
      <c r="U51" s="1224"/>
      <c r="V51" s="1224"/>
      <c r="W51" s="1225"/>
      <c r="X51" s="465"/>
      <c r="Y51" s="465"/>
    </row>
    <row r="52" spans="1:25" s="127" customFormat="1" ht="16.5" customHeight="1" x14ac:dyDescent="0.25">
      <c r="A52" s="624">
        <v>3</v>
      </c>
      <c r="B52" s="1223"/>
      <c r="C52" s="1224"/>
      <c r="D52" s="1224"/>
      <c r="E52" s="1224"/>
      <c r="F52" s="1224"/>
      <c r="G52" s="1224"/>
      <c r="H52" s="1224"/>
      <c r="I52" s="1224"/>
      <c r="J52" s="1224"/>
      <c r="K52" s="1224"/>
      <c r="L52" s="1224"/>
      <c r="M52" s="1224"/>
      <c r="N52" s="1224"/>
      <c r="O52" s="1224"/>
      <c r="P52" s="1224"/>
      <c r="Q52" s="1224"/>
      <c r="R52" s="1224"/>
      <c r="S52" s="1224"/>
      <c r="T52" s="1224"/>
      <c r="U52" s="1224"/>
      <c r="V52" s="1224"/>
      <c r="W52" s="1225"/>
    </row>
    <row r="53" spans="1:25" ht="18.75" customHeight="1" x14ac:dyDescent="0.25">
      <c r="A53" s="624">
        <v>4</v>
      </c>
      <c r="B53" s="1223"/>
      <c r="C53" s="1224"/>
      <c r="D53" s="1224"/>
      <c r="E53" s="1224"/>
      <c r="F53" s="1224"/>
      <c r="G53" s="1224"/>
      <c r="H53" s="1224"/>
      <c r="I53" s="1224"/>
      <c r="J53" s="1224"/>
      <c r="K53" s="1224"/>
      <c r="L53" s="1224"/>
      <c r="M53" s="1224"/>
      <c r="N53" s="1224"/>
      <c r="O53" s="1224"/>
      <c r="P53" s="1224"/>
      <c r="Q53" s="1224"/>
      <c r="R53" s="1224"/>
      <c r="S53" s="1224"/>
      <c r="T53" s="1224"/>
      <c r="U53" s="1224"/>
      <c r="V53" s="1224"/>
      <c r="W53" s="1225"/>
    </row>
  </sheetData>
  <sheetProtection insertRows="0"/>
  <mergeCells count="127">
    <mergeCell ref="M3:N3"/>
    <mergeCell ref="B52:W52"/>
    <mergeCell ref="F32:F33"/>
    <mergeCell ref="O32:P32"/>
    <mergeCell ref="C33:E33"/>
    <mergeCell ref="O33:P33"/>
    <mergeCell ref="B50:W50"/>
    <mergeCell ref="B51:W51"/>
    <mergeCell ref="A49:C49"/>
    <mergeCell ref="C40:F40"/>
    <mergeCell ref="O40:P40"/>
    <mergeCell ref="C42:F42"/>
    <mergeCell ref="O42:P42"/>
    <mergeCell ref="C43:F43"/>
    <mergeCell ref="C44:F44"/>
    <mergeCell ref="O44:P44"/>
    <mergeCell ref="C45:F45"/>
    <mergeCell ref="O45:P45"/>
    <mergeCell ref="C34:F34"/>
    <mergeCell ref="O34:P34"/>
    <mergeCell ref="C35:F35"/>
    <mergeCell ref="O35:P35"/>
    <mergeCell ref="C36:F36"/>
    <mergeCell ref="O36:P36"/>
    <mergeCell ref="B19:B20"/>
    <mergeCell ref="C19:F19"/>
    <mergeCell ref="O19:P19"/>
    <mergeCell ref="C20:F20"/>
    <mergeCell ref="O20:P20"/>
    <mergeCell ref="C21:F21"/>
    <mergeCell ref="C39:F39"/>
    <mergeCell ref="O43:P43"/>
    <mergeCell ref="C37:F37"/>
    <mergeCell ref="C41:F41"/>
    <mergeCell ref="C24:F24"/>
    <mergeCell ref="O24:P24"/>
    <mergeCell ref="C25:D25"/>
    <mergeCell ref="E25:F29"/>
    <mergeCell ref="O25:P25"/>
    <mergeCell ref="C26:D26"/>
    <mergeCell ref="O26:P26"/>
    <mergeCell ref="C27:D27"/>
    <mergeCell ref="O39:P39"/>
    <mergeCell ref="C28:D28"/>
    <mergeCell ref="O28:P28"/>
    <mergeCell ref="O29:P29"/>
    <mergeCell ref="C30:F30"/>
    <mergeCell ref="C32:E32"/>
    <mergeCell ref="O21:P21"/>
    <mergeCell ref="C22:F22"/>
    <mergeCell ref="O22:P22"/>
    <mergeCell ref="C23:F23"/>
    <mergeCell ref="O23:P23"/>
    <mergeCell ref="C17:F17"/>
    <mergeCell ref="O17:P17"/>
    <mergeCell ref="L14:L15"/>
    <mergeCell ref="M14:M15"/>
    <mergeCell ref="C18:F18"/>
    <mergeCell ref="O18:P18"/>
    <mergeCell ref="O27:P27"/>
    <mergeCell ref="C29:D29"/>
    <mergeCell ref="C31:F31"/>
    <mergeCell ref="O31:P31"/>
    <mergeCell ref="O37:P37"/>
    <mergeCell ref="C38:F38"/>
    <mergeCell ref="O30:P30"/>
    <mergeCell ref="O38:P38"/>
    <mergeCell ref="Q8:W9"/>
    <mergeCell ref="A9:C9"/>
    <mergeCell ref="D9:E9"/>
    <mergeCell ref="F9:G9"/>
    <mergeCell ref="V14:V16"/>
    <mergeCell ref="W14:W16"/>
    <mergeCell ref="Q10:W10"/>
    <mergeCell ref="A11:C11"/>
    <mergeCell ref="D11:E11"/>
    <mergeCell ref="F11:G11"/>
    <mergeCell ref="I11:K11"/>
    <mergeCell ref="L11:N11"/>
    <mergeCell ref="Q11:W11"/>
    <mergeCell ref="A10:C10"/>
    <mergeCell ref="D10:E10"/>
    <mergeCell ref="F10:G10"/>
    <mergeCell ref="I10:K10"/>
    <mergeCell ref="L10:N10"/>
    <mergeCell ref="U15:U16"/>
    <mergeCell ref="L13:M13"/>
    <mergeCell ref="O13:Q13"/>
    <mergeCell ref="C14:F15"/>
    <mergeCell ref="I14:I15"/>
    <mergeCell ref="O14:P14"/>
    <mergeCell ref="I9:K9"/>
    <mergeCell ref="O15:P15"/>
    <mergeCell ref="A7:C7"/>
    <mergeCell ref="D7:E7"/>
    <mergeCell ref="F7:G7"/>
    <mergeCell ref="A8:C8"/>
    <mergeCell ref="D8:E8"/>
    <mergeCell ref="F8:G8"/>
    <mergeCell ref="I8:K8"/>
    <mergeCell ref="L8:N8"/>
    <mergeCell ref="I7:K7"/>
    <mergeCell ref="L7:N7"/>
    <mergeCell ref="O41:P41"/>
    <mergeCell ref="B53:W53"/>
    <mergeCell ref="Q7:W7"/>
    <mergeCell ref="A1:K1"/>
    <mergeCell ref="Q3:W3"/>
    <mergeCell ref="A4:C4"/>
    <mergeCell ref="D4:E4"/>
    <mergeCell ref="F4:G4"/>
    <mergeCell ref="Q6:W6"/>
    <mergeCell ref="I4:K4"/>
    <mergeCell ref="L4:N4"/>
    <mergeCell ref="Q4:W4"/>
    <mergeCell ref="A5:C5"/>
    <mergeCell ref="D5:E5"/>
    <mergeCell ref="F5:G5"/>
    <mergeCell ref="I5:K5"/>
    <mergeCell ref="L5:N5"/>
    <mergeCell ref="Q5:W5"/>
    <mergeCell ref="A6:C6"/>
    <mergeCell ref="D6:E6"/>
    <mergeCell ref="F6:G6"/>
    <mergeCell ref="I6:K6"/>
    <mergeCell ref="L6:N6"/>
    <mergeCell ref="L9:N9"/>
  </mergeCells>
  <conditionalFormatting sqref="E25">
    <cfRule type="cellIs" dxfId="87" priority="1" operator="notEqual">
      <formula>"GC 76000 PA ($" &amp;O11 &amp;" for every 10) breakdown per local board of supervisor resolution (BOS)."</formula>
    </cfRule>
  </conditionalFormatting>
  <conditionalFormatting sqref="H25:H30">
    <cfRule type="expression" dxfId="86" priority="32" stopIfTrue="1">
      <formula>MOD(ROW(), 2)=0</formula>
    </cfRule>
  </conditionalFormatting>
  <conditionalFormatting sqref="H30 H17:H24 H32:H34">
    <cfRule type="expression" dxfId="85" priority="34" stopIfTrue="1">
      <formula>MOD(ROW(),2)=0</formula>
    </cfRule>
  </conditionalFormatting>
  <conditionalFormatting sqref="O17:Q44">
    <cfRule type="expression" dxfId="84" priority="17">
      <formula>MOD(ROW(),2)=0</formula>
    </cfRule>
  </conditionalFormatting>
  <conditionalFormatting sqref="S17:S34 S36:S45 L17:M45 I19:K30 I28:M28 J31:K31 I32:K34">
    <cfRule type="cellIs" dxfId="83" priority="35" stopIfTrue="1" operator="equal">
      <formula>0</formula>
    </cfRule>
  </conditionalFormatting>
  <conditionalFormatting sqref="S17:S45">
    <cfRule type="cellIs" dxfId="82" priority="30" operator="equal">
      <formula>0</formula>
    </cfRule>
  </conditionalFormatting>
  <conditionalFormatting sqref="U12:V13 U49:V49 U54:V65533">
    <cfRule type="cellIs" dxfId="81" priority="33" stopIfTrue="1" operator="notEqual">
      <formula>0</formula>
    </cfRule>
  </conditionalFormatting>
  <conditionalFormatting sqref="V17:V44">
    <cfRule type="cellIs" dxfId="80" priority="4" operator="greaterThan">
      <formula>0</formula>
    </cfRule>
  </conditionalFormatting>
  <dataValidations count="1">
    <dataValidation type="list" allowBlank="1" showInputMessage="1" showErrorMessage="1" sqref="U15" xr:uid="{00000000-0002-0000-1E00-000000000000}">
      <formula1>Distribution_Method</formula1>
    </dataValidation>
  </dataValidations>
  <printOptions horizontalCentered="1"/>
  <pageMargins left="0.25" right="0.25" top="0.75" bottom="0.5" header="0.25" footer="0.25"/>
  <pageSetup scale="58" orientation="landscape" r:id="rId1"/>
  <headerFooter alignWithMargins="0">
    <oddHeader>&amp;CSUPERIOR OF COURT OF _________ COUNTY
Revenue Calculation and Distribution Worksheet</oddHeader>
    <oddFooter>&amp;L&amp;F&amp;R&amp;P of &amp;N</oddFooter>
  </headerFooter>
  <ignoredErrors>
    <ignoredError sqref="I38:I39" unlockedFormula="1"/>
    <ignoredError sqref="K35 M35"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11617" r:id="rId4" name="Button 1">
              <controlPr defaultSize="0" print="0" autoFill="0" autoPict="0" macro="mcr_GoToSummary">
                <anchor moveWithCells="1">
                  <from>
                    <xdr:col>0</xdr:col>
                    <xdr:colOff>31750</xdr:colOff>
                    <xdr:row>0</xdr:row>
                    <xdr:rowOff>95250</xdr:rowOff>
                  </from>
                  <to>
                    <xdr:col>3</xdr:col>
                    <xdr:colOff>146050</xdr:colOff>
                    <xdr:row>1</xdr:row>
                    <xdr:rowOff>50800</xdr:rowOff>
                  </to>
                </anchor>
              </controlPr>
            </control>
          </mc:Choice>
        </mc:AlternateContent>
        <mc:AlternateContent xmlns:mc="http://schemas.openxmlformats.org/markup-compatibility/2006">
          <mc:Choice Requires="x14">
            <control shapeId="111618" r:id="rId5" name="Button 2">
              <controlPr defaultSize="0" print="0" autoFill="0" autoPict="0" macro="[0]!mcrDisableTwoPercentNonDUI">
                <anchor moveWithCells="1">
                  <from>
                    <xdr:col>0</xdr:col>
                    <xdr:colOff>31750</xdr:colOff>
                    <xdr:row>13</xdr:row>
                    <xdr:rowOff>266700</xdr:rowOff>
                  </from>
                  <to>
                    <xdr:col>1</xdr:col>
                    <xdr:colOff>0</xdr:colOff>
                    <xdr:row>14</xdr:row>
                    <xdr:rowOff>12700</xdr:rowOff>
                  </to>
                </anchor>
              </controlPr>
            </control>
          </mc:Choice>
        </mc:AlternateContent>
        <mc:AlternateContent xmlns:mc="http://schemas.openxmlformats.org/markup-compatibility/2006">
          <mc:Choice Requires="x14">
            <control shapeId="111619" r:id="rId6" name="Button 3">
              <controlPr defaultSize="0" print="0" autoFill="0" autoPict="0" macro="[0]!mcrEnableTwoPercentNonDUI">
                <anchor moveWithCells="1">
                  <from>
                    <xdr:col>0</xdr:col>
                    <xdr:colOff>12700</xdr:colOff>
                    <xdr:row>13</xdr:row>
                    <xdr:rowOff>641350</xdr:rowOff>
                  </from>
                  <to>
                    <xdr:col>0</xdr:col>
                    <xdr:colOff>279400</xdr:colOff>
                    <xdr:row>15</xdr:row>
                    <xdr:rowOff>50800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7">
    <tabColor theme="6"/>
    <pageSetUpPr fitToPage="1"/>
  </sheetPr>
  <dimension ref="A1:AD48"/>
  <sheetViews>
    <sheetView zoomScale="80" zoomScaleNormal="80" workbookViewId="0">
      <pane ySplit="1" topLeftCell="A2" activePane="bottomLeft" state="frozen"/>
      <selection pane="bottomLeft" sqref="A1:M1"/>
    </sheetView>
  </sheetViews>
  <sheetFormatPr defaultColWidth="9.1796875" defaultRowHeight="18.5" x14ac:dyDescent="0.25"/>
  <cols>
    <col min="1" max="1" width="4.26953125" style="87" customWidth="1"/>
    <col min="2" max="2" width="4.7265625" style="87" customWidth="1"/>
    <col min="3" max="3" width="13.54296875" style="87" customWidth="1"/>
    <col min="4" max="4" width="12" style="87" customWidth="1"/>
    <col min="5" max="5" width="11.1796875" style="88" customWidth="1"/>
    <col min="6" max="6" width="18.54296875" style="121" customWidth="1"/>
    <col min="7" max="7" width="9.1796875" style="46" customWidth="1"/>
    <col min="8" max="8" width="29.453125" style="46" hidden="1" customWidth="1"/>
    <col min="9" max="10" width="8.1796875" style="46" customWidth="1"/>
    <col min="11" max="11" width="8.54296875" style="46" customWidth="1"/>
    <col min="12" max="12" width="6" style="46" customWidth="1"/>
    <col min="13" max="13" width="11.1796875" style="92" customWidth="1"/>
    <col min="14" max="14" width="1.7265625" style="89" customWidth="1"/>
    <col min="15" max="15" width="15.26953125" style="46" customWidth="1"/>
    <col min="16" max="16" width="1.54296875" style="46" customWidth="1"/>
    <col min="17" max="17" width="11" style="46" customWidth="1"/>
    <col min="18" max="18" width="1.81640625" style="89" customWidth="1"/>
    <col min="19" max="19" width="10.81640625" style="89" customWidth="1"/>
    <col min="20" max="20" width="5.7265625" style="89" customWidth="1"/>
    <col min="21" max="21" width="10.7265625" style="89" customWidth="1"/>
    <col min="22" max="22" width="1.81640625" style="50" customWidth="1"/>
    <col min="23" max="23" width="12.453125" style="90" customWidth="1"/>
    <col min="24" max="24" width="5.1796875" style="90" customWidth="1"/>
    <col min="25" max="25" width="18.54296875" style="91" customWidth="1"/>
    <col min="26" max="26" width="2.1796875" style="50" customWidth="1"/>
    <col min="27" max="27" width="11.26953125" style="50" customWidth="1"/>
    <col min="28" max="28" width="11.1796875" style="50" customWidth="1"/>
    <col min="29" max="30" width="9.1796875" style="50"/>
    <col min="31" max="16384" width="9.1796875" style="46"/>
  </cols>
  <sheetData>
    <row r="1" spans="1:30" ht="20.25" customHeight="1" thickBot="1" x14ac:dyDescent="0.3">
      <c r="A1" s="1081" t="s">
        <v>383</v>
      </c>
      <c r="B1" s="1082"/>
      <c r="C1" s="1082"/>
      <c r="D1" s="1082"/>
      <c r="E1" s="1082"/>
      <c r="F1" s="1082"/>
      <c r="G1" s="1082"/>
      <c r="H1" s="1082"/>
      <c r="I1" s="1082"/>
      <c r="J1" s="1082"/>
      <c r="K1" s="1082"/>
      <c r="L1" s="1082"/>
      <c r="M1" s="1082"/>
      <c r="N1" s="1079"/>
      <c r="O1" s="1079"/>
      <c r="P1" s="1079"/>
      <c r="Q1" s="1079"/>
      <c r="R1" s="1079"/>
      <c r="S1" s="1079"/>
      <c r="T1" s="1079"/>
      <c r="U1" s="1079"/>
      <c r="V1" s="1079"/>
      <c r="W1" s="1079"/>
      <c r="X1" s="592" t="s">
        <v>485</v>
      </c>
      <c r="Y1" s="612" t="str">
        <f>'Cover Page'!A3</f>
        <v>January 2014</v>
      </c>
    </row>
    <row r="2" spans="1:30" s="50" customFormat="1" ht="6" customHeight="1" thickBot="1" x14ac:dyDescent="0.3">
      <c r="A2" s="47"/>
      <c r="B2" s="47"/>
      <c r="C2" s="47"/>
      <c r="D2" s="47"/>
      <c r="E2" s="47"/>
      <c r="F2" s="47"/>
      <c r="G2" s="47"/>
      <c r="H2" s="47"/>
      <c r="I2" s="47"/>
      <c r="J2" s="47"/>
      <c r="K2" s="47"/>
      <c r="L2" s="48"/>
      <c r="M2" s="48"/>
      <c r="N2" s="48"/>
      <c r="O2" s="48"/>
      <c r="P2" s="48"/>
      <c r="Q2" s="49"/>
      <c r="R2" s="49"/>
      <c r="S2" s="49"/>
      <c r="T2" s="49"/>
      <c r="U2" s="49"/>
      <c r="V2" s="49"/>
      <c r="W2" s="49"/>
      <c r="X2" s="49"/>
      <c r="Y2" s="49"/>
    </row>
    <row r="3" spans="1:30" s="50" customFormat="1" ht="19" thickBot="1" x14ac:dyDescent="0.3">
      <c r="A3" s="630" t="s">
        <v>234</v>
      </c>
      <c r="B3" s="631"/>
      <c r="C3" s="631"/>
      <c r="D3" s="631"/>
      <c r="E3" s="631"/>
      <c r="F3" s="631"/>
      <c r="G3" s="631"/>
      <c r="H3" s="631"/>
      <c r="I3" s="631"/>
      <c r="J3" s="631"/>
      <c r="K3" s="631"/>
      <c r="L3" s="631"/>
      <c r="M3" s="631"/>
      <c r="N3" s="631"/>
      <c r="O3" s="1221"/>
      <c r="P3" s="1245"/>
      <c r="Q3" s="638"/>
      <c r="R3" s="159"/>
      <c r="S3" s="901" t="s">
        <v>261</v>
      </c>
      <c r="T3" s="902"/>
      <c r="U3" s="902"/>
      <c r="V3" s="902"/>
      <c r="W3" s="902"/>
      <c r="X3" s="902"/>
      <c r="Y3" s="903"/>
      <c r="AA3" s="159" t="s">
        <v>250</v>
      </c>
      <c r="AB3" s="120"/>
    </row>
    <row r="4" spans="1:30" s="53" customFormat="1" ht="15.5" x14ac:dyDescent="0.25">
      <c r="A4" s="904" t="s">
        <v>231</v>
      </c>
      <c r="B4" s="905"/>
      <c r="C4" s="905"/>
      <c r="D4" s="906">
        <f>N1</f>
        <v>0</v>
      </c>
      <c r="E4" s="907"/>
      <c r="F4" s="1179" t="s">
        <v>28</v>
      </c>
      <c r="G4" s="1180"/>
      <c r="H4" s="1180"/>
      <c r="I4" s="1181"/>
      <c r="J4" s="1182" t="s">
        <v>542</v>
      </c>
      <c r="K4" s="1182"/>
      <c r="L4" s="1182"/>
      <c r="M4" s="1182"/>
      <c r="N4" s="1183"/>
      <c r="O4" s="910" t="s">
        <v>257</v>
      </c>
      <c r="P4" s="910"/>
      <c r="Q4" s="191"/>
      <c r="R4" s="95"/>
      <c r="S4" s="911" t="s">
        <v>236</v>
      </c>
      <c r="T4" s="912"/>
      <c r="U4" s="912"/>
      <c r="V4" s="912"/>
      <c r="W4" s="912"/>
      <c r="X4" s="912"/>
      <c r="Y4" s="913"/>
      <c r="AA4" s="243" t="s">
        <v>308</v>
      </c>
      <c r="AB4" s="241" t="s">
        <v>309</v>
      </c>
      <c r="AC4" s="241" t="s">
        <v>310</v>
      </c>
    </row>
    <row r="5" spans="1:30" s="53" customFormat="1" ht="15.5" x14ac:dyDescent="0.25">
      <c r="A5" s="882" t="s">
        <v>4</v>
      </c>
      <c r="B5" s="883"/>
      <c r="C5" s="883"/>
      <c r="D5" s="894"/>
      <c r="E5" s="885"/>
      <c r="F5" s="844" t="s">
        <v>244</v>
      </c>
      <c r="G5" s="872"/>
      <c r="H5" s="872"/>
      <c r="I5" s="845"/>
      <c r="J5" s="895" t="s">
        <v>377</v>
      </c>
      <c r="K5" s="895"/>
      <c r="L5" s="895"/>
      <c r="M5" s="895"/>
      <c r="N5" s="896"/>
      <c r="O5" s="872" t="s">
        <v>22</v>
      </c>
      <c r="P5" s="872"/>
      <c r="Q5" s="54">
        <v>0</v>
      </c>
      <c r="R5" s="95"/>
      <c r="S5" s="897" t="s">
        <v>302</v>
      </c>
      <c r="T5" s="898"/>
      <c r="U5" s="898"/>
      <c r="V5" s="898"/>
      <c r="W5" s="898"/>
      <c r="X5" s="898"/>
      <c r="Y5" s="899"/>
      <c r="AA5" s="157" t="s">
        <v>31</v>
      </c>
      <c r="AB5" s="161">
        <f>SUMIF($G$16:$G$41,"STATE",$M$16:$M$41)</f>
        <v>79</v>
      </c>
      <c r="AC5" s="161">
        <f>SUMIF($G$16:$G$41,"STATE",$U$16:$U$41)</f>
        <v>0</v>
      </c>
    </row>
    <row r="6" spans="1:30" s="53" customFormat="1" ht="16" thickBot="1" x14ac:dyDescent="0.3">
      <c r="A6" s="882" t="s">
        <v>12</v>
      </c>
      <c r="B6" s="883"/>
      <c r="C6" s="883"/>
      <c r="D6" s="894"/>
      <c r="E6" s="900"/>
      <c r="F6" s="844" t="s">
        <v>20</v>
      </c>
      <c r="G6" s="872"/>
      <c r="H6" s="872"/>
      <c r="I6" s="845"/>
      <c r="J6" s="895" t="s">
        <v>317</v>
      </c>
      <c r="K6" s="895"/>
      <c r="L6" s="895"/>
      <c r="M6" s="895"/>
      <c r="N6" s="896"/>
      <c r="O6" s="848" t="s">
        <v>233</v>
      </c>
      <c r="P6" s="848"/>
      <c r="Q6" s="194">
        <f>Q4+Q5*10</f>
        <v>0</v>
      </c>
      <c r="R6" s="95"/>
      <c r="S6" s="891" t="s">
        <v>573</v>
      </c>
      <c r="T6" s="892"/>
      <c r="U6" s="892"/>
      <c r="V6" s="892"/>
      <c r="W6" s="892"/>
      <c r="X6" s="892"/>
      <c r="Y6" s="893"/>
      <c r="AA6" s="157" t="s">
        <v>32</v>
      </c>
      <c r="AB6" s="161">
        <f>SUMIF($G$16:$G$41,"COUNTY",$M$16:$M$41)</f>
        <v>0</v>
      </c>
      <c r="AC6" s="161">
        <f>SUMIF($G$16:$G$41,"COUNTY",$U$16:$U$41)</f>
        <v>0</v>
      </c>
    </row>
    <row r="7" spans="1:30" s="53" customFormat="1" ht="16" thickBot="1" x14ac:dyDescent="0.3">
      <c r="A7" s="882" t="s">
        <v>5</v>
      </c>
      <c r="B7" s="883"/>
      <c r="C7" s="883"/>
      <c r="D7" s="884"/>
      <c r="E7" s="885"/>
      <c r="F7" s="1185" t="s">
        <v>21</v>
      </c>
      <c r="G7" s="1186"/>
      <c r="H7" s="1186"/>
      <c r="I7" s="1187"/>
      <c r="J7" s="964" t="s">
        <v>3</v>
      </c>
      <c r="K7" s="964"/>
      <c r="L7" s="964"/>
      <c r="M7" s="964"/>
      <c r="N7" s="1085"/>
      <c r="O7" s="216"/>
      <c r="P7" s="220"/>
      <c r="Q7" s="217"/>
      <c r="R7" s="95"/>
      <c r="S7" s="888" t="s">
        <v>235</v>
      </c>
      <c r="T7" s="889"/>
      <c r="U7" s="889"/>
      <c r="V7" s="889"/>
      <c r="W7" s="889"/>
      <c r="X7" s="889"/>
      <c r="Y7" s="890"/>
      <c r="AA7" s="157" t="s">
        <v>52</v>
      </c>
      <c r="AB7" s="161">
        <f>SUMIF($G$16:$G$41,"CITY",$M$16:$M$41)</f>
        <v>0</v>
      </c>
      <c r="AC7" s="161">
        <f>SUMIF($G$16:$G$41,"CITY",$U$16:$U$41)</f>
        <v>0</v>
      </c>
    </row>
    <row r="8" spans="1:30" s="53" customFormat="1" ht="15.75" customHeight="1" x14ac:dyDescent="0.25">
      <c r="A8" s="873" t="s">
        <v>54</v>
      </c>
      <c r="B8" s="874"/>
      <c r="C8" s="874"/>
      <c r="D8" s="1163">
        <v>1</v>
      </c>
      <c r="E8" s="1184"/>
      <c r="F8" s="877" t="s">
        <v>253</v>
      </c>
      <c r="G8" s="881"/>
      <c r="H8" s="881"/>
      <c r="I8" s="878"/>
      <c r="J8" s="1182"/>
      <c r="K8" s="1182"/>
      <c r="L8" s="1182"/>
      <c r="M8" s="1182"/>
      <c r="N8" s="1183"/>
      <c r="O8" s="881" t="s">
        <v>257</v>
      </c>
      <c r="P8" s="881"/>
      <c r="Q8" s="51">
        <v>0</v>
      </c>
      <c r="R8" s="138"/>
      <c r="S8" s="862" t="s">
        <v>303</v>
      </c>
      <c r="T8" s="863"/>
      <c r="U8" s="863"/>
      <c r="V8" s="863"/>
      <c r="W8" s="863"/>
      <c r="X8" s="863"/>
      <c r="Y8" s="864"/>
      <c r="AA8" s="157" t="s">
        <v>230</v>
      </c>
      <c r="AB8" s="161">
        <f>SUMIF($G$16:$G$41,"COURT",$M$16:$M$41)</f>
        <v>0</v>
      </c>
      <c r="AC8" s="161">
        <f>SUMIF($G$16:$G$41,"COURT",$U$16:$U$41)</f>
        <v>0</v>
      </c>
    </row>
    <row r="9" spans="1:30" s="53" customFormat="1" ht="18" customHeight="1" thickBot="1" x14ac:dyDescent="0.3">
      <c r="A9" s="868" t="s">
        <v>53</v>
      </c>
      <c r="B9" s="869"/>
      <c r="C9" s="869"/>
      <c r="D9" s="870">
        <f>100%-D8</f>
        <v>0</v>
      </c>
      <c r="E9" s="871"/>
      <c r="F9" s="844" t="s">
        <v>244</v>
      </c>
      <c r="G9" s="872"/>
      <c r="H9" s="872"/>
      <c r="I9" s="845"/>
      <c r="J9" s="895"/>
      <c r="K9" s="895"/>
      <c r="L9" s="895"/>
      <c r="M9" s="895"/>
      <c r="N9" s="896"/>
      <c r="O9" s="872" t="s">
        <v>22</v>
      </c>
      <c r="P9" s="872"/>
      <c r="Q9" s="54"/>
      <c r="R9" s="138"/>
      <c r="S9" s="865"/>
      <c r="T9" s="866"/>
      <c r="U9" s="866"/>
      <c r="V9" s="866"/>
      <c r="W9" s="866"/>
      <c r="X9" s="866"/>
      <c r="Y9" s="867"/>
      <c r="AA9" s="84" t="s">
        <v>446</v>
      </c>
      <c r="AB9" s="161">
        <f>SUMIF($G$16:$G$41,"CNTY or CTY",$M$16:$M$41)</f>
        <v>0</v>
      </c>
      <c r="AC9" s="161">
        <f>SUMIF($G$16:$G$41,"CNTY or CTY",$U$16:$U$41)</f>
        <v>0</v>
      </c>
    </row>
    <row r="10" spans="1:30" s="53" customFormat="1" ht="16.5" customHeight="1" thickBot="1" x14ac:dyDescent="0.3">
      <c r="A10" s="840" t="s">
        <v>276</v>
      </c>
      <c r="B10" s="841"/>
      <c r="C10" s="841"/>
      <c r="D10" s="1066">
        <f>Q6+Q10</f>
        <v>0</v>
      </c>
      <c r="E10" s="1067"/>
      <c r="F10" s="844" t="s">
        <v>20</v>
      </c>
      <c r="G10" s="872"/>
      <c r="H10" s="872"/>
      <c r="I10" s="845"/>
      <c r="J10" s="895"/>
      <c r="K10" s="895"/>
      <c r="L10" s="895"/>
      <c r="M10" s="895"/>
      <c r="N10" s="896"/>
      <c r="O10" s="848" t="s">
        <v>233</v>
      </c>
      <c r="P10" s="848"/>
      <c r="Q10" s="194">
        <f>Q8+Q9*10</f>
        <v>0</v>
      </c>
      <c r="R10" s="218"/>
      <c r="S10" s="849" t="s">
        <v>239</v>
      </c>
      <c r="T10" s="850"/>
      <c r="U10" s="850"/>
      <c r="V10" s="850"/>
      <c r="W10" s="850"/>
      <c r="X10" s="850"/>
      <c r="Y10" s="851"/>
      <c r="AA10" s="158" t="s">
        <v>246</v>
      </c>
      <c r="AB10" s="134">
        <f>SUM(AB5:AB9)</f>
        <v>79</v>
      </c>
      <c r="AC10" s="134">
        <f>SUM(AC5:AC9)</f>
        <v>0</v>
      </c>
    </row>
    <row r="11" spans="1:30" s="53" customFormat="1" ht="16.5" customHeight="1" thickBot="1" x14ac:dyDescent="0.3">
      <c r="A11" s="852" t="s">
        <v>277</v>
      </c>
      <c r="B11" s="853"/>
      <c r="C11" s="853"/>
      <c r="D11" s="854">
        <f>ROUNDUP(D10/10,0)</f>
        <v>0</v>
      </c>
      <c r="E11" s="855"/>
      <c r="F11" s="856" t="s">
        <v>21</v>
      </c>
      <c r="G11" s="1176"/>
      <c r="H11" s="1176"/>
      <c r="I11" s="857"/>
      <c r="J11" s="1068"/>
      <c r="K11" s="886"/>
      <c r="L11" s="886"/>
      <c r="M11" s="886"/>
      <c r="N11" s="887"/>
      <c r="O11" s="860" t="s">
        <v>568</v>
      </c>
      <c r="P11" s="861"/>
      <c r="Q11" s="632">
        <f>'1-DUI (Reduce Base)'!P11</f>
        <v>5</v>
      </c>
      <c r="R11" s="633"/>
      <c r="S11" s="837" t="s">
        <v>430</v>
      </c>
      <c r="T11" s="838"/>
      <c r="U11" s="838"/>
      <c r="V11" s="838"/>
      <c r="W11" s="838"/>
      <c r="X11" s="838"/>
      <c r="Y11" s="839"/>
      <c r="AB11" s="242">
        <f>AB10-M43</f>
        <v>0</v>
      </c>
      <c r="AC11" s="242">
        <f>AC10-U43</f>
        <v>0</v>
      </c>
    </row>
    <row r="12" spans="1:30" s="53" customFormat="1" ht="15.75" customHeight="1" thickBot="1" x14ac:dyDescent="0.3">
      <c r="A12" s="193"/>
      <c r="B12" s="193"/>
      <c r="C12" s="173"/>
      <c r="D12" s="173"/>
      <c r="E12" s="173"/>
      <c r="F12" s="60"/>
      <c r="G12" s="55"/>
      <c r="H12" s="56"/>
      <c r="I12" s="57"/>
      <c r="J12" s="57"/>
      <c r="K12" s="57"/>
      <c r="L12" s="57"/>
      <c r="M12" s="57"/>
      <c r="N12" s="57"/>
      <c r="Q12" s="52"/>
      <c r="R12" s="52"/>
      <c r="S12" s="52"/>
      <c r="T12" s="52"/>
      <c r="U12" s="52"/>
      <c r="V12" s="52"/>
      <c r="W12" s="58"/>
      <c r="X12" s="58"/>
      <c r="Y12" s="56"/>
      <c r="AC12" s="59"/>
    </row>
    <row r="13" spans="1:30" s="98" customFormat="1" ht="18.75" customHeight="1" thickBot="1" x14ac:dyDescent="0.3">
      <c r="A13" s="174"/>
      <c r="B13" s="174"/>
      <c r="C13" s="174"/>
      <c r="D13" s="174"/>
      <c r="E13" s="174"/>
      <c r="F13" s="96"/>
      <c r="G13" s="97"/>
      <c r="I13" s="248"/>
      <c r="J13" s="249"/>
      <c r="K13" s="821" t="s">
        <v>297</v>
      </c>
      <c r="L13" s="822"/>
      <c r="M13" s="822"/>
      <c r="N13" s="99"/>
      <c r="O13" s="1155" t="s">
        <v>229</v>
      </c>
      <c r="P13" s="1156"/>
      <c r="Q13" s="1157"/>
      <c r="R13" s="100"/>
      <c r="S13" s="824" t="s">
        <v>295</v>
      </c>
      <c r="T13" s="825"/>
      <c r="U13" s="826"/>
      <c r="V13" s="207"/>
      <c r="W13" s="143"/>
      <c r="X13" s="143"/>
      <c r="Y13" s="144"/>
      <c r="Z13" s="97"/>
      <c r="AA13" s="97"/>
      <c r="AB13" s="97"/>
      <c r="AC13" s="97"/>
      <c r="AD13" s="97"/>
    </row>
    <row r="14" spans="1:30" ht="44.25" customHeight="1" thickBot="1" x14ac:dyDescent="0.3">
      <c r="A14" s="101">
        <v>0.02</v>
      </c>
      <c r="B14" s="101" t="s">
        <v>58</v>
      </c>
      <c r="C14" s="827" t="s">
        <v>226</v>
      </c>
      <c r="D14" s="828"/>
      <c r="E14" s="828"/>
      <c r="F14" s="829"/>
      <c r="G14" s="102" t="s">
        <v>249</v>
      </c>
      <c r="H14" s="103" t="s">
        <v>0</v>
      </c>
      <c r="I14" s="833" t="s">
        <v>298</v>
      </c>
      <c r="J14" s="1174" t="s">
        <v>275</v>
      </c>
      <c r="K14" s="833" t="s">
        <v>315</v>
      </c>
      <c r="L14" s="835" t="s">
        <v>6</v>
      </c>
      <c r="M14" s="215" t="s">
        <v>299</v>
      </c>
      <c r="N14" s="61"/>
      <c r="O14" s="1122" t="s">
        <v>260</v>
      </c>
      <c r="P14" s="1123"/>
      <c r="Q14" s="109" t="s">
        <v>248</v>
      </c>
      <c r="R14" s="110"/>
      <c r="S14" s="564" t="s">
        <v>428</v>
      </c>
      <c r="T14" s="835" t="s">
        <v>6</v>
      </c>
      <c r="U14" s="215" t="s">
        <v>299</v>
      </c>
      <c r="V14" s="209"/>
      <c r="W14" s="189" t="s">
        <v>256</v>
      </c>
      <c r="X14" s="1148" t="s">
        <v>61</v>
      </c>
      <c r="Y14" s="1150" t="s">
        <v>384</v>
      </c>
    </row>
    <row r="15" spans="1:30" ht="30.75" customHeight="1" thickBot="1" x14ac:dyDescent="0.3">
      <c r="A15" s="104"/>
      <c r="B15" s="104"/>
      <c r="C15" s="830"/>
      <c r="D15" s="831"/>
      <c r="E15" s="831"/>
      <c r="F15" s="832"/>
      <c r="G15" s="105"/>
      <c r="H15" s="105"/>
      <c r="I15" s="834"/>
      <c r="J15" s="1175"/>
      <c r="K15" s="834"/>
      <c r="L15" s="836"/>
      <c r="M15" s="222" t="s">
        <v>42</v>
      </c>
      <c r="N15" s="62"/>
      <c r="O15" s="1120"/>
      <c r="P15" s="1121"/>
      <c r="Q15" s="223" t="s">
        <v>43</v>
      </c>
      <c r="R15" s="110"/>
      <c r="S15" s="224" t="e">
        <f>(S35-S31)/(K35-K31)</f>
        <v>#DIV/0!</v>
      </c>
      <c r="T15" s="836"/>
      <c r="U15" s="222" t="s">
        <v>44</v>
      </c>
      <c r="V15" s="209"/>
      <c r="W15" s="262" t="s">
        <v>300</v>
      </c>
      <c r="X15" s="1149"/>
      <c r="Y15" s="1151"/>
    </row>
    <row r="16" spans="1:30" s="68" customFormat="1" ht="15.75" hidden="1" customHeight="1" thickTop="1" x14ac:dyDescent="0.25">
      <c r="A16" s="63" t="s">
        <v>8</v>
      </c>
      <c r="B16" s="177"/>
      <c r="C16" s="1105"/>
      <c r="D16" s="1105"/>
      <c r="E16" s="1105"/>
      <c r="F16" s="1105"/>
      <c r="G16" s="64"/>
      <c r="H16" s="65"/>
      <c r="I16" s="139"/>
      <c r="J16" s="147"/>
      <c r="K16" s="147"/>
      <c r="L16" s="147"/>
      <c r="M16" s="180"/>
      <c r="N16" s="149"/>
      <c r="O16" s="1135"/>
      <c r="P16" s="1136"/>
      <c r="Q16" s="172"/>
      <c r="R16" s="66"/>
      <c r="S16" s="145"/>
      <c r="T16" s="147"/>
      <c r="U16" s="151"/>
      <c r="V16" s="210"/>
      <c r="W16" s="145"/>
      <c r="X16" s="145"/>
      <c r="Y16" s="94"/>
      <c r="Z16" s="114"/>
      <c r="AA16" s="114"/>
      <c r="AB16" s="114"/>
      <c r="AC16" s="114"/>
      <c r="AD16" s="114"/>
    </row>
    <row r="17" spans="1:30" s="68" customFormat="1" ht="15.75" hidden="1" customHeight="1" x14ac:dyDescent="0.25">
      <c r="A17" s="63" t="s">
        <v>8</v>
      </c>
      <c r="B17" s="238"/>
      <c r="C17" s="804"/>
      <c r="D17" s="805"/>
      <c r="E17" s="805"/>
      <c r="F17" s="945"/>
      <c r="G17" s="70"/>
      <c r="H17" s="71"/>
      <c r="I17" s="141"/>
      <c r="J17" s="147"/>
      <c r="K17" s="147"/>
      <c r="L17" s="147"/>
      <c r="M17" s="152"/>
      <c r="N17" s="149"/>
      <c r="O17" s="804"/>
      <c r="P17" s="1078"/>
      <c r="Q17" s="252"/>
      <c r="R17" s="66"/>
      <c r="S17" s="145"/>
      <c r="T17" s="147"/>
      <c r="U17" s="152"/>
      <c r="V17" s="210"/>
      <c r="W17" s="145"/>
      <c r="X17" s="145"/>
      <c r="Y17" s="67"/>
      <c r="Z17" s="114"/>
      <c r="AA17" s="114"/>
      <c r="AB17" s="114"/>
      <c r="AC17" s="114"/>
      <c r="AD17" s="114"/>
    </row>
    <row r="18" spans="1:30" s="68" customFormat="1" ht="15" thickTop="1" x14ac:dyDescent="0.25">
      <c r="A18" s="63" t="s">
        <v>8</v>
      </c>
      <c r="B18" s="238"/>
      <c r="C18" s="1105" t="s">
        <v>274</v>
      </c>
      <c r="D18" s="1105"/>
      <c r="E18" s="1105"/>
      <c r="F18" s="1105"/>
      <c r="G18" s="572" t="str">
        <f>IF(D9=0,"COUNTY","CITY")</f>
        <v>COUNTY</v>
      </c>
      <c r="H18" s="71" t="s">
        <v>51</v>
      </c>
      <c r="I18" s="141"/>
      <c r="J18" s="147"/>
      <c r="K18" s="147">
        <f>J42</f>
        <v>0</v>
      </c>
      <c r="L18" s="147">
        <f t="shared" ref="L18:L24" si="0">IF(A18="Y", K18*2%,0)</f>
        <v>0</v>
      </c>
      <c r="M18" s="152">
        <f t="shared" ref="M18:M24" si="1">K18-L18</f>
        <v>0</v>
      </c>
      <c r="N18" s="149"/>
      <c r="O18" s="804"/>
      <c r="P18" s="1078"/>
      <c r="Q18" s="172"/>
      <c r="R18" s="66"/>
      <c r="S18" s="145">
        <f t="shared" ref="S18:S30" si="2">IF($S$43=0,,K18*$S$15)</f>
        <v>0</v>
      </c>
      <c r="T18" s="147">
        <f t="shared" ref="T18:T34" si="3">IF(A18="Y", S18*2%,)</f>
        <v>0</v>
      </c>
      <c r="U18" s="152">
        <f t="shared" ref="U18:U40" si="4">S18-T18</f>
        <v>0</v>
      </c>
      <c r="V18" s="210"/>
      <c r="W18" s="145">
        <f t="shared" ref="W18:W34" si="5">IF($W$15="BASE-UP   (B-A)", Q18-M18,Q18-U18)</f>
        <v>0</v>
      </c>
      <c r="X18" s="548"/>
      <c r="Y18" s="463"/>
      <c r="Z18" s="114"/>
      <c r="AA18" s="114"/>
      <c r="AB18" s="114"/>
      <c r="AC18" s="114"/>
      <c r="AD18" s="114"/>
    </row>
    <row r="19" spans="1:30" s="68" customFormat="1" ht="15.75" customHeight="1" x14ac:dyDescent="0.25">
      <c r="A19" s="63" t="s">
        <v>8</v>
      </c>
      <c r="B19" s="819" t="s">
        <v>241</v>
      </c>
      <c r="C19" s="812" t="s">
        <v>212</v>
      </c>
      <c r="D19" s="812"/>
      <c r="E19" s="812"/>
      <c r="F19" s="812"/>
      <c r="G19" s="566" t="s">
        <v>32</v>
      </c>
      <c r="H19" s="71" t="s">
        <v>27</v>
      </c>
      <c r="I19" s="140">
        <f>(D10-SUM(I16:I18))*D8</f>
        <v>0</v>
      </c>
      <c r="J19" s="147"/>
      <c r="K19" s="147">
        <f t="shared" ref="K19:K24" si="6">I19-J19</f>
        <v>0</v>
      </c>
      <c r="L19" s="147">
        <f t="shared" si="0"/>
        <v>0</v>
      </c>
      <c r="M19" s="152">
        <f t="shared" si="1"/>
        <v>0</v>
      </c>
      <c r="N19" s="149"/>
      <c r="O19" s="804"/>
      <c r="P19" s="1078"/>
      <c r="Q19" s="72"/>
      <c r="R19" s="66"/>
      <c r="S19" s="145">
        <f t="shared" si="2"/>
        <v>0</v>
      </c>
      <c r="T19" s="147">
        <f t="shared" si="3"/>
        <v>0</v>
      </c>
      <c r="U19" s="152">
        <f t="shared" si="4"/>
        <v>0</v>
      </c>
      <c r="V19" s="210"/>
      <c r="W19" s="145">
        <f t="shared" si="5"/>
        <v>0</v>
      </c>
      <c r="X19" s="548"/>
      <c r="Y19" s="457"/>
      <c r="Z19" s="1246"/>
      <c r="AA19" s="114"/>
      <c r="AB19" s="114"/>
      <c r="AC19" s="114"/>
      <c r="AD19" s="114"/>
    </row>
    <row r="20" spans="1:30" s="68" customFormat="1" ht="20.25" customHeight="1" x14ac:dyDescent="0.25">
      <c r="A20" s="63" t="s">
        <v>8</v>
      </c>
      <c r="B20" s="820"/>
      <c r="C20" s="812" t="s">
        <v>213</v>
      </c>
      <c r="D20" s="812"/>
      <c r="E20" s="812"/>
      <c r="F20" s="812"/>
      <c r="G20" s="566" t="s">
        <v>52</v>
      </c>
      <c r="H20" s="71" t="s">
        <v>25</v>
      </c>
      <c r="I20" s="140">
        <f>(D10-SUM(I16:I18))*D9</f>
        <v>0</v>
      </c>
      <c r="J20" s="147"/>
      <c r="K20" s="147">
        <f t="shared" si="6"/>
        <v>0</v>
      </c>
      <c r="L20" s="147">
        <f t="shared" si="0"/>
        <v>0</v>
      </c>
      <c r="M20" s="152">
        <f t="shared" si="1"/>
        <v>0</v>
      </c>
      <c r="N20" s="149"/>
      <c r="O20" s="804"/>
      <c r="P20" s="1078"/>
      <c r="Q20" s="72"/>
      <c r="R20" s="66"/>
      <c r="S20" s="145">
        <f t="shared" si="2"/>
        <v>0</v>
      </c>
      <c r="T20" s="147">
        <f t="shared" si="3"/>
        <v>0</v>
      </c>
      <c r="U20" s="152">
        <f t="shared" si="4"/>
        <v>0</v>
      </c>
      <c r="V20" s="210"/>
      <c r="W20" s="145">
        <f t="shared" si="5"/>
        <v>0</v>
      </c>
      <c r="X20" s="548"/>
      <c r="Y20" s="457"/>
      <c r="Z20" s="1246"/>
      <c r="AA20" s="114"/>
      <c r="AB20" s="114"/>
      <c r="AC20" s="114"/>
      <c r="AD20" s="114"/>
    </row>
    <row r="21" spans="1:30" s="68" customFormat="1" ht="15.75" customHeight="1" x14ac:dyDescent="0.25">
      <c r="A21" s="63" t="s">
        <v>8</v>
      </c>
      <c r="B21" s="69">
        <v>7</v>
      </c>
      <c r="C21" s="812" t="s">
        <v>546</v>
      </c>
      <c r="D21" s="812"/>
      <c r="E21" s="812"/>
      <c r="F21" s="812"/>
      <c r="G21" s="566" t="s">
        <v>31</v>
      </c>
      <c r="H21" s="71" t="s">
        <v>26</v>
      </c>
      <c r="I21" s="140">
        <f>$D$11*B21</f>
        <v>0</v>
      </c>
      <c r="J21" s="147"/>
      <c r="K21" s="147">
        <f t="shared" si="6"/>
        <v>0</v>
      </c>
      <c r="L21" s="147">
        <f t="shared" si="0"/>
        <v>0</v>
      </c>
      <c r="M21" s="152">
        <f t="shared" si="1"/>
        <v>0</v>
      </c>
      <c r="N21" s="149"/>
      <c r="O21" s="804"/>
      <c r="P21" s="1078"/>
      <c r="Q21" s="74"/>
      <c r="R21" s="75"/>
      <c r="S21" s="145">
        <f t="shared" si="2"/>
        <v>0</v>
      </c>
      <c r="T21" s="147">
        <f t="shared" si="3"/>
        <v>0</v>
      </c>
      <c r="U21" s="152">
        <f t="shared" si="4"/>
        <v>0</v>
      </c>
      <c r="V21" s="210"/>
      <c r="W21" s="145">
        <f t="shared" si="5"/>
        <v>0</v>
      </c>
      <c r="X21" s="548"/>
      <c r="Y21" s="457"/>
      <c r="Z21" s="114"/>
      <c r="AA21" s="114"/>
      <c r="AB21" s="114"/>
      <c r="AC21" s="114"/>
      <c r="AD21" s="114"/>
    </row>
    <row r="22" spans="1:30" s="68" customFormat="1" ht="15.75" customHeight="1" x14ac:dyDescent="0.25">
      <c r="A22" s="63" t="s">
        <v>8</v>
      </c>
      <c r="B22" s="69">
        <v>3</v>
      </c>
      <c r="C22" s="812" t="s">
        <v>547</v>
      </c>
      <c r="D22" s="812"/>
      <c r="E22" s="812"/>
      <c r="F22" s="812"/>
      <c r="G22" s="566" t="s">
        <v>32</v>
      </c>
      <c r="H22" s="71" t="s">
        <v>27</v>
      </c>
      <c r="I22" s="140">
        <f>$D$11*B22</f>
        <v>0</v>
      </c>
      <c r="J22" s="147"/>
      <c r="K22" s="147">
        <f t="shared" si="6"/>
        <v>0</v>
      </c>
      <c r="L22" s="147">
        <f t="shared" si="0"/>
        <v>0</v>
      </c>
      <c r="M22" s="152">
        <f t="shared" si="1"/>
        <v>0</v>
      </c>
      <c r="N22" s="149"/>
      <c r="O22" s="804"/>
      <c r="P22" s="1078"/>
      <c r="Q22" s="72"/>
      <c r="R22" s="66"/>
      <c r="S22" s="145">
        <f t="shared" si="2"/>
        <v>0</v>
      </c>
      <c r="T22" s="147">
        <f t="shared" si="3"/>
        <v>0</v>
      </c>
      <c r="U22" s="152">
        <f t="shared" si="4"/>
        <v>0</v>
      </c>
      <c r="V22" s="210"/>
      <c r="W22" s="145">
        <f t="shared" si="5"/>
        <v>0</v>
      </c>
      <c r="X22" s="548"/>
      <c r="Y22" s="457"/>
      <c r="Z22" s="114"/>
      <c r="AA22" s="114"/>
      <c r="AB22" s="114"/>
      <c r="AC22" s="114"/>
      <c r="AD22" s="114"/>
    </row>
    <row r="23" spans="1:30" s="68" customFormat="1" ht="15.75" customHeight="1" x14ac:dyDescent="0.25">
      <c r="A23" s="63" t="s">
        <v>8</v>
      </c>
      <c r="B23" s="69">
        <v>1</v>
      </c>
      <c r="C23" s="804" t="s">
        <v>216</v>
      </c>
      <c r="D23" s="805"/>
      <c r="E23" s="805"/>
      <c r="F23" s="945"/>
      <c r="G23" s="566" t="s">
        <v>32</v>
      </c>
      <c r="H23" s="71" t="s">
        <v>55</v>
      </c>
      <c r="I23" s="140">
        <f>$D$11*B23</f>
        <v>0</v>
      </c>
      <c r="J23" s="147"/>
      <c r="K23" s="147">
        <f t="shared" si="6"/>
        <v>0</v>
      </c>
      <c r="L23" s="147">
        <f t="shared" si="0"/>
        <v>0</v>
      </c>
      <c r="M23" s="152">
        <f t="shared" si="1"/>
        <v>0</v>
      </c>
      <c r="N23" s="149"/>
      <c r="O23" s="804"/>
      <c r="P23" s="1078"/>
      <c r="Q23" s="72"/>
      <c r="R23" s="66"/>
      <c r="S23" s="145">
        <f t="shared" si="2"/>
        <v>0</v>
      </c>
      <c r="T23" s="147">
        <f t="shared" si="3"/>
        <v>0</v>
      </c>
      <c r="U23" s="152">
        <f t="shared" si="4"/>
        <v>0</v>
      </c>
      <c r="V23" s="210"/>
      <c r="W23" s="145">
        <f t="shared" si="5"/>
        <v>0</v>
      </c>
      <c r="X23" s="548"/>
      <c r="Y23" s="457"/>
      <c r="Z23" s="114"/>
      <c r="AA23" s="114"/>
      <c r="AB23" s="114"/>
      <c r="AC23" s="114"/>
      <c r="AD23" s="114"/>
    </row>
    <row r="24" spans="1:30" s="68" customFormat="1" ht="15.75" customHeight="1" x14ac:dyDescent="0.25">
      <c r="A24" s="63" t="s">
        <v>8</v>
      </c>
      <c r="B24" s="69">
        <v>4</v>
      </c>
      <c r="C24" s="804" t="s">
        <v>466</v>
      </c>
      <c r="D24" s="805"/>
      <c r="E24" s="805"/>
      <c r="F24" s="945"/>
      <c r="G24" s="566" t="s">
        <v>31</v>
      </c>
      <c r="H24" s="71" t="s">
        <v>72</v>
      </c>
      <c r="I24" s="140">
        <f>$D$11*B24</f>
        <v>0</v>
      </c>
      <c r="J24" s="147"/>
      <c r="K24" s="147">
        <f t="shared" si="6"/>
        <v>0</v>
      </c>
      <c r="L24" s="147">
        <f t="shared" si="0"/>
        <v>0</v>
      </c>
      <c r="M24" s="152">
        <f t="shared" si="1"/>
        <v>0</v>
      </c>
      <c r="N24" s="149"/>
      <c r="O24" s="804"/>
      <c r="P24" s="1078"/>
      <c r="Q24" s="72"/>
      <c r="R24" s="66"/>
      <c r="S24" s="145">
        <f t="shared" si="2"/>
        <v>0</v>
      </c>
      <c r="T24" s="147">
        <f t="shared" si="3"/>
        <v>0</v>
      </c>
      <c r="U24" s="152">
        <f t="shared" si="4"/>
        <v>0</v>
      </c>
      <c r="V24" s="210"/>
      <c r="W24" s="145">
        <f t="shared" si="5"/>
        <v>0</v>
      </c>
      <c r="X24" s="548"/>
      <c r="Y24" s="457"/>
      <c r="Z24" s="114"/>
      <c r="AA24" s="114"/>
      <c r="AB24" s="114"/>
      <c r="AC24" s="114"/>
      <c r="AD24" s="114"/>
    </row>
    <row r="25" spans="1:30" s="68" customFormat="1" ht="15.75" customHeight="1" x14ac:dyDescent="0.25">
      <c r="A25" s="63" t="s">
        <v>8</v>
      </c>
      <c r="B25" s="634">
        <f>'1-DUI (Reduce Base)'!$B$25</f>
        <v>0</v>
      </c>
      <c r="C25" s="812" t="s">
        <v>217</v>
      </c>
      <c r="D25" s="812"/>
      <c r="E25" s="813" t="str">
        <f>IF(SUM(B25:B29)=Q11,"GC 76000 PA ($" &amp;Q11 &amp; " for every 10) breakdown per local board of supervisor resolution (BOS).","ERROR! GC 76000 PA total is not $" &amp;Q11&amp; ". Check Court's board resolution.")</f>
        <v>ERROR! GC 76000 PA total is not $5. Check Court's board resolution.</v>
      </c>
      <c r="F25" s="1143"/>
      <c r="G25" s="566" t="s">
        <v>32</v>
      </c>
      <c r="H25" s="71" t="s">
        <v>64</v>
      </c>
      <c r="I25" s="140">
        <f t="shared" ref="I25:I33" si="7">$D$11*B25</f>
        <v>0</v>
      </c>
      <c r="J25" s="147"/>
      <c r="K25" s="147">
        <f t="shared" ref="K25:K33" si="8">I25-J25</f>
        <v>0</v>
      </c>
      <c r="L25" s="147">
        <f t="shared" ref="L25:L34" si="9">IF(A25="Y", K25*2%,0)</f>
        <v>0</v>
      </c>
      <c r="M25" s="152">
        <f t="shared" ref="M25:M33" si="10">K25-L25</f>
        <v>0</v>
      </c>
      <c r="N25" s="149"/>
      <c r="O25" s="804"/>
      <c r="P25" s="1078"/>
      <c r="Q25" s="72"/>
      <c r="R25" s="66"/>
      <c r="S25" s="145">
        <f t="shared" si="2"/>
        <v>0</v>
      </c>
      <c r="T25" s="147">
        <f t="shared" si="3"/>
        <v>0</v>
      </c>
      <c r="U25" s="152">
        <f t="shared" si="4"/>
        <v>0</v>
      </c>
      <c r="V25" s="210"/>
      <c r="W25" s="145">
        <f t="shared" si="5"/>
        <v>0</v>
      </c>
      <c r="X25" s="548"/>
      <c r="Y25" s="457"/>
      <c r="Z25" s="114"/>
      <c r="AA25" s="114"/>
      <c r="AB25" s="114"/>
      <c r="AC25" s="114"/>
      <c r="AD25" s="114"/>
    </row>
    <row r="26" spans="1:30" s="68" customFormat="1" ht="15.75" customHeight="1" x14ac:dyDescent="0.25">
      <c r="A26" s="63" t="s">
        <v>8</v>
      </c>
      <c r="B26" s="634">
        <f>'1-DUI (Reduce Base)'!$B$26</f>
        <v>1</v>
      </c>
      <c r="C26" s="812" t="s">
        <v>218</v>
      </c>
      <c r="D26" s="812"/>
      <c r="E26" s="815"/>
      <c r="F26" s="1144"/>
      <c r="G26" s="566" t="s">
        <v>32</v>
      </c>
      <c r="H26" s="71" t="s">
        <v>35</v>
      </c>
      <c r="I26" s="140">
        <f t="shared" si="7"/>
        <v>0</v>
      </c>
      <c r="J26" s="147"/>
      <c r="K26" s="147">
        <f t="shared" si="8"/>
        <v>0</v>
      </c>
      <c r="L26" s="147">
        <f t="shared" si="9"/>
        <v>0</v>
      </c>
      <c r="M26" s="152">
        <f t="shared" si="10"/>
        <v>0</v>
      </c>
      <c r="N26" s="149"/>
      <c r="O26" s="804"/>
      <c r="P26" s="1078"/>
      <c r="Q26" s="72"/>
      <c r="R26" s="66"/>
      <c r="S26" s="145">
        <f t="shared" si="2"/>
        <v>0</v>
      </c>
      <c r="T26" s="147">
        <f t="shared" si="3"/>
        <v>0</v>
      </c>
      <c r="U26" s="152">
        <f t="shared" si="4"/>
        <v>0</v>
      </c>
      <c r="V26" s="210"/>
      <c r="W26" s="145">
        <f t="shared" si="5"/>
        <v>0</v>
      </c>
      <c r="X26" s="548"/>
      <c r="Y26" s="457"/>
      <c r="Z26" s="114"/>
      <c r="AA26" s="114"/>
      <c r="AB26" s="114"/>
      <c r="AC26" s="114"/>
      <c r="AD26" s="114"/>
    </row>
    <row r="27" spans="1:30" s="68" customFormat="1" ht="15.75" customHeight="1" x14ac:dyDescent="0.25">
      <c r="A27" s="63" t="s">
        <v>8</v>
      </c>
      <c r="B27" s="634">
        <f>'1-DUI (Reduce Base)'!$B$27</f>
        <v>1</v>
      </c>
      <c r="C27" s="812" t="s">
        <v>219</v>
      </c>
      <c r="D27" s="812"/>
      <c r="E27" s="815"/>
      <c r="F27" s="1144"/>
      <c r="G27" s="566" t="s">
        <v>32</v>
      </c>
      <c r="H27" s="71" t="s">
        <v>65</v>
      </c>
      <c r="I27" s="140">
        <f t="shared" si="7"/>
        <v>0</v>
      </c>
      <c r="J27" s="147"/>
      <c r="K27" s="147">
        <f t="shared" si="8"/>
        <v>0</v>
      </c>
      <c r="L27" s="147">
        <f t="shared" si="9"/>
        <v>0</v>
      </c>
      <c r="M27" s="152">
        <f t="shared" si="10"/>
        <v>0</v>
      </c>
      <c r="N27" s="149"/>
      <c r="O27" s="804"/>
      <c r="P27" s="1078"/>
      <c r="Q27" s="72"/>
      <c r="R27" s="66"/>
      <c r="S27" s="145">
        <f t="shared" si="2"/>
        <v>0</v>
      </c>
      <c r="T27" s="147">
        <f t="shared" si="3"/>
        <v>0</v>
      </c>
      <c r="U27" s="152">
        <f t="shared" si="4"/>
        <v>0</v>
      </c>
      <c r="V27" s="210"/>
      <c r="W27" s="145">
        <f t="shared" si="5"/>
        <v>0</v>
      </c>
      <c r="X27" s="548"/>
      <c r="Y27" s="457"/>
      <c r="Z27" s="114"/>
      <c r="AA27" s="114"/>
      <c r="AB27" s="114"/>
      <c r="AC27" s="114"/>
      <c r="AD27" s="114"/>
    </row>
    <row r="28" spans="1:30" s="68" customFormat="1" ht="15.75" customHeight="1" x14ac:dyDescent="0.25">
      <c r="A28" s="63" t="s">
        <v>8</v>
      </c>
      <c r="B28" s="634">
        <f>'1-DUI (Reduce Base)'!$B$28</f>
        <v>0.5</v>
      </c>
      <c r="C28" s="812" t="s">
        <v>401</v>
      </c>
      <c r="D28" s="812"/>
      <c r="E28" s="815"/>
      <c r="F28" s="1144"/>
      <c r="G28" s="566" t="s">
        <v>32</v>
      </c>
      <c r="H28" s="71" t="s">
        <v>65</v>
      </c>
      <c r="I28" s="140">
        <f>$D$11*B28</f>
        <v>0</v>
      </c>
      <c r="J28" s="147"/>
      <c r="K28" s="147">
        <f>I28-J28</f>
        <v>0</v>
      </c>
      <c r="L28" s="147">
        <f>IF(A28="Y", K28*2%,0)</f>
        <v>0</v>
      </c>
      <c r="M28" s="152">
        <f>K28-L28</f>
        <v>0</v>
      </c>
      <c r="N28" s="149"/>
      <c r="O28" s="804"/>
      <c r="P28" s="1078"/>
      <c r="Q28" s="72"/>
      <c r="R28" s="66"/>
      <c r="S28" s="145">
        <f t="shared" si="2"/>
        <v>0</v>
      </c>
      <c r="T28" s="147">
        <f>IF(A28="Y", S28*2%,)</f>
        <v>0</v>
      </c>
      <c r="U28" s="152">
        <f>S28-T28</f>
        <v>0</v>
      </c>
      <c r="V28" s="210"/>
      <c r="W28" s="145">
        <f>IF($W$15="BASE-UP   (B-A)", Q28-M28,Q28-U28)</f>
        <v>0</v>
      </c>
      <c r="X28" s="548"/>
      <c r="Y28" s="457"/>
      <c r="Z28" s="114"/>
      <c r="AA28" s="114"/>
      <c r="AB28" s="114"/>
      <c r="AC28" s="114"/>
      <c r="AD28" s="114"/>
    </row>
    <row r="29" spans="1:30" s="68" customFormat="1" ht="15.75" customHeight="1" x14ac:dyDescent="0.25">
      <c r="A29" s="63" t="s">
        <v>8</v>
      </c>
      <c r="B29" s="634">
        <f>'1-DUI (Reduce Base)'!$B$29</f>
        <v>1</v>
      </c>
      <c r="C29" s="812" t="s">
        <v>254</v>
      </c>
      <c r="D29" s="812"/>
      <c r="E29" s="817"/>
      <c r="F29" s="1145"/>
      <c r="G29" s="566" t="s">
        <v>32</v>
      </c>
      <c r="H29" s="71"/>
      <c r="I29" s="140">
        <f t="shared" si="7"/>
        <v>0</v>
      </c>
      <c r="J29" s="147"/>
      <c r="K29" s="147">
        <f t="shared" si="8"/>
        <v>0</v>
      </c>
      <c r="L29" s="147">
        <f t="shared" si="9"/>
        <v>0</v>
      </c>
      <c r="M29" s="152">
        <f t="shared" si="10"/>
        <v>0</v>
      </c>
      <c r="N29" s="149"/>
      <c r="O29" s="804"/>
      <c r="P29" s="1078"/>
      <c r="Q29" s="72"/>
      <c r="R29" s="66"/>
      <c r="S29" s="145">
        <f t="shared" si="2"/>
        <v>0</v>
      </c>
      <c r="T29" s="147">
        <f t="shared" si="3"/>
        <v>0</v>
      </c>
      <c r="U29" s="152">
        <f t="shared" si="4"/>
        <v>0</v>
      </c>
      <c r="V29" s="210"/>
      <c r="W29" s="145">
        <f t="shared" si="5"/>
        <v>0</v>
      </c>
      <c r="X29" s="548"/>
      <c r="Y29" s="457"/>
      <c r="Z29" s="114"/>
      <c r="AA29" s="114"/>
      <c r="AB29" s="114"/>
      <c r="AC29" s="114"/>
      <c r="AD29" s="114"/>
    </row>
    <row r="30" spans="1:30" s="68" customFormat="1" ht="15.75" customHeight="1" x14ac:dyDescent="0.25">
      <c r="A30" s="63" t="s">
        <v>8</v>
      </c>
      <c r="B30" s="634">
        <f>'1-DUI (Reduce Base)'!$B$30</f>
        <v>2</v>
      </c>
      <c r="C30" s="804" t="s">
        <v>286</v>
      </c>
      <c r="D30" s="805"/>
      <c r="E30" s="805"/>
      <c r="F30" s="945"/>
      <c r="G30" s="566" t="s">
        <v>32</v>
      </c>
      <c r="H30" s="71" t="s">
        <v>36</v>
      </c>
      <c r="I30" s="140">
        <f t="shared" si="7"/>
        <v>0</v>
      </c>
      <c r="J30" s="147"/>
      <c r="K30" s="147">
        <f t="shared" si="8"/>
        <v>0</v>
      </c>
      <c r="L30" s="147">
        <f t="shared" si="9"/>
        <v>0</v>
      </c>
      <c r="M30" s="152">
        <f t="shared" si="10"/>
        <v>0</v>
      </c>
      <c r="N30" s="149"/>
      <c r="O30" s="804"/>
      <c r="P30" s="1078"/>
      <c r="Q30" s="72"/>
      <c r="R30" s="66"/>
      <c r="S30" s="145">
        <f t="shared" si="2"/>
        <v>0</v>
      </c>
      <c r="T30" s="147">
        <f t="shared" si="3"/>
        <v>0</v>
      </c>
      <c r="U30" s="152">
        <f t="shared" si="4"/>
        <v>0</v>
      </c>
      <c r="V30" s="210"/>
      <c r="W30" s="145">
        <f t="shared" si="5"/>
        <v>0</v>
      </c>
      <c r="X30" s="548"/>
      <c r="Y30" s="468"/>
      <c r="Z30" s="114"/>
      <c r="AA30" s="114"/>
      <c r="AB30" s="114"/>
      <c r="AC30" s="114"/>
      <c r="AD30" s="114"/>
    </row>
    <row r="31" spans="1:30" s="68" customFormat="1" ht="15" customHeight="1" x14ac:dyDescent="0.25">
      <c r="A31" s="63" t="s">
        <v>8</v>
      </c>
      <c r="B31" s="69"/>
      <c r="C31" s="804" t="s">
        <v>385</v>
      </c>
      <c r="D31" s="805"/>
      <c r="E31" s="805"/>
      <c r="F31" s="945"/>
      <c r="G31" s="566" t="s">
        <v>31</v>
      </c>
      <c r="H31" s="81" t="s">
        <v>39</v>
      </c>
      <c r="I31" s="186">
        <v>4</v>
      </c>
      <c r="J31" s="147"/>
      <c r="K31" s="147">
        <f>I31-J31</f>
        <v>4</v>
      </c>
      <c r="L31" s="147">
        <f>IF(A31="Y", K31*2%,0)</f>
        <v>0.08</v>
      </c>
      <c r="M31" s="152">
        <f>K31-L31</f>
        <v>3.92</v>
      </c>
      <c r="N31" s="149"/>
      <c r="O31" s="804"/>
      <c r="P31" s="1078"/>
      <c r="Q31" s="72"/>
      <c r="R31" s="66"/>
      <c r="S31" s="140">
        <f>IF($S$43=0,,I31)</f>
        <v>0</v>
      </c>
      <c r="T31" s="147">
        <f>IF(A31="Y", S31*2%,)</f>
        <v>0</v>
      </c>
      <c r="U31" s="152">
        <f>S31-T31</f>
        <v>0</v>
      </c>
      <c r="V31" s="210"/>
      <c r="W31" s="145">
        <f>IF($W$15="BASE-UP   (B-A)", Q31-M31,Q31-U31)</f>
        <v>-3.92</v>
      </c>
      <c r="X31" s="549"/>
      <c r="Y31" s="457"/>
      <c r="Z31" s="114"/>
      <c r="AA31" s="114"/>
      <c r="AB31" s="114"/>
      <c r="AC31" s="114"/>
      <c r="AD31" s="114"/>
    </row>
    <row r="32" spans="1:30" s="68" customFormat="1" ht="15.75" customHeight="1" x14ac:dyDescent="0.25">
      <c r="A32" s="63" t="s">
        <v>8</v>
      </c>
      <c r="B32" s="634">
        <f>'1-DUI (Reduce Base)'!$B$32</f>
        <v>2</v>
      </c>
      <c r="C32" s="804" t="s">
        <v>555</v>
      </c>
      <c r="D32" s="805"/>
      <c r="E32" s="945"/>
      <c r="F32" s="1008" t="s">
        <v>281</v>
      </c>
      <c r="G32" s="566" t="s">
        <v>31</v>
      </c>
      <c r="H32" s="71" t="s">
        <v>37</v>
      </c>
      <c r="I32" s="140">
        <f>$D$11*B32</f>
        <v>0</v>
      </c>
      <c r="J32" s="147"/>
      <c r="K32" s="147">
        <f>I32-J32</f>
        <v>0</v>
      </c>
      <c r="L32" s="147">
        <f>IF(A32="Y", K32*2%,0)</f>
        <v>0</v>
      </c>
      <c r="M32" s="152">
        <f>K32-L32</f>
        <v>0</v>
      </c>
      <c r="N32" s="149"/>
      <c r="O32" s="804"/>
      <c r="P32" s="1078"/>
      <c r="Q32" s="72"/>
      <c r="R32" s="66"/>
      <c r="S32" s="145">
        <f>IF($S$43=0,,K32*$S$15)</f>
        <v>0</v>
      </c>
      <c r="T32" s="147">
        <f t="shared" si="3"/>
        <v>0</v>
      </c>
      <c r="U32" s="152">
        <f t="shared" si="4"/>
        <v>0</v>
      </c>
      <c r="V32" s="210"/>
      <c r="W32" s="145">
        <f t="shared" si="5"/>
        <v>0</v>
      </c>
      <c r="X32" s="622"/>
      <c r="Y32" s="468"/>
      <c r="Z32" s="114"/>
      <c r="AA32" s="114"/>
      <c r="AB32" s="114"/>
      <c r="AC32" s="114"/>
      <c r="AD32" s="114"/>
    </row>
    <row r="33" spans="1:30" s="68" customFormat="1" ht="15.75" customHeight="1" x14ac:dyDescent="0.25">
      <c r="A33" s="63" t="s">
        <v>8</v>
      </c>
      <c r="B33" s="164">
        <f>5-B32</f>
        <v>3</v>
      </c>
      <c r="C33" s="804" t="s">
        <v>556</v>
      </c>
      <c r="D33" s="805"/>
      <c r="E33" s="945"/>
      <c r="F33" s="1009"/>
      <c r="G33" s="566" t="s">
        <v>31</v>
      </c>
      <c r="H33" s="71" t="s">
        <v>197</v>
      </c>
      <c r="I33" s="140">
        <f t="shared" si="7"/>
        <v>0</v>
      </c>
      <c r="J33" s="147"/>
      <c r="K33" s="147">
        <f t="shared" si="8"/>
        <v>0</v>
      </c>
      <c r="L33" s="147">
        <f t="shared" si="9"/>
        <v>0</v>
      </c>
      <c r="M33" s="152">
        <f t="shared" si="10"/>
        <v>0</v>
      </c>
      <c r="N33" s="149"/>
      <c r="O33" s="804"/>
      <c r="P33" s="1078"/>
      <c r="Q33" s="72"/>
      <c r="R33" s="66"/>
      <c r="S33" s="145">
        <f>IF($S$43=0,,K33*$S$15)</f>
        <v>0</v>
      </c>
      <c r="T33" s="147">
        <f t="shared" si="3"/>
        <v>0</v>
      </c>
      <c r="U33" s="152">
        <f t="shared" si="4"/>
        <v>0</v>
      </c>
      <c r="V33" s="210"/>
      <c r="W33" s="145">
        <f t="shared" si="5"/>
        <v>0</v>
      </c>
      <c r="X33" s="548"/>
      <c r="Y33" s="468"/>
      <c r="Z33" s="114"/>
      <c r="AA33" s="114"/>
      <c r="AB33" s="114"/>
      <c r="AC33" s="114"/>
      <c r="AD33" s="114"/>
    </row>
    <row r="34" spans="1:30" s="68" customFormat="1" ht="15.75" customHeight="1" x14ac:dyDescent="0.25">
      <c r="A34" s="63" t="s">
        <v>7</v>
      </c>
      <c r="B34" s="69"/>
      <c r="C34" s="804" t="s">
        <v>220</v>
      </c>
      <c r="D34" s="805"/>
      <c r="E34" s="805"/>
      <c r="F34" s="945"/>
      <c r="G34" s="566" t="s">
        <v>31</v>
      </c>
      <c r="H34" s="71" t="s">
        <v>10</v>
      </c>
      <c r="I34" s="140">
        <f>$D$10*20%</f>
        <v>0</v>
      </c>
      <c r="J34" s="147"/>
      <c r="K34" s="147">
        <f>I34-J34</f>
        <v>0</v>
      </c>
      <c r="L34" s="147">
        <f t="shared" si="9"/>
        <v>0</v>
      </c>
      <c r="M34" s="152">
        <f>I34-L34</f>
        <v>0</v>
      </c>
      <c r="N34" s="149"/>
      <c r="O34" s="804"/>
      <c r="P34" s="1078"/>
      <c r="Q34" s="72"/>
      <c r="R34" s="66"/>
      <c r="S34" s="145">
        <f>IF($S$43=0,,K34*$S$15)</f>
        <v>0</v>
      </c>
      <c r="T34" s="147">
        <f t="shared" si="3"/>
        <v>0</v>
      </c>
      <c r="U34" s="152">
        <f t="shared" si="4"/>
        <v>0</v>
      </c>
      <c r="V34" s="210"/>
      <c r="W34" s="145">
        <f t="shared" si="5"/>
        <v>0</v>
      </c>
      <c r="X34" s="548"/>
      <c r="Y34" s="457"/>
      <c r="Z34" s="114"/>
      <c r="AA34" s="114"/>
      <c r="AB34" s="114"/>
      <c r="AC34" s="114"/>
      <c r="AD34" s="114"/>
    </row>
    <row r="35" spans="1:30" s="80" customFormat="1" ht="15.75" customHeight="1" x14ac:dyDescent="0.25">
      <c r="A35" s="63"/>
      <c r="B35" s="76"/>
      <c r="C35" s="810" t="s">
        <v>221</v>
      </c>
      <c r="D35" s="811"/>
      <c r="E35" s="811"/>
      <c r="F35" s="946"/>
      <c r="G35" s="573"/>
      <c r="H35" s="78"/>
      <c r="I35" s="142">
        <f>SUM(I16:I34)</f>
        <v>4</v>
      </c>
      <c r="J35" s="247"/>
      <c r="K35" s="247">
        <f>SUM(K18:K34)</f>
        <v>4</v>
      </c>
      <c r="L35" s="147"/>
      <c r="M35" s="153">
        <f>SUM(M16:M34)</f>
        <v>3.92</v>
      </c>
      <c r="N35" s="150"/>
      <c r="O35" s="804"/>
      <c r="P35" s="1078"/>
      <c r="Q35" s="166">
        <f>SUM(Q16:Q34)</f>
        <v>0</v>
      </c>
      <c r="R35" s="111"/>
      <c r="S35" s="142">
        <f>IF($S$43=0,,S43-SUM(S36:S40))</f>
        <v>0</v>
      </c>
      <c r="T35" s="147"/>
      <c r="U35" s="153">
        <f>SUM(U16:U34)</f>
        <v>0</v>
      </c>
      <c r="V35" s="211"/>
      <c r="W35" s="145">
        <f>SUM(W16:W34)</f>
        <v>-3.92</v>
      </c>
      <c r="X35" s="548"/>
      <c r="Y35" s="458"/>
      <c r="Z35" s="129"/>
      <c r="AA35" s="129"/>
      <c r="AB35" s="129"/>
      <c r="AC35" s="129"/>
      <c r="AD35" s="129"/>
    </row>
    <row r="36" spans="1:30" s="68" customFormat="1" ht="15" customHeight="1" x14ac:dyDescent="0.25">
      <c r="A36" s="63" t="s">
        <v>7</v>
      </c>
      <c r="B36" s="69"/>
      <c r="C36" s="804" t="s">
        <v>419</v>
      </c>
      <c r="D36" s="805"/>
      <c r="E36" s="805"/>
      <c r="F36" s="945"/>
      <c r="G36" s="566" t="s">
        <v>31</v>
      </c>
      <c r="H36" s="81"/>
      <c r="I36" s="186">
        <v>40</v>
      </c>
      <c r="J36" s="147"/>
      <c r="K36" s="147">
        <f>I36</f>
        <v>40</v>
      </c>
      <c r="L36" s="147">
        <f>IF(A36="Y", I36*2%,0)</f>
        <v>0</v>
      </c>
      <c r="M36" s="152">
        <f>I36-L36</f>
        <v>40</v>
      </c>
      <c r="N36" s="149"/>
      <c r="O36" s="804"/>
      <c r="P36" s="1078"/>
      <c r="Q36" s="72"/>
      <c r="R36" s="66"/>
      <c r="S36" s="140">
        <f>IF($S$43=0,,I36)</f>
        <v>0</v>
      </c>
      <c r="T36" s="147">
        <f>IF(A36="Y", S36*2%,)</f>
        <v>0</v>
      </c>
      <c r="U36" s="152">
        <f>S36-T36</f>
        <v>0</v>
      </c>
      <c r="V36" s="210"/>
      <c r="W36" s="145">
        <f t="shared" ref="W36:W41" si="11">IF($W$15="BASE-UP   (B-A)", Q36-M36,Q36-U36)</f>
        <v>-40</v>
      </c>
      <c r="X36" s="548"/>
      <c r="Y36" s="458"/>
      <c r="Z36" s="114"/>
      <c r="AA36" s="114"/>
      <c r="AB36" s="114"/>
      <c r="AC36" s="114"/>
      <c r="AD36" s="114"/>
    </row>
    <row r="37" spans="1:30" s="68" customFormat="1" ht="15.75" customHeight="1" x14ac:dyDescent="0.25">
      <c r="A37" s="63" t="s">
        <v>7</v>
      </c>
      <c r="B37" s="69"/>
      <c r="C37" s="806" t="s">
        <v>259</v>
      </c>
      <c r="D37" s="807"/>
      <c r="E37" s="807"/>
      <c r="F37" s="944"/>
      <c r="G37" s="574" t="s">
        <v>31</v>
      </c>
      <c r="H37" s="82" t="s">
        <v>197</v>
      </c>
      <c r="I37" s="186">
        <v>35</v>
      </c>
      <c r="J37" s="147"/>
      <c r="K37" s="147">
        <f>I37</f>
        <v>35</v>
      </c>
      <c r="L37" s="147">
        <f>IF(A37="Y", I37*2%,0)</f>
        <v>0</v>
      </c>
      <c r="M37" s="152">
        <f>I37-L37</f>
        <v>35</v>
      </c>
      <c r="N37" s="149"/>
      <c r="O37" s="804"/>
      <c r="P37" s="1078"/>
      <c r="Q37" s="72"/>
      <c r="R37" s="66"/>
      <c r="S37" s="140">
        <f>IF($S$43=0,,I37)</f>
        <v>0</v>
      </c>
      <c r="T37" s="147">
        <f>IF(A37="Y", S37*2%,)</f>
        <v>0</v>
      </c>
      <c r="U37" s="152">
        <f t="shared" si="4"/>
        <v>0</v>
      </c>
      <c r="V37" s="210"/>
      <c r="W37" s="145">
        <f t="shared" si="11"/>
        <v>-35</v>
      </c>
      <c r="X37" s="548"/>
      <c r="Y37" s="457"/>
      <c r="Z37" s="114"/>
      <c r="AA37" s="114"/>
      <c r="AB37" s="114"/>
      <c r="AC37" s="114"/>
      <c r="AD37" s="114"/>
    </row>
    <row r="38" spans="1:30" s="68" customFormat="1" ht="15.75" customHeight="1" x14ac:dyDescent="0.25">
      <c r="A38" s="63" t="s">
        <v>7</v>
      </c>
      <c r="B38" s="83"/>
      <c r="C38" s="806" t="s">
        <v>421</v>
      </c>
      <c r="D38" s="807"/>
      <c r="E38" s="807"/>
      <c r="F38" s="944"/>
      <c r="G38" s="574" t="s">
        <v>230</v>
      </c>
      <c r="H38" s="82" t="s">
        <v>24</v>
      </c>
      <c r="I38" s="186"/>
      <c r="J38" s="147"/>
      <c r="K38" s="147">
        <f>I38</f>
        <v>0</v>
      </c>
      <c r="L38" s="147">
        <f>IF(A38="Y", I38*2%,0)</f>
        <v>0</v>
      </c>
      <c r="M38" s="152">
        <f>I38-L38</f>
        <v>0</v>
      </c>
      <c r="N38" s="149"/>
      <c r="O38" s="804"/>
      <c r="P38" s="1078"/>
      <c r="Q38" s="72"/>
      <c r="R38" s="66"/>
      <c r="S38" s="140">
        <f>IF($S$43=0,,I38)</f>
        <v>0</v>
      </c>
      <c r="T38" s="147">
        <f>IF(A38="Y", S38*2%,)</f>
        <v>0</v>
      </c>
      <c r="U38" s="152">
        <f t="shared" si="4"/>
        <v>0</v>
      </c>
      <c r="V38" s="210"/>
      <c r="W38" s="145">
        <f t="shared" si="11"/>
        <v>0</v>
      </c>
      <c r="X38" s="548"/>
      <c r="Y38" s="457"/>
      <c r="Z38" s="114"/>
      <c r="AA38" s="114"/>
      <c r="AB38" s="114"/>
      <c r="AC38" s="114"/>
      <c r="AD38" s="114"/>
    </row>
    <row r="39" spans="1:30" s="68" customFormat="1" ht="45" customHeight="1" x14ac:dyDescent="0.25">
      <c r="A39" s="63" t="s">
        <v>7</v>
      </c>
      <c r="B39" s="83"/>
      <c r="C39" s="804" t="s">
        <v>517</v>
      </c>
      <c r="D39" s="805"/>
      <c r="E39" s="805"/>
      <c r="F39" s="945"/>
      <c r="G39" s="574" t="s">
        <v>230</v>
      </c>
      <c r="H39" s="82" t="s">
        <v>82</v>
      </c>
      <c r="I39" s="186"/>
      <c r="J39" s="147"/>
      <c r="K39" s="147">
        <f>I39</f>
        <v>0</v>
      </c>
      <c r="L39" s="147">
        <f>IF(A39="Y", I39*2%,0)</f>
        <v>0</v>
      </c>
      <c r="M39" s="152">
        <f>I39-L39</f>
        <v>0</v>
      </c>
      <c r="N39" s="149"/>
      <c r="O39" s="804"/>
      <c r="P39" s="1078"/>
      <c r="Q39" s="72"/>
      <c r="R39" s="66"/>
      <c r="S39" s="140">
        <f>IF($S$43=0,,I39)</f>
        <v>0</v>
      </c>
      <c r="T39" s="147">
        <f>IF(A39="Y", S39*2%,)</f>
        <v>0</v>
      </c>
      <c r="U39" s="152">
        <f t="shared" si="4"/>
        <v>0</v>
      </c>
      <c r="V39" s="210"/>
      <c r="W39" s="145">
        <f t="shared" si="11"/>
        <v>0</v>
      </c>
      <c r="X39" s="548"/>
      <c r="Y39" s="457"/>
      <c r="Z39" s="114"/>
      <c r="AA39" s="114"/>
      <c r="AB39" s="114"/>
      <c r="AC39" s="114"/>
      <c r="AD39" s="114"/>
    </row>
    <row r="40" spans="1:30" s="68" customFormat="1" ht="15.75" customHeight="1" x14ac:dyDescent="0.25">
      <c r="A40" s="63" t="s">
        <v>7</v>
      </c>
      <c r="B40" s="83"/>
      <c r="C40" s="806" t="s">
        <v>225</v>
      </c>
      <c r="D40" s="807"/>
      <c r="E40" s="807"/>
      <c r="F40" s="944"/>
      <c r="G40" s="574" t="s">
        <v>31</v>
      </c>
      <c r="H40" s="82" t="s">
        <v>80</v>
      </c>
      <c r="I40" s="186"/>
      <c r="J40" s="147"/>
      <c r="K40" s="147">
        <f>I40</f>
        <v>0</v>
      </c>
      <c r="L40" s="147">
        <f>IF(A40="Y", I40*2%,0)</f>
        <v>0</v>
      </c>
      <c r="M40" s="152">
        <f>I40-L40</f>
        <v>0</v>
      </c>
      <c r="N40" s="149"/>
      <c r="O40" s="804"/>
      <c r="P40" s="1078"/>
      <c r="Q40" s="72"/>
      <c r="R40" s="66"/>
      <c r="S40" s="140">
        <f>IF($S$43=0,,I40)</f>
        <v>0</v>
      </c>
      <c r="T40" s="147">
        <f>IF(A40="Y", S40*2%,)</f>
        <v>0</v>
      </c>
      <c r="U40" s="152">
        <f t="shared" si="4"/>
        <v>0</v>
      </c>
      <c r="V40" s="210"/>
      <c r="W40" s="145">
        <f t="shared" si="11"/>
        <v>0</v>
      </c>
      <c r="X40" s="548"/>
      <c r="Y40" s="457"/>
      <c r="Z40" s="114"/>
      <c r="AA40" s="114"/>
      <c r="AB40" s="114"/>
      <c r="AC40" s="114"/>
      <c r="AD40" s="114"/>
    </row>
    <row r="41" spans="1:30" s="68" customFormat="1" ht="31.5" customHeight="1" x14ac:dyDescent="0.25">
      <c r="A41" s="83" t="s">
        <v>7</v>
      </c>
      <c r="B41" s="83"/>
      <c r="C41" s="804" t="s">
        <v>492</v>
      </c>
      <c r="D41" s="805"/>
      <c r="E41" s="805"/>
      <c r="F41" s="945"/>
      <c r="G41" s="574" t="s">
        <v>31</v>
      </c>
      <c r="H41" s="85" t="s">
        <v>41</v>
      </c>
      <c r="I41" s="86"/>
      <c r="J41" s="148"/>
      <c r="K41" s="148"/>
      <c r="L41" s="148"/>
      <c r="M41" s="154">
        <f>L42</f>
        <v>0.08</v>
      </c>
      <c r="N41" s="149"/>
      <c r="O41" s="804"/>
      <c r="P41" s="1078"/>
      <c r="Q41" s="72"/>
      <c r="R41" s="66"/>
      <c r="S41" s="93"/>
      <c r="T41" s="148"/>
      <c r="U41" s="154">
        <f>T42</f>
        <v>0</v>
      </c>
      <c r="V41" s="212"/>
      <c r="W41" s="145">
        <f t="shared" si="11"/>
        <v>-0.08</v>
      </c>
      <c r="X41" s="548"/>
      <c r="Y41" s="457"/>
      <c r="Z41" s="114"/>
      <c r="AA41" s="114"/>
      <c r="AB41" s="114"/>
      <c r="AC41" s="114"/>
      <c r="AD41" s="114"/>
    </row>
    <row r="42" spans="1:30" s="114" customFormat="1" ht="14.5" x14ac:dyDescent="0.25">
      <c r="A42" s="112"/>
      <c r="B42" s="112"/>
      <c r="C42" s="112"/>
      <c r="D42" s="112"/>
      <c r="E42" s="113"/>
      <c r="F42" s="113"/>
      <c r="J42" s="250">
        <f>SUM(J18:J41)</f>
        <v>0</v>
      </c>
      <c r="L42" s="115">
        <f>SUM(L16:L41)</f>
        <v>0.08</v>
      </c>
      <c r="M42" s="155"/>
      <c r="Q42" s="116"/>
      <c r="R42" s="117"/>
      <c r="T42" s="115">
        <f>SUM(T16:T41)</f>
        <v>0</v>
      </c>
      <c r="U42" s="155"/>
      <c r="V42" s="213"/>
      <c r="W42" s="165"/>
      <c r="X42" s="165"/>
      <c r="Y42" s="118"/>
    </row>
    <row r="43" spans="1:30" s="95" customFormat="1" ht="16" thickBot="1" x14ac:dyDescent="0.3">
      <c r="A43" s="130"/>
      <c r="B43" s="130"/>
      <c r="C43" s="130"/>
      <c r="D43" s="130"/>
      <c r="E43" s="119"/>
      <c r="F43" s="131" t="s">
        <v>81</v>
      </c>
      <c r="G43" s="132"/>
      <c r="H43" s="133" t="s">
        <v>1</v>
      </c>
      <c r="I43" s="134">
        <f>SUM(I35:I42)</f>
        <v>79</v>
      </c>
      <c r="J43" s="134"/>
      <c r="K43" s="134">
        <f>SUM(K35:K42)</f>
        <v>79</v>
      </c>
      <c r="L43" s="135"/>
      <c r="M43" s="156">
        <f>SUM(M35:M42)</f>
        <v>79</v>
      </c>
      <c r="N43" s="136"/>
      <c r="O43" s="130" t="s">
        <v>1</v>
      </c>
      <c r="P43" s="130"/>
      <c r="Q43" s="137">
        <f>SUM(Q35:Q42)</f>
        <v>0</v>
      </c>
      <c r="R43" s="136"/>
      <c r="S43" s="188"/>
      <c r="T43" s="135"/>
      <c r="U43" s="156">
        <f>SUM(U35:U42)</f>
        <v>0</v>
      </c>
      <c r="V43" s="214"/>
      <c r="W43" s="175">
        <f>SUM(W35:W42)</f>
        <v>-79</v>
      </c>
      <c r="X43" s="530"/>
      <c r="Y43" s="138"/>
    </row>
    <row r="44" spans="1:30" s="50" customFormat="1" ht="15.75" customHeight="1" thickTop="1" x14ac:dyDescent="0.25">
      <c r="A44" s="1140" t="s">
        <v>61</v>
      </c>
      <c r="B44" s="1140"/>
      <c r="C44" s="1140"/>
      <c r="D44" s="192"/>
      <c r="E44" s="121"/>
      <c r="F44" s="121"/>
      <c r="J44" s="122"/>
      <c r="K44" s="122"/>
      <c r="M44" s="123"/>
      <c r="N44" s="122"/>
      <c r="W44" s="124"/>
      <c r="X44" s="124"/>
      <c r="Y44" s="125"/>
    </row>
    <row r="45" spans="1:30" s="127" customFormat="1" ht="18" customHeight="1" x14ac:dyDescent="0.25">
      <c r="A45" s="624">
        <v>1</v>
      </c>
      <c r="B45" s="1223"/>
      <c r="C45" s="1224"/>
      <c r="D45" s="1224"/>
      <c r="E45" s="1224"/>
      <c r="F45" s="1224"/>
      <c r="G45" s="1224"/>
      <c r="H45" s="1224"/>
      <c r="I45" s="1224"/>
      <c r="J45" s="1224"/>
      <c r="K45" s="1224"/>
      <c r="L45" s="1224"/>
      <c r="M45" s="1224"/>
      <c r="N45" s="1224"/>
      <c r="O45" s="1224"/>
      <c r="P45" s="1224"/>
      <c r="Q45" s="1224"/>
      <c r="R45" s="1224"/>
      <c r="S45" s="1224"/>
      <c r="T45" s="1224"/>
      <c r="U45" s="1224"/>
      <c r="V45" s="1224"/>
      <c r="W45" s="1224"/>
      <c r="X45" s="1224"/>
      <c r="Y45" s="1225"/>
    </row>
    <row r="46" spans="1:30" s="127" customFormat="1" ht="18" customHeight="1" x14ac:dyDescent="0.25">
      <c r="A46" s="624">
        <v>2</v>
      </c>
      <c r="B46" s="1223"/>
      <c r="C46" s="1224"/>
      <c r="D46" s="1224"/>
      <c r="E46" s="1224"/>
      <c r="F46" s="1224"/>
      <c r="G46" s="1224"/>
      <c r="H46" s="1224"/>
      <c r="I46" s="1224"/>
      <c r="J46" s="1224"/>
      <c r="K46" s="1224"/>
      <c r="L46" s="1224"/>
      <c r="M46" s="1224"/>
      <c r="N46" s="1224"/>
      <c r="O46" s="1224"/>
      <c r="P46" s="1224"/>
      <c r="Q46" s="1224"/>
      <c r="R46" s="1224"/>
      <c r="S46" s="1224"/>
      <c r="T46" s="1224"/>
      <c r="U46" s="1224"/>
      <c r="V46" s="1224"/>
      <c r="W46" s="1224"/>
      <c r="X46" s="1224"/>
      <c r="Y46" s="1225"/>
    </row>
    <row r="47" spans="1:30" s="127" customFormat="1" ht="19.5" customHeight="1" x14ac:dyDescent="0.25">
      <c r="A47" s="624">
        <v>3</v>
      </c>
      <c r="B47" s="1223"/>
      <c r="C47" s="1224"/>
      <c r="D47" s="1224"/>
      <c r="E47" s="1224"/>
      <c r="F47" s="1224"/>
      <c r="G47" s="1224"/>
      <c r="H47" s="1224"/>
      <c r="I47" s="1224"/>
      <c r="J47" s="1224"/>
      <c r="K47" s="1224"/>
      <c r="L47" s="1224"/>
      <c r="M47" s="1224"/>
      <c r="N47" s="1224"/>
      <c r="O47" s="1224"/>
      <c r="P47" s="1224"/>
      <c r="Q47" s="1224"/>
      <c r="R47" s="1224"/>
      <c r="S47" s="1224"/>
      <c r="T47" s="1224"/>
      <c r="U47" s="1224"/>
      <c r="V47" s="1224"/>
      <c r="W47" s="1224"/>
      <c r="X47" s="1224"/>
      <c r="Y47" s="1225"/>
    </row>
    <row r="48" spans="1:30" s="50" customFormat="1" ht="22.5" customHeight="1" x14ac:dyDescent="0.25">
      <c r="A48" s="624">
        <v>4</v>
      </c>
      <c r="B48" s="1223"/>
      <c r="C48" s="1224"/>
      <c r="D48" s="1224"/>
      <c r="E48" s="1224"/>
      <c r="F48" s="1224"/>
      <c r="G48" s="1224"/>
      <c r="H48" s="1224"/>
      <c r="I48" s="1224"/>
      <c r="J48" s="1224"/>
      <c r="K48" s="1224"/>
      <c r="L48" s="1224"/>
      <c r="M48" s="1224"/>
      <c r="N48" s="1224"/>
      <c r="O48" s="1224"/>
      <c r="P48" s="1224"/>
      <c r="Q48" s="1224"/>
      <c r="R48" s="1224"/>
      <c r="S48" s="1224"/>
      <c r="T48" s="1224"/>
      <c r="U48" s="1224"/>
      <c r="V48" s="1224"/>
      <c r="W48" s="1224"/>
      <c r="X48" s="1224"/>
      <c r="Y48" s="1225"/>
    </row>
  </sheetData>
  <sheetProtection insertRows="0"/>
  <mergeCells count="124">
    <mergeCell ref="O3:P3"/>
    <mergeCell ref="O11:P11"/>
    <mergeCell ref="B45:Y45"/>
    <mergeCell ref="B46:Y46"/>
    <mergeCell ref="B47:Y47"/>
    <mergeCell ref="C41:F41"/>
    <mergeCell ref="O41:P41"/>
    <mergeCell ref="A44:C44"/>
    <mergeCell ref="C36:F36"/>
    <mergeCell ref="O36:P36"/>
    <mergeCell ref="C37:F37"/>
    <mergeCell ref="O37:P37"/>
    <mergeCell ref="C38:F38"/>
    <mergeCell ref="O38:P38"/>
    <mergeCell ref="C39:F39"/>
    <mergeCell ref="O39:P39"/>
    <mergeCell ref="C40:F40"/>
    <mergeCell ref="O40:P40"/>
    <mergeCell ref="C34:F34"/>
    <mergeCell ref="O34:P34"/>
    <mergeCell ref="C33:E33"/>
    <mergeCell ref="O33:P33"/>
    <mergeCell ref="C35:F35"/>
    <mergeCell ref="O35:P35"/>
    <mergeCell ref="C31:F31"/>
    <mergeCell ref="O31:P31"/>
    <mergeCell ref="O29:P29"/>
    <mergeCell ref="C30:F30"/>
    <mergeCell ref="O30:P30"/>
    <mergeCell ref="C32:E32"/>
    <mergeCell ref="F32:F33"/>
    <mergeCell ref="O32:P32"/>
    <mergeCell ref="C24:F24"/>
    <mergeCell ref="O24:P24"/>
    <mergeCell ref="C25:D25"/>
    <mergeCell ref="E25:F29"/>
    <mergeCell ref="O25:P25"/>
    <mergeCell ref="C26:D26"/>
    <mergeCell ref="O26:P26"/>
    <mergeCell ref="C27:D27"/>
    <mergeCell ref="O27:P27"/>
    <mergeCell ref="C29:D29"/>
    <mergeCell ref="C28:D28"/>
    <mergeCell ref="O28:P28"/>
    <mergeCell ref="C22:F22"/>
    <mergeCell ref="O22:P22"/>
    <mergeCell ref="C23:F23"/>
    <mergeCell ref="O23:P23"/>
    <mergeCell ref="C18:F18"/>
    <mergeCell ref="O18:P18"/>
    <mergeCell ref="I14:I15"/>
    <mergeCell ref="C19:F19"/>
    <mergeCell ref="O19:P19"/>
    <mergeCell ref="K14:K15"/>
    <mergeCell ref="L14:L15"/>
    <mergeCell ref="O14:P14"/>
    <mergeCell ref="O17:P17"/>
    <mergeCell ref="C14:F15"/>
    <mergeCell ref="J14:J15"/>
    <mergeCell ref="B19:B20"/>
    <mergeCell ref="O13:Q13"/>
    <mergeCell ref="S13:U13"/>
    <mergeCell ref="A11:C11"/>
    <mergeCell ref="D11:E11"/>
    <mergeCell ref="F11:I11"/>
    <mergeCell ref="J11:N11"/>
    <mergeCell ref="S11:Y11"/>
    <mergeCell ref="C21:F21"/>
    <mergeCell ref="O21:P21"/>
    <mergeCell ref="K13:M13"/>
    <mergeCell ref="X14:X15"/>
    <mergeCell ref="Z19:Z20"/>
    <mergeCell ref="Y14:Y15"/>
    <mergeCell ref="C20:F20"/>
    <mergeCell ref="O20:P20"/>
    <mergeCell ref="T14:T15"/>
    <mergeCell ref="O15:P15"/>
    <mergeCell ref="C16:F16"/>
    <mergeCell ref="O16:P16"/>
    <mergeCell ref="C17:F17"/>
    <mergeCell ref="F7:I7"/>
    <mergeCell ref="J7:N7"/>
    <mergeCell ref="S7:Y7"/>
    <mergeCell ref="A8:C8"/>
    <mergeCell ref="D8:E8"/>
    <mergeCell ref="F8:I8"/>
    <mergeCell ref="O10:P10"/>
    <mergeCell ref="S10:Y10"/>
    <mergeCell ref="J8:N8"/>
    <mergeCell ref="O8:P8"/>
    <mergeCell ref="S8:Y9"/>
    <mergeCell ref="A9:C9"/>
    <mergeCell ref="D9:E9"/>
    <mergeCell ref="F9:I9"/>
    <mergeCell ref="J9:N9"/>
    <mergeCell ref="O9:P9"/>
    <mergeCell ref="A10:C10"/>
    <mergeCell ref="D10:E10"/>
    <mergeCell ref="F10:I10"/>
    <mergeCell ref="J10:N10"/>
    <mergeCell ref="B48:Y48"/>
    <mergeCell ref="A1:M1"/>
    <mergeCell ref="S3:Y3"/>
    <mergeCell ref="A4:C4"/>
    <mergeCell ref="D4:E4"/>
    <mergeCell ref="F4:I4"/>
    <mergeCell ref="J4:N4"/>
    <mergeCell ref="O4:P4"/>
    <mergeCell ref="S4:Y4"/>
    <mergeCell ref="N1:W1"/>
    <mergeCell ref="A6:C6"/>
    <mergeCell ref="D6:E6"/>
    <mergeCell ref="F6:I6"/>
    <mergeCell ref="J6:N6"/>
    <mergeCell ref="O6:P6"/>
    <mergeCell ref="S6:Y6"/>
    <mergeCell ref="A5:C5"/>
    <mergeCell ref="D5:E5"/>
    <mergeCell ref="F5:I5"/>
    <mergeCell ref="J5:N5"/>
    <mergeCell ref="O5:P5"/>
    <mergeCell ref="S5:Y5"/>
    <mergeCell ref="A7:C7"/>
    <mergeCell ref="D7:E7"/>
  </mergeCells>
  <conditionalFormatting sqref="E25">
    <cfRule type="cellIs" dxfId="79" priority="1" operator="notEqual">
      <formula>"GC 76000 PA ($" &amp;Q11 &amp;" for every 10) breakdown per local board of supervisor resolution (BOS)."</formula>
    </cfRule>
  </conditionalFormatting>
  <conditionalFormatting sqref="I16:I18">
    <cfRule type="cellIs" dxfId="78" priority="18" stopIfTrue="1" operator="equal">
      <formula>0</formula>
    </cfRule>
  </conditionalFormatting>
  <conditionalFormatting sqref="I18:I30 J18:M41 I32:I35">
    <cfRule type="cellIs" dxfId="77" priority="15" operator="equal">
      <formula>0</formula>
    </cfRule>
  </conditionalFormatting>
  <conditionalFormatting sqref="O16:Q41">
    <cfRule type="expression" dxfId="76" priority="16">
      <formula>MOD(ROW(),2)=0</formula>
    </cfRule>
  </conditionalFormatting>
  <conditionalFormatting sqref="S16:U41">
    <cfRule type="cellIs" dxfId="75" priority="20" stopIfTrue="1" operator="equal">
      <formula>0</formula>
    </cfRule>
  </conditionalFormatting>
  <conditionalFormatting sqref="W12:X13 W44:X44 W49:X65532">
    <cfRule type="cellIs" dxfId="74" priority="19" stopIfTrue="1" operator="notEqual">
      <formula>0</formula>
    </cfRule>
  </conditionalFormatting>
  <conditionalFormatting sqref="X18:X41">
    <cfRule type="cellIs" dxfId="73" priority="3" operator="greaterThan">
      <formula>0</formula>
    </cfRule>
  </conditionalFormatting>
  <dataValidations count="1">
    <dataValidation type="list" allowBlank="1" showInputMessage="1" showErrorMessage="1" sqref="W15" xr:uid="{00000000-0002-0000-1F00-000000000000}">
      <formula1>Distribution_Method</formula1>
    </dataValidation>
  </dataValidations>
  <printOptions horizontalCentered="1"/>
  <pageMargins left="0.25" right="0.25" top="0.75" bottom="0.5" header="0.25" footer="0.25"/>
  <pageSetup scale="64" orientation="landscape" r:id="rId1"/>
  <headerFooter alignWithMargins="0">
    <oddHeader>&amp;CSUPERIOR OF COURT OF _________ COUNTY
Revenue Calculation and Distribution Worksheet</oddHeader>
    <oddFooter>&amp;L&amp;F&amp;R&amp;P of &amp;N</oddFooter>
  </headerFooter>
  <ignoredErrors>
    <ignoredError sqref="L19:L33 M35 S31 W35 U35"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17441" r:id="rId4" name="Button 1">
              <controlPr defaultSize="0" print="0" autoFill="0" autoPict="0" macro="mcr_GoToSummary">
                <anchor moveWithCells="1">
                  <from>
                    <xdr:col>0</xdr:col>
                    <xdr:colOff>88900</xdr:colOff>
                    <xdr:row>0</xdr:row>
                    <xdr:rowOff>0</xdr:rowOff>
                  </from>
                  <to>
                    <xdr:col>3</xdr:col>
                    <xdr:colOff>127000</xdr:colOff>
                    <xdr:row>1</xdr:row>
                    <xdr:rowOff>31750</xdr:rowOff>
                  </to>
                </anchor>
              </controlPr>
            </control>
          </mc:Choice>
        </mc:AlternateContent>
        <mc:AlternateContent xmlns:mc="http://schemas.openxmlformats.org/markup-compatibility/2006">
          <mc:Choice Requires="x14">
            <control shapeId="317442" r:id="rId5" name="Button 2">
              <controlPr defaultSize="0" print="0" autoFill="0" autoPict="0" macro="[0]!mcrDisableTwoPercentUnprotect">
                <anchor moveWithCells="1">
                  <from>
                    <xdr:col>0</xdr:col>
                    <xdr:colOff>12700</xdr:colOff>
                    <xdr:row>13</xdr:row>
                    <xdr:rowOff>527050</xdr:rowOff>
                  </from>
                  <to>
                    <xdr:col>0</xdr:col>
                    <xdr:colOff>279400</xdr:colOff>
                    <xdr:row>14</xdr:row>
                    <xdr:rowOff>222250</xdr:rowOff>
                  </to>
                </anchor>
              </controlPr>
            </control>
          </mc:Choice>
        </mc:AlternateContent>
        <mc:AlternateContent xmlns:mc="http://schemas.openxmlformats.org/markup-compatibility/2006">
          <mc:Choice Requires="x14">
            <control shapeId="317443" r:id="rId6" name="Button 3">
              <controlPr defaultSize="0" print="0" autoFill="0" autoPict="0" macro="[0]!mcrEnableTwoPercentUnprotect">
                <anchor moveWithCells="1">
                  <from>
                    <xdr:col>0</xdr:col>
                    <xdr:colOff>0</xdr:colOff>
                    <xdr:row>13</xdr:row>
                    <xdr:rowOff>222250</xdr:rowOff>
                  </from>
                  <to>
                    <xdr:col>0</xdr:col>
                    <xdr:colOff>266700</xdr:colOff>
                    <xdr:row>13</xdr:row>
                    <xdr:rowOff>552450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2">
    <tabColor theme="6"/>
    <pageSetUpPr fitToPage="1"/>
  </sheetPr>
  <dimension ref="A1:AB48"/>
  <sheetViews>
    <sheetView zoomScale="80" zoomScaleNormal="80" workbookViewId="0">
      <pane ySplit="1" topLeftCell="A2" activePane="bottomLeft" state="frozen"/>
      <selection pane="bottomLeft" sqref="A1:K1"/>
    </sheetView>
  </sheetViews>
  <sheetFormatPr defaultColWidth="9.1796875" defaultRowHeight="18.5" x14ac:dyDescent="0.25"/>
  <cols>
    <col min="1" max="1" width="4.26953125" style="87" customWidth="1"/>
    <col min="2" max="2" width="4.7265625" style="87" customWidth="1"/>
    <col min="3" max="3" width="13.54296875" style="87" customWidth="1"/>
    <col min="4" max="4" width="12" style="87" customWidth="1"/>
    <col min="5" max="5" width="11.26953125" style="88" customWidth="1"/>
    <col min="6" max="6" width="18" style="121" customWidth="1"/>
    <col min="7" max="7" width="9.1796875" style="46" customWidth="1"/>
    <col min="8" max="8" width="29.453125" style="46" hidden="1" customWidth="1"/>
    <col min="9" max="9" width="8.1796875" style="46" customWidth="1"/>
    <col min="10" max="10" width="6" style="46" customWidth="1"/>
    <col min="11" max="11" width="11.1796875" style="92" customWidth="1"/>
    <col min="12" max="12" width="1.7265625" style="89" customWidth="1"/>
    <col min="13" max="13" width="15.26953125" style="46" customWidth="1"/>
    <col min="14" max="14" width="1.54296875" style="46" customWidth="1"/>
    <col min="15" max="15" width="11" style="46" customWidth="1"/>
    <col min="16" max="16" width="1.81640625" style="89" customWidth="1"/>
    <col min="17" max="17" width="10.81640625" style="89" customWidth="1"/>
    <col min="18" max="18" width="5.7265625" style="89" customWidth="1"/>
    <col min="19" max="19" width="10.7265625" style="89" customWidth="1"/>
    <col min="20" max="20" width="1.81640625" style="50" customWidth="1"/>
    <col min="21" max="21" width="12.453125" style="90" customWidth="1"/>
    <col min="22" max="22" width="6.26953125" style="90" customWidth="1"/>
    <col min="23" max="23" width="18.7265625" style="91" customWidth="1"/>
    <col min="24" max="24" width="2.1796875" style="50" customWidth="1"/>
    <col min="25" max="25" width="11.26953125" style="50" customWidth="1"/>
    <col min="26" max="26" width="11.1796875" style="50" customWidth="1"/>
    <col min="27" max="28" width="9.1796875" style="50"/>
    <col min="29" max="16384" width="9.1796875" style="46"/>
  </cols>
  <sheetData>
    <row r="1" spans="1:28" ht="20.25" customHeight="1" thickBot="1" x14ac:dyDescent="0.3">
      <c r="A1" s="1081" t="s">
        <v>316</v>
      </c>
      <c r="B1" s="1082"/>
      <c r="C1" s="1082"/>
      <c r="D1" s="1082"/>
      <c r="E1" s="1082"/>
      <c r="F1" s="1082"/>
      <c r="G1" s="1082"/>
      <c r="H1" s="1082"/>
      <c r="I1" s="1082"/>
      <c r="J1" s="1082"/>
      <c r="K1" s="1082"/>
      <c r="L1" s="1079"/>
      <c r="M1" s="1079"/>
      <c r="N1" s="1079"/>
      <c r="O1" s="1079"/>
      <c r="P1" s="1079"/>
      <c r="Q1" s="1079"/>
      <c r="R1" s="1079"/>
      <c r="S1" s="1079"/>
      <c r="T1" s="1079"/>
      <c r="U1" s="1079"/>
      <c r="V1" s="592" t="s">
        <v>485</v>
      </c>
      <c r="W1" s="612" t="str">
        <f>'Cover Page'!A3</f>
        <v>January 2014</v>
      </c>
    </row>
    <row r="2" spans="1:28" s="50" customFormat="1" ht="6" customHeight="1" thickBot="1" x14ac:dyDescent="0.3">
      <c r="A2" s="47"/>
      <c r="B2" s="47"/>
      <c r="C2" s="47"/>
      <c r="D2" s="47"/>
      <c r="E2" s="47"/>
      <c r="F2" s="47"/>
      <c r="G2" s="47"/>
      <c r="H2" s="47"/>
      <c r="I2" s="47"/>
      <c r="J2" s="48"/>
      <c r="K2" s="48"/>
      <c r="L2" s="48"/>
      <c r="M2" s="48"/>
      <c r="N2" s="48"/>
      <c r="O2" s="49"/>
      <c r="P2" s="49"/>
      <c r="Q2" s="49"/>
      <c r="R2" s="49"/>
      <c r="S2" s="49"/>
      <c r="T2" s="49"/>
      <c r="U2" s="49"/>
      <c r="V2" s="49"/>
      <c r="W2" s="49"/>
    </row>
    <row r="3" spans="1:28" s="50" customFormat="1" ht="19" thickBot="1" x14ac:dyDescent="0.3">
      <c r="A3" s="630" t="s">
        <v>234</v>
      </c>
      <c r="B3" s="631"/>
      <c r="C3" s="631"/>
      <c r="D3" s="631"/>
      <c r="E3" s="631"/>
      <c r="F3" s="631"/>
      <c r="G3" s="631"/>
      <c r="H3" s="631"/>
      <c r="I3" s="631"/>
      <c r="J3" s="631"/>
      <c r="K3" s="631"/>
      <c r="L3" s="631"/>
      <c r="M3" s="1221"/>
      <c r="N3" s="1245"/>
      <c r="O3" s="638"/>
      <c r="P3" s="159"/>
      <c r="Q3" s="901" t="s">
        <v>261</v>
      </c>
      <c r="R3" s="902"/>
      <c r="S3" s="902"/>
      <c r="T3" s="902"/>
      <c r="U3" s="902"/>
      <c r="V3" s="902"/>
      <c r="W3" s="903"/>
      <c r="Y3" s="159" t="s">
        <v>250</v>
      </c>
      <c r="Z3" s="120"/>
    </row>
    <row r="4" spans="1:28" s="53" customFormat="1" ht="15.5" x14ac:dyDescent="0.25">
      <c r="A4" s="904" t="s">
        <v>231</v>
      </c>
      <c r="B4" s="905"/>
      <c r="C4" s="905"/>
      <c r="D4" s="906">
        <f>L1</f>
        <v>0</v>
      </c>
      <c r="E4" s="907"/>
      <c r="F4" s="877" t="s">
        <v>28</v>
      </c>
      <c r="G4" s="878"/>
      <c r="H4" s="169"/>
      <c r="I4" s="879"/>
      <c r="J4" s="879"/>
      <c r="K4" s="879"/>
      <c r="L4" s="880"/>
      <c r="M4" s="910" t="s">
        <v>257</v>
      </c>
      <c r="N4" s="910"/>
      <c r="O4" s="191"/>
      <c r="P4" s="95"/>
      <c r="Q4" s="911" t="s">
        <v>236</v>
      </c>
      <c r="R4" s="912"/>
      <c r="S4" s="912"/>
      <c r="T4" s="912"/>
      <c r="U4" s="912"/>
      <c r="V4" s="912"/>
      <c r="W4" s="913"/>
      <c r="Y4" s="243" t="s">
        <v>308</v>
      </c>
      <c r="Z4" s="241" t="s">
        <v>309</v>
      </c>
      <c r="AA4" s="241" t="s">
        <v>310</v>
      </c>
    </row>
    <row r="5" spans="1:28" s="53" customFormat="1" ht="15.5" x14ac:dyDescent="0.25">
      <c r="A5" s="882" t="s">
        <v>4</v>
      </c>
      <c r="B5" s="883"/>
      <c r="C5" s="883"/>
      <c r="D5" s="894"/>
      <c r="E5" s="885"/>
      <c r="F5" s="844" t="s">
        <v>244</v>
      </c>
      <c r="G5" s="845"/>
      <c r="H5" s="167"/>
      <c r="I5" s="846"/>
      <c r="J5" s="846"/>
      <c r="K5" s="846"/>
      <c r="L5" s="847"/>
      <c r="M5" s="872" t="s">
        <v>22</v>
      </c>
      <c r="N5" s="872"/>
      <c r="O5" s="54"/>
      <c r="P5" s="95"/>
      <c r="Q5" s="897" t="s">
        <v>302</v>
      </c>
      <c r="R5" s="898"/>
      <c r="S5" s="898"/>
      <c r="T5" s="898"/>
      <c r="U5" s="898"/>
      <c r="V5" s="898"/>
      <c r="W5" s="899"/>
      <c r="Y5" s="157" t="s">
        <v>31</v>
      </c>
      <c r="Z5" s="161">
        <f>SUMIF($G$16:$G$41,"STATE",$K$16:$K$41)</f>
        <v>79</v>
      </c>
      <c r="AA5" s="161">
        <f>SUMIF($G$16:$G$41,"STATE",$S$16:$S$41)</f>
        <v>0</v>
      </c>
    </row>
    <row r="6" spans="1:28" s="53" customFormat="1" ht="16" thickBot="1" x14ac:dyDescent="0.3">
      <c r="A6" s="882" t="s">
        <v>12</v>
      </c>
      <c r="B6" s="883"/>
      <c r="C6" s="883"/>
      <c r="D6" s="894"/>
      <c r="E6" s="900"/>
      <c r="F6" s="844" t="s">
        <v>20</v>
      </c>
      <c r="G6" s="845"/>
      <c r="H6" s="167"/>
      <c r="I6" s="846" t="s">
        <v>317</v>
      </c>
      <c r="J6" s="846"/>
      <c r="K6" s="846"/>
      <c r="L6" s="847"/>
      <c r="M6" s="848" t="s">
        <v>233</v>
      </c>
      <c r="N6" s="848"/>
      <c r="O6" s="194">
        <f>O4+O5*10</f>
        <v>0</v>
      </c>
      <c r="P6" s="95"/>
      <c r="Q6" s="891" t="s">
        <v>573</v>
      </c>
      <c r="R6" s="892"/>
      <c r="S6" s="892"/>
      <c r="T6" s="892"/>
      <c r="U6" s="892"/>
      <c r="V6" s="892"/>
      <c r="W6" s="893"/>
      <c r="Y6" s="157" t="s">
        <v>32</v>
      </c>
      <c r="Z6" s="161">
        <f>SUMIF($G$16:$G$41,"COUNTY",$K$16:$K$41)</f>
        <v>0</v>
      </c>
      <c r="AA6" s="161">
        <f>SUMIF($G$16:$G$41,"COUNTY",$S$16:$S$41)</f>
        <v>0</v>
      </c>
    </row>
    <row r="7" spans="1:28" s="53" customFormat="1" ht="16" thickBot="1" x14ac:dyDescent="0.3">
      <c r="A7" s="882" t="s">
        <v>5</v>
      </c>
      <c r="B7" s="883"/>
      <c r="C7" s="883"/>
      <c r="D7" s="884"/>
      <c r="E7" s="885"/>
      <c r="F7" s="856" t="s">
        <v>21</v>
      </c>
      <c r="G7" s="857"/>
      <c r="H7" s="168"/>
      <c r="I7" s="858" t="s">
        <v>3</v>
      </c>
      <c r="J7" s="858"/>
      <c r="K7" s="858"/>
      <c r="L7" s="859"/>
      <c r="M7" s="216"/>
      <c r="N7" s="220"/>
      <c r="O7" s="217"/>
      <c r="P7" s="95"/>
      <c r="Q7" s="888" t="s">
        <v>235</v>
      </c>
      <c r="R7" s="889"/>
      <c r="S7" s="889"/>
      <c r="T7" s="889"/>
      <c r="U7" s="889"/>
      <c r="V7" s="889"/>
      <c r="W7" s="890"/>
      <c r="Y7" s="157" t="s">
        <v>52</v>
      </c>
      <c r="Z7" s="161">
        <f>SUMIF($G$16:$G$41,"CITY",$K$16:$K$41)</f>
        <v>0</v>
      </c>
      <c r="AA7" s="161">
        <f>SUMIF($G$16:$G$41,"CITY",$S$16:$S$41)</f>
        <v>0</v>
      </c>
    </row>
    <row r="8" spans="1:28" s="53" customFormat="1" ht="15.75" customHeight="1" x14ac:dyDescent="0.25">
      <c r="A8" s="873" t="s">
        <v>54</v>
      </c>
      <c r="B8" s="874"/>
      <c r="C8" s="874"/>
      <c r="D8" s="1163">
        <v>1</v>
      </c>
      <c r="E8" s="1184"/>
      <c r="F8" s="877" t="s">
        <v>253</v>
      </c>
      <c r="G8" s="878"/>
      <c r="H8" s="169"/>
      <c r="I8" s="879"/>
      <c r="J8" s="879"/>
      <c r="K8" s="879"/>
      <c r="L8" s="880"/>
      <c r="M8" s="881" t="s">
        <v>257</v>
      </c>
      <c r="N8" s="881"/>
      <c r="O8" s="51">
        <v>0</v>
      </c>
      <c r="P8" s="138"/>
      <c r="Q8" s="862" t="s">
        <v>303</v>
      </c>
      <c r="R8" s="863"/>
      <c r="S8" s="863"/>
      <c r="T8" s="863"/>
      <c r="U8" s="863"/>
      <c r="V8" s="863"/>
      <c r="W8" s="864"/>
      <c r="Y8" s="157" t="s">
        <v>230</v>
      </c>
      <c r="Z8" s="161">
        <f>SUMIF($G$16:$G$41,"COURT",$K$16:$K$41)</f>
        <v>0</v>
      </c>
      <c r="AA8" s="161">
        <f>SUMIF($G$16:$G$41,"COURT",$S$16:$S$41)</f>
        <v>0</v>
      </c>
    </row>
    <row r="9" spans="1:28" s="53" customFormat="1" ht="18" customHeight="1" thickBot="1" x14ac:dyDescent="0.3">
      <c r="A9" s="868" t="s">
        <v>53</v>
      </c>
      <c r="B9" s="869"/>
      <c r="C9" s="869"/>
      <c r="D9" s="870">
        <f>100%-D8</f>
        <v>0</v>
      </c>
      <c r="E9" s="871"/>
      <c r="F9" s="844" t="s">
        <v>244</v>
      </c>
      <c r="G9" s="845"/>
      <c r="H9" s="167"/>
      <c r="I9" s="846"/>
      <c r="J9" s="846"/>
      <c r="K9" s="846"/>
      <c r="L9" s="847"/>
      <c r="M9" s="872" t="s">
        <v>22</v>
      </c>
      <c r="N9" s="872"/>
      <c r="O9" s="54"/>
      <c r="P9" s="138"/>
      <c r="Q9" s="865"/>
      <c r="R9" s="866"/>
      <c r="S9" s="866"/>
      <c r="T9" s="866"/>
      <c r="U9" s="866"/>
      <c r="V9" s="866"/>
      <c r="W9" s="867"/>
      <c r="Y9" s="84" t="s">
        <v>446</v>
      </c>
      <c r="Z9" s="161">
        <f>SUMIF($G$16:$G$41,"CNTY or CTY",$K$16:$K$41)</f>
        <v>0</v>
      </c>
      <c r="AA9" s="161">
        <f>SUMIF($G$16:$G$41,"CNTY or CTY",$S$16:$S$41)</f>
        <v>0</v>
      </c>
    </row>
    <row r="10" spans="1:28" s="53" customFormat="1" ht="16.5" customHeight="1" thickBot="1" x14ac:dyDescent="0.3">
      <c r="A10" s="840" t="s">
        <v>276</v>
      </c>
      <c r="B10" s="841"/>
      <c r="C10" s="841"/>
      <c r="D10" s="1066">
        <f>O6+O10</f>
        <v>0</v>
      </c>
      <c r="E10" s="1067"/>
      <c r="F10" s="844" t="s">
        <v>20</v>
      </c>
      <c r="G10" s="845"/>
      <c r="H10" s="167"/>
      <c r="I10" s="846"/>
      <c r="J10" s="846"/>
      <c r="K10" s="846"/>
      <c r="L10" s="847"/>
      <c r="M10" s="848" t="s">
        <v>233</v>
      </c>
      <c r="N10" s="848"/>
      <c r="O10" s="194">
        <f>O8+O9*10</f>
        <v>0</v>
      </c>
      <c r="P10" s="218"/>
      <c r="Q10" s="849" t="s">
        <v>239</v>
      </c>
      <c r="R10" s="850"/>
      <c r="S10" s="850"/>
      <c r="T10" s="850"/>
      <c r="U10" s="850"/>
      <c r="V10" s="850"/>
      <c r="W10" s="851"/>
      <c r="Y10" s="158" t="s">
        <v>246</v>
      </c>
      <c r="Z10" s="134">
        <f>SUM(Z5:Z9)</f>
        <v>79</v>
      </c>
      <c r="AA10" s="134">
        <f>SUM(AA5:AA9)</f>
        <v>0</v>
      </c>
    </row>
    <row r="11" spans="1:28" s="53" customFormat="1" ht="16.5" customHeight="1" thickBot="1" x14ac:dyDescent="0.3">
      <c r="A11" s="852" t="s">
        <v>277</v>
      </c>
      <c r="B11" s="853"/>
      <c r="C11" s="853"/>
      <c r="D11" s="854">
        <f>ROUNDUP(D10/10,0)</f>
        <v>0</v>
      </c>
      <c r="E11" s="855"/>
      <c r="F11" s="856" t="s">
        <v>21</v>
      </c>
      <c r="G11" s="857"/>
      <c r="H11" s="168"/>
      <c r="I11" s="858"/>
      <c r="J11" s="858"/>
      <c r="K11" s="858"/>
      <c r="L11" s="859"/>
      <c r="M11" s="860" t="s">
        <v>568</v>
      </c>
      <c r="N11" s="861"/>
      <c r="O11" s="632">
        <f>'1-DUI (Reduce Base)'!P11</f>
        <v>5</v>
      </c>
      <c r="P11" s="218"/>
      <c r="Q11" s="837" t="s">
        <v>430</v>
      </c>
      <c r="R11" s="838"/>
      <c r="S11" s="838"/>
      <c r="T11" s="838"/>
      <c r="U11" s="838"/>
      <c r="V11" s="838"/>
      <c r="W11" s="839"/>
      <c r="Z11" s="242">
        <f>Z10-K43</f>
        <v>0</v>
      </c>
      <c r="AA11" s="242">
        <f>AA10-S43</f>
        <v>0</v>
      </c>
    </row>
    <row r="12" spans="1:28" s="53" customFormat="1" ht="15.75" customHeight="1" thickBot="1" x14ac:dyDescent="0.3">
      <c r="A12" s="193"/>
      <c r="B12" s="193"/>
      <c r="C12" s="173"/>
      <c r="D12" s="173"/>
      <c r="E12" s="173"/>
      <c r="F12" s="60"/>
      <c r="G12" s="55"/>
      <c r="H12" s="56"/>
      <c r="I12" s="57"/>
      <c r="J12" s="57"/>
      <c r="K12" s="57"/>
      <c r="L12" s="57"/>
      <c r="O12" s="52"/>
      <c r="P12" s="52"/>
      <c r="Q12" s="52"/>
      <c r="R12" s="52"/>
      <c r="S12" s="52"/>
      <c r="T12" s="52"/>
      <c r="U12" s="58"/>
      <c r="V12" s="58"/>
      <c r="W12" s="56"/>
      <c r="AA12" s="59"/>
    </row>
    <row r="13" spans="1:28" s="98" customFormat="1" ht="18.75" customHeight="1" thickBot="1" x14ac:dyDescent="0.3">
      <c r="A13" s="174"/>
      <c r="B13" s="174"/>
      <c r="C13" s="174"/>
      <c r="D13" s="174"/>
      <c r="E13" s="174"/>
      <c r="F13" s="96"/>
      <c r="G13" s="97"/>
      <c r="I13" s="821" t="s">
        <v>297</v>
      </c>
      <c r="J13" s="822"/>
      <c r="K13" s="823"/>
      <c r="L13" s="99"/>
      <c r="M13" s="1155" t="s">
        <v>229</v>
      </c>
      <c r="N13" s="1156"/>
      <c r="O13" s="1157"/>
      <c r="P13" s="100"/>
      <c r="Q13" s="824" t="s">
        <v>295</v>
      </c>
      <c r="R13" s="825"/>
      <c r="S13" s="826"/>
      <c r="T13" s="207"/>
      <c r="U13" s="143"/>
      <c r="V13" s="143"/>
      <c r="W13" s="144"/>
      <c r="X13" s="97"/>
      <c r="Y13" s="97"/>
      <c r="Z13" s="97"/>
      <c r="AA13" s="97"/>
      <c r="AB13" s="97"/>
    </row>
    <row r="14" spans="1:28" ht="44.25" customHeight="1" thickBot="1" x14ac:dyDescent="0.3">
      <c r="A14" s="101">
        <v>0.02</v>
      </c>
      <c r="B14" s="101" t="s">
        <v>58</v>
      </c>
      <c r="C14" s="827" t="s">
        <v>226</v>
      </c>
      <c r="D14" s="828"/>
      <c r="E14" s="828"/>
      <c r="F14" s="829"/>
      <c r="G14" s="102" t="s">
        <v>249</v>
      </c>
      <c r="H14" s="103" t="s">
        <v>0</v>
      </c>
      <c r="I14" s="833" t="s">
        <v>298</v>
      </c>
      <c r="J14" s="835" t="s">
        <v>6</v>
      </c>
      <c r="K14" s="215" t="s">
        <v>299</v>
      </c>
      <c r="L14" s="61"/>
      <c r="M14" s="1122" t="s">
        <v>260</v>
      </c>
      <c r="N14" s="1123"/>
      <c r="O14" s="109" t="s">
        <v>248</v>
      </c>
      <c r="P14" s="110"/>
      <c r="Q14" s="564" t="s">
        <v>428</v>
      </c>
      <c r="R14" s="835" t="s">
        <v>6</v>
      </c>
      <c r="S14" s="215" t="s">
        <v>299</v>
      </c>
      <c r="T14" s="209"/>
      <c r="U14" s="189" t="s">
        <v>256</v>
      </c>
      <c r="V14" s="1148" t="s">
        <v>61</v>
      </c>
      <c r="W14" s="1248" t="s">
        <v>384</v>
      </c>
    </row>
    <row r="15" spans="1:28" ht="30.75" customHeight="1" thickBot="1" x14ac:dyDescent="0.3">
      <c r="A15" s="104"/>
      <c r="B15" s="104"/>
      <c r="C15" s="830"/>
      <c r="D15" s="831"/>
      <c r="E15" s="831"/>
      <c r="F15" s="832"/>
      <c r="G15" s="105"/>
      <c r="H15" s="105"/>
      <c r="I15" s="834"/>
      <c r="J15" s="836"/>
      <c r="K15" s="222" t="s">
        <v>42</v>
      </c>
      <c r="L15" s="62"/>
      <c r="M15" s="1120"/>
      <c r="N15" s="1121"/>
      <c r="O15" s="261" t="s">
        <v>43</v>
      </c>
      <c r="P15" s="110"/>
      <c r="Q15" s="224" t="e">
        <f>(Q35-Q31)/(I35-I31)</f>
        <v>#DIV/0!</v>
      </c>
      <c r="R15" s="836"/>
      <c r="S15" s="222" t="s">
        <v>44</v>
      </c>
      <c r="T15" s="209"/>
      <c r="U15" s="262" t="s">
        <v>300</v>
      </c>
      <c r="V15" s="1194"/>
      <c r="W15" s="1151"/>
    </row>
    <row r="16" spans="1:28" s="68" customFormat="1" ht="15.75" hidden="1" customHeight="1" thickTop="1" x14ac:dyDescent="0.25">
      <c r="A16" s="63" t="s">
        <v>8</v>
      </c>
      <c r="B16" s="177"/>
      <c r="C16" s="1105"/>
      <c r="D16" s="1105"/>
      <c r="E16" s="1105"/>
      <c r="F16" s="1105"/>
      <c r="G16" s="64"/>
      <c r="H16" s="65"/>
      <c r="I16" s="139"/>
      <c r="J16" s="147"/>
      <c r="K16" s="180"/>
      <c r="L16" s="149"/>
      <c r="M16" s="1135"/>
      <c r="N16" s="1136"/>
      <c r="O16" s="172"/>
      <c r="P16" s="66"/>
      <c r="Q16" s="145"/>
      <c r="R16" s="147"/>
      <c r="S16" s="151"/>
      <c r="T16" s="210"/>
      <c r="U16" s="145"/>
      <c r="V16" s="145"/>
      <c r="W16" s="94"/>
      <c r="X16" s="114"/>
      <c r="Y16" s="114"/>
      <c r="Z16" s="114"/>
      <c r="AA16" s="114"/>
      <c r="AB16" s="114"/>
    </row>
    <row r="17" spans="1:28" s="68" customFormat="1" ht="15.75" hidden="1" customHeight="1" x14ac:dyDescent="0.25">
      <c r="A17" s="63" t="s">
        <v>8</v>
      </c>
      <c r="B17" s="238"/>
      <c r="C17" s="804"/>
      <c r="D17" s="805"/>
      <c r="E17" s="805"/>
      <c r="F17" s="945"/>
      <c r="G17" s="70"/>
      <c r="H17" s="71"/>
      <c r="I17" s="141"/>
      <c r="J17" s="147"/>
      <c r="K17" s="152"/>
      <c r="L17" s="149"/>
      <c r="M17" s="804"/>
      <c r="N17" s="1078"/>
      <c r="O17" s="252"/>
      <c r="P17" s="66"/>
      <c r="Q17" s="145"/>
      <c r="R17" s="147"/>
      <c r="S17" s="152"/>
      <c r="T17" s="210"/>
      <c r="U17" s="145"/>
      <c r="V17" s="145"/>
      <c r="W17" s="67"/>
      <c r="X17" s="114"/>
      <c r="Y17" s="114"/>
      <c r="Z17" s="114"/>
      <c r="AA17" s="114"/>
      <c r="AB17" s="114"/>
    </row>
    <row r="18" spans="1:28" s="68" customFormat="1" ht="15.75" hidden="1" customHeight="1" thickTop="1" x14ac:dyDescent="0.25">
      <c r="A18" s="63" t="s">
        <v>8</v>
      </c>
      <c r="B18" s="238"/>
      <c r="C18" s="1105"/>
      <c r="D18" s="1105"/>
      <c r="E18" s="1105"/>
      <c r="F18" s="1105"/>
      <c r="G18" s="251"/>
      <c r="H18" s="71"/>
      <c r="I18" s="141"/>
      <c r="J18" s="147"/>
      <c r="K18" s="152"/>
      <c r="L18" s="149"/>
      <c r="M18" s="804"/>
      <c r="N18" s="1078"/>
      <c r="O18" s="172"/>
      <c r="P18" s="66"/>
      <c r="Q18" s="145"/>
      <c r="R18" s="147"/>
      <c r="S18" s="152"/>
      <c r="T18" s="210"/>
      <c r="U18" s="145"/>
      <c r="V18" s="145"/>
      <c r="W18" s="67"/>
      <c r="X18" s="114"/>
      <c r="Y18" s="114"/>
      <c r="Z18" s="114"/>
      <c r="AA18" s="114"/>
      <c r="AB18" s="114"/>
    </row>
    <row r="19" spans="1:28" s="68" customFormat="1" ht="15.75" customHeight="1" x14ac:dyDescent="0.25">
      <c r="A19" s="63" t="s">
        <v>8</v>
      </c>
      <c r="B19" s="819" t="s">
        <v>241</v>
      </c>
      <c r="C19" s="812" t="s">
        <v>212</v>
      </c>
      <c r="D19" s="812"/>
      <c r="E19" s="812"/>
      <c r="F19" s="812"/>
      <c r="G19" s="566" t="s">
        <v>32</v>
      </c>
      <c r="H19" s="71" t="s">
        <v>27</v>
      </c>
      <c r="I19" s="140">
        <f>(D10-SUM(I16:I18))*D8</f>
        <v>0</v>
      </c>
      <c r="J19" s="147">
        <f>IF(A19="Y",I19* 2%,0)</f>
        <v>0</v>
      </c>
      <c r="K19" s="152">
        <f>I19-J19</f>
        <v>0</v>
      </c>
      <c r="L19" s="149"/>
      <c r="M19" s="804"/>
      <c r="N19" s="1078"/>
      <c r="O19" s="72"/>
      <c r="P19" s="66"/>
      <c r="Q19" s="145">
        <f t="shared" ref="Q19:Q30" si="0">IF($Q$43=0,,I19*$Q$15)</f>
        <v>0</v>
      </c>
      <c r="R19" s="147">
        <f t="shared" ref="R19:R34" si="1">IF(A19="Y", Q19*2%,)</f>
        <v>0</v>
      </c>
      <c r="S19" s="152">
        <f t="shared" ref="S19:S40" si="2">Q19-R19</f>
        <v>0</v>
      </c>
      <c r="T19" s="210"/>
      <c r="U19" s="145">
        <f t="shared" ref="U19:U34" si="3">IF($U$15="BASE-UP   (B-A)", O19-K19,O19-S19)</f>
        <v>0</v>
      </c>
      <c r="V19" s="548"/>
      <c r="W19" s="67"/>
      <c r="X19" s="114"/>
      <c r="Y19" s="114"/>
      <c r="Z19" s="114"/>
      <c r="AA19" s="114"/>
      <c r="AB19" s="114"/>
    </row>
    <row r="20" spans="1:28" s="68" customFormat="1" ht="15.75" customHeight="1" x14ac:dyDescent="0.25">
      <c r="A20" s="63" t="s">
        <v>8</v>
      </c>
      <c r="B20" s="820"/>
      <c r="C20" s="812" t="s">
        <v>213</v>
      </c>
      <c r="D20" s="812"/>
      <c r="E20" s="812"/>
      <c r="F20" s="812"/>
      <c r="G20" s="566" t="s">
        <v>52</v>
      </c>
      <c r="H20" s="71" t="s">
        <v>25</v>
      </c>
      <c r="I20" s="140">
        <f>(D10-SUM(I16:I18))*D9</f>
        <v>0</v>
      </c>
      <c r="J20" s="147">
        <f t="shared" ref="J20:J34" si="4">IF(A20="Y",I20* 2%,0)</f>
        <v>0</v>
      </c>
      <c r="K20" s="152">
        <f t="shared" ref="K20:K33" si="5">I20-J20</f>
        <v>0</v>
      </c>
      <c r="L20" s="149"/>
      <c r="M20" s="804"/>
      <c r="N20" s="1078"/>
      <c r="O20" s="72"/>
      <c r="P20" s="66"/>
      <c r="Q20" s="145">
        <f t="shared" si="0"/>
        <v>0</v>
      </c>
      <c r="R20" s="147">
        <f t="shared" si="1"/>
        <v>0</v>
      </c>
      <c r="S20" s="152">
        <f t="shared" si="2"/>
        <v>0</v>
      </c>
      <c r="T20" s="210"/>
      <c r="U20" s="145">
        <f t="shared" si="3"/>
        <v>0</v>
      </c>
      <c r="V20" s="548"/>
      <c r="W20" s="67"/>
      <c r="X20" s="114"/>
      <c r="Y20" s="114"/>
      <c r="Z20" s="114"/>
      <c r="AA20" s="114"/>
      <c r="AB20" s="114"/>
    </row>
    <row r="21" spans="1:28" s="68" customFormat="1" ht="15.75" customHeight="1" x14ac:dyDescent="0.25">
      <c r="A21" s="63" t="s">
        <v>8</v>
      </c>
      <c r="B21" s="69">
        <v>7</v>
      </c>
      <c r="C21" s="812" t="s">
        <v>546</v>
      </c>
      <c r="D21" s="812"/>
      <c r="E21" s="812"/>
      <c r="F21" s="812"/>
      <c r="G21" s="566" t="s">
        <v>31</v>
      </c>
      <c r="H21" s="71" t="s">
        <v>26</v>
      </c>
      <c r="I21" s="140">
        <f>$D$11*B21</f>
        <v>0</v>
      </c>
      <c r="J21" s="147">
        <f t="shared" si="4"/>
        <v>0</v>
      </c>
      <c r="K21" s="152">
        <f t="shared" si="5"/>
        <v>0</v>
      </c>
      <c r="L21" s="149"/>
      <c r="M21" s="804"/>
      <c r="N21" s="1078"/>
      <c r="O21" s="74"/>
      <c r="P21" s="75"/>
      <c r="Q21" s="145">
        <f t="shared" si="0"/>
        <v>0</v>
      </c>
      <c r="R21" s="147">
        <f t="shared" si="1"/>
        <v>0</v>
      </c>
      <c r="S21" s="152">
        <f t="shared" si="2"/>
        <v>0</v>
      </c>
      <c r="T21" s="210"/>
      <c r="U21" s="145">
        <f t="shared" si="3"/>
        <v>0</v>
      </c>
      <c r="V21" s="548"/>
      <c r="W21" s="67"/>
      <c r="X21" s="114"/>
      <c r="Y21" s="114"/>
      <c r="Z21" s="114"/>
      <c r="AA21" s="114"/>
      <c r="AB21" s="114"/>
    </row>
    <row r="22" spans="1:28" s="68" customFormat="1" ht="15.75" customHeight="1" x14ac:dyDescent="0.25">
      <c r="A22" s="63" t="s">
        <v>8</v>
      </c>
      <c r="B22" s="69">
        <v>3</v>
      </c>
      <c r="C22" s="812" t="s">
        <v>547</v>
      </c>
      <c r="D22" s="812"/>
      <c r="E22" s="812"/>
      <c r="F22" s="812"/>
      <c r="G22" s="566" t="s">
        <v>32</v>
      </c>
      <c r="H22" s="71" t="s">
        <v>27</v>
      </c>
      <c r="I22" s="140">
        <f t="shared" ref="I22:I33" si="6">$D$11*B22</f>
        <v>0</v>
      </c>
      <c r="J22" s="147">
        <f t="shared" si="4"/>
        <v>0</v>
      </c>
      <c r="K22" s="152">
        <f t="shared" si="5"/>
        <v>0</v>
      </c>
      <c r="L22" s="149"/>
      <c r="M22" s="804"/>
      <c r="N22" s="1078"/>
      <c r="O22" s="72"/>
      <c r="P22" s="66"/>
      <c r="Q22" s="145">
        <f t="shared" si="0"/>
        <v>0</v>
      </c>
      <c r="R22" s="147">
        <f t="shared" si="1"/>
        <v>0</v>
      </c>
      <c r="S22" s="152">
        <f t="shared" si="2"/>
        <v>0</v>
      </c>
      <c r="T22" s="210"/>
      <c r="U22" s="145">
        <f t="shared" si="3"/>
        <v>0</v>
      </c>
      <c r="V22" s="548"/>
      <c r="W22" s="67"/>
      <c r="X22" s="114"/>
      <c r="Y22" s="114"/>
      <c r="Z22" s="114"/>
      <c r="AA22" s="114"/>
      <c r="AB22" s="114"/>
    </row>
    <row r="23" spans="1:28" s="68" customFormat="1" ht="15.75" customHeight="1" x14ac:dyDescent="0.25">
      <c r="A23" s="63" t="s">
        <v>8</v>
      </c>
      <c r="B23" s="69">
        <v>1</v>
      </c>
      <c r="C23" s="804" t="s">
        <v>216</v>
      </c>
      <c r="D23" s="805"/>
      <c r="E23" s="805"/>
      <c r="F23" s="945"/>
      <c r="G23" s="566" t="s">
        <v>32</v>
      </c>
      <c r="H23" s="71" t="s">
        <v>55</v>
      </c>
      <c r="I23" s="140">
        <f t="shared" si="6"/>
        <v>0</v>
      </c>
      <c r="J23" s="147">
        <f t="shared" si="4"/>
        <v>0</v>
      </c>
      <c r="K23" s="152">
        <f t="shared" si="5"/>
        <v>0</v>
      </c>
      <c r="L23" s="149"/>
      <c r="M23" s="804"/>
      <c r="N23" s="1078"/>
      <c r="O23" s="72"/>
      <c r="P23" s="66"/>
      <c r="Q23" s="145">
        <f t="shared" si="0"/>
        <v>0</v>
      </c>
      <c r="R23" s="147">
        <f t="shared" si="1"/>
        <v>0</v>
      </c>
      <c r="S23" s="152">
        <f t="shared" si="2"/>
        <v>0</v>
      </c>
      <c r="T23" s="210"/>
      <c r="U23" s="145">
        <f t="shared" si="3"/>
        <v>0</v>
      </c>
      <c r="V23" s="548"/>
      <c r="W23" s="67"/>
      <c r="X23" s="114"/>
      <c r="Y23" s="114"/>
      <c r="Z23" s="114"/>
      <c r="AA23" s="114"/>
      <c r="AB23" s="114"/>
    </row>
    <row r="24" spans="1:28" s="68" customFormat="1" ht="14.5" x14ac:dyDescent="0.25">
      <c r="A24" s="63" t="s">
        <v>8</v>
      </c>
      <c r="B24" s="69">
        <v>4</v>
      </c>
      <c r="C24" s="804" t="s">
        <v>466</v>
      </c>
      <c r="D24" s="805"/>
      <c r="E24" s="805"/>
      <c r="F24" s="945"/>
      <c r="G24" s="566" t="s">
        <v>31</v>
      </c>
      <c r="H24" s="71" t="s">
        <v>72</v>
      </c>
      <c r="I24" s="140">
        <f t="shared" si="6"/>
        <v>0</v>
      </c>
      <c r="J24" s="147">
        <f t="shared" si="4"/>
        <v>0</v>
      </c>
      <c r="K24" s="152">
        <f t="shared" si="5"/>
        <v>0</v>
      </c>
      <c r="L24" s="149"/>
      <c r="M24" s="804"/>
      <c r="N24" s="1078"/>
      <c r="O24" s="72"/>
      <c r="P24" s="66"/>
      <c r="Q24" s="145">
        <f t="shared" si="0"/>
        <v>0</v>
      </c>
      <c r="R24" s="147">
        <f t="shared" si="1"/>
        <v>0</v>
      </c>
      <c r="S24" s="152">
        <f t="shared" si="2"/>
        <v>0</v>
      </c>
      <c r="T24" s="210"/>
      <c r="U24" s="145">
        <f t="shared" si="3"/>
        <v>0</v>
      </c>
      <c r="V24" s="549"/>
      <c r="W24" s="500"/>
      <c r="X24" s="114"/>
      <c r="Y24" s="114"/>
      <c r="Z24" s="114"/>
      <c r="AA24" s="114"/>
      <c r="AB24" s="114"/>
    </row>
    <row r="25" spans="1:28" s="68" customFormat="1" ht="15.75" customHeight="1" x14ac:dyDescent="0.25">
      <c r="A25" s="63" t="s">
        <v>8</v>
      </c>
      <c r="B25" s="634">
        <f>'1-DUI (Reduce Base)'!$B$25</f>
        <v>0</v>
      </c>
      <c r="C25" s="812" t="s">
        <v>217</v>
      </c>
      <c r="D25" s="812"/>
      <c r="E25" s="813" t="str">
        <f>IF(SUM(B25:B29)=O11,"GC 76000 PA ($" &amp;O11 &amp; " for every 10) breakdown per local board of supervisor resolution (BOS).","ERROR! GC 76000 PA total is not $" &amp;O11&amp; ". Check Court's board resolution.")</f>
        <v>ERROR! GC 76000 PA total is not $5. Check Court's board resolution.</v>
      </c>
      <c r="F25" s="1143"/>
      <c r="G25" s="566" t="s">
        <v>32</v>
      </c>
      <c r="H25" s="71" t="s">
        <v>64</v>
      </c>
      <c r="I25" s="140">
        <f t="shared" si="6"/>
        <v>0</v>
      </c>
      <c r="J25" s="147">
        <f t="shared" si="4"/>
        <v>0</v>
      </c>
      <c r="K25" s="152">
        <f t="shared" si="5"/>
        <v>0</v>
      </c>
      <c r="L25" s="149"/>
      <c r="M25" s="804"/>
      <c r="N25" s="1078"/>
      <c r="O25" s="72"/>
      <c r="P25" s="66"/>
      <c r="Q25" s="145">
        <f t="shared" si="0"/>
        <v>0</v>
      </c>
      <c r="R25" s="147">
        <f t="shared" si="1"/>
        <v>0</v>
      </c>
      <c r="S25" s="152">
        <f t="shared" si="2"/>
        <v>0</v>
      </c>
      <c r="T25" s="210"/>
      <c r="U25" s="145">
        <f t="shared" si="3"/>
        <v>0</v>
      </c>
      <c r="V25" s="622"/>
      <c r="W25" s="67"/>
      <c r="X25" s="114"/>
      <c r="Y25" s="114"/>
      <c r="Z25" s="114"/>
      <c r="AA25" s="114"/>
      <c r="AB25" s="114"/>
    </row>
    <row r="26" spans="1:28" s="68" customFormat="1" ht="15.75" customHeight="1" x14ac:dyDescent="0.25">
      <c r="A26" s="63" t="s">
        <v>8</v>
      </c>
      <c r="B26" s="634">
        <f>'1-DUI (Reduce Base)'!$B$26</f>
        <v>1</v>
      </c>
      <c r="C26" s="812" t="s">
        <v>218</v>
      </c>
      <c r="D26" s="812"/>
      <c r="E26" s="815"/>
      <c r="F26" s="1144"/>
      <c r="G26" s="566" t="s">
        <v>32</v>
      </c>
      <c r="H26" s="71" t="s">
        <v>35</v>
      </c>
      <c r="I26" s="140">
        <f t="shared" si="6"/>
        <v>0</v>
      </c>
      <c r="J26" s="147">
        <f t="shared" si="4"/>
        <v>0</v>
      </c>
      <c r="K26" s="152">
        <f t="shared" si="5"/>
        <v>0</v>
      </c>
      <c r="L26" s="149"/>
      <c r="M26" s="804"/>
      <c r="N26" s="1078"/>
      <c r="O26" s="72"/>
      <c r="P26" s="66"/>
      <c r="Q26" s="145">
        <f t="shared" si="0"/>
        <v>0</v>
      </c>
      <c r="R26" s="147">
        <f t="shared" si="1"/>
        <v>0</v>
      </c>
      <c r="S26" s="152">
        <f t="shared" si="2"/>
        <v>0</v>
      </c>
      <c r="T26" s="210"/>
      <c r="U26" s="145">
        <f t="shared" si="3"/>
        <v>0</v>
      </c>
      <c r="V26" s="548"/>
      <c r="W26" s="67"/>
      <c r="X26" s="114"/>
      <c r="Y26" s="114"/>
      <c r="Z26" s="114"/>
      <c r="AA26" s="114"/>
      <c r="AB26" s="114"/>
    </row>
    <row r="27" spans="1:28" s="68" customFormat="1" ht="15.75" customHeight="1" x14ac:dyDescent="0.25">
      <c r="A27" s="63" t="s">
        <v>8</v>
      </c>
      <c r="B27" s="634">
        <f>'1-DUI (Reduce Base)'!$B$27</f>
        <v>1</v>
      </c>
      <c r="C27" s="812" t="s">
        <v>219</v>
      </c>
      <c r="D27" s="812"/>
      <c r="E27" s="815"/>
      <c r="F27" s="1144"/>
      <c r="G27" s="566" t="s">
        <v>32</v>
      </c>
      <c r="H27" s="71" t="s">
        <v>65</v>
      </c>
      <c r="I27" s="140">
        <f t="shared" si="6"/>
        <v>0</v>
      </c>
      <c r="J27" s="147">
        <f t="shared" si="4"/>
        <v>0</v>
      </c>
      <c r="K27" s="152">
        <f t="shared" si="5"/>
        <v>0</v>
      </c>
      <c r="L27" s="149"/>
      <c r="M27" s="804"/>
      <c r="N27" s="1078"/>
      <c r="O27" s="72"/>
      <c r="P27" s="66"/>
      <c r="Q27" s="145">
        <f t="shared" si="0"/>
        <v>0</v>
      </c>
      <c r="R27" s="147">
        <f t="shared" si="1"/>
        <v>0</v>
      </c>
      <c r="S27" s="152">
        <f t="shared" si="2"/>
        <v>0</v>
      </c>
      <c r="T27" s="210"/>
      <c r="U27" s="145">
        <f t="shared" si="3"/>
        <v>0</v>
      </c>
      <c r="V27" s="548"/>
      <c r="W27" s="67"/>
      <c r="X27" s="114"/>
      <c r="Y27" s="114"/>
      <c r="Z27" s="114"/>
      <c r="AA27" s="114"/>
      <c r="AB27" s="114"/>
    </row>
    <row r="28" spans="1:28" s="68" customFormat="1" ht="15.75" customHeight="1" x14ac:dyDescent="0.25">
      <c r="A28" s="63" t="s">
        <v>8</v>
      </c>
      <c r="B28" s="634">
        <f>'1-DUI (Reduce Base)'!$B$28</f>
        <v>0.5</v>
      </c>
      <c r="C28" s="812" t="s">
        <v>401</v>
      </c>
      <c r="D28" s="812"/>
      <c r="E28" s="815"/>
      <c r="F28" s="1144"/>
      <c r="G28" s="566" t="s">
        <v>32</v>
      </c>
      <c r="H28" s="71" t="s">
        <v>65</v>
      </c>
      <c r="I28" s="140">
        <f>$D$11*B28</f>
        <v>0</v>
      </c>
      <c r="J28" s="147">
        <f>IF(A28="Y",I28* 2%,0)</f>
        <v>0</v>
      </c>
      <c r="K28" s="152">
        <f>I28-J28</f>
        <v>0</v>
      </c>
      <c r="L28" s="149"/>
      <c r="M28" s="804"/>
      <c r="N28" s="1078"/>
      <c r="O28" s="72"/>
      <c r="P28" s="66"/>
      <c r="Q28" s="145">
        <f t="shared" si="0"/>
        <v>0</v>
      </c>
      <c r="R28" s="147">
        <f>IF(A28="Y", Q28*2%,)</f>
        <v>0</v>
      </c>
      <c r="S28" s="152">
        <f>Q28-R28</f>
        <v>0</v>
      </c>
      <c r="T28" s="210"/>
      <c r="U28" s="145">
        <f>IF($U$15="BASE-UP   (B-A)", O28-K28,O28-S28)</f>
        <v>0</v>
      </c>
      <c r="V28" s="548"/>
      <c r="W28" s="67"/>
      <c r="X28" s="114"/>
      <c r="Y28" s="114"/>
      <c r="Z28" s="114"/>
      <c r="AA28" s="114"/>
      <c r="AB28" s="114"/>
    </row>
    <row r="29" spans="1:28" s="68" customFormat="1" ht="15.75" customHeight="1" x14ac:dyDescent="0.25">
      <c r="A29" s="63" t="s">
        <v>8</v>
      </c>
      <c r="B29" s="634">
        <f>'1-DUI (Reduce Base)'!$B$29</f>
        <v>1</v>
      </c>
      <c r="C29" s="812" t="s">
        <v>254</v>
      </c>
      <c r="D29" s="812"/>
      <c r="E29" s="817"/>
      <c r="F29" s="1145"/>
      <c r="G29" s="566" t="s">
        <v>32</v>
      </c>
      <c r="H29" s="71"/>
      <c r="I29" s="140">
        <f t="shared" si="6"/>
        <v>0</v>
      </c>
      <c r="J29" s="147">
        <f t="shared" si="4"/>
        <v>0</v>
      </c>
      <c r="K29" s="152">
        <f t="shared" si="5"/>
        <v>0</v>
      </c>
      <c r="L29" s="149"/>
      <c r="M29" s="804"/>
      <c r="N29" s="1078"/>
      <c r="O29" s="72"/>
      <c r="P29" s="66"/>
      <c r="Q29" s="145">
        <f t="shared" si="0"/>
        <v>0</v>
      </c>
      <c r="R29" s="147">
        <f t="shared" si="1"/>
        <v>0</v>
      </c>
      <c r="S29" s="152">
        <f t="shared" si="2"/>
        <v>0</v>
      </c>
      <c r="T29" s="210"/>
      <c r="U29" s="145">
        <f t="shared" si="3"/>
        <v>0</v>
      </c>
      <c r="V29" s="548"/>
      <c r="W29" s="67"/>
      <c r="X29" s="114"/>
      <c r="Y29" s="114"/>
      <c r="Z29" s="114"/>
      <c r="AA29" s="114"/>
      <c r="AB29" s="114"/>
    </row>
    <row r="30" spans="1:28" s="68" customFormat="1" ht="15.75" customHeight="1" x14ac:dyDescent="0.25">
      <c r="A30" s="63" t="s">
        <v>8</v>
      </c>
      <c r="B30" s="634">
        <f>'1-DUI (Reduce Base)'!$B$30</f>
        <v>2</v>
      </c>
      <c r="C30" s="804" t="s">
        <v>286</v>
      </c>
      <c r="D30" s="805"/>
      <c r="E30" s="805"/>
      <c r="F30" s="945"/>
      <c r="G30" s="566" t="s">
        <v>32</v>
      </c>
      <c r="H30" s="71" t="s">
        <v>36</v>
      </c>
      <c r="I30" s="140">
        <f t="shared" si="6"/>
        <v>0</v>
      </c>
      <c r="J30" s="147">
        <f t="shared" si="4"/>
        <v>0</v>
      </c>
      <c r="K30" s="152">
        <f t="shared" si="5"/>
        <v>0</v>
      </c>
      <c r="L30" s="149"/>
      <c r="M30" s="804"/>
      <c r="N30" s="1078"/>
      <c r="O30" s="72"/>
      <c r="P30" s="66"/>
      <c r="Q30" s="145">
        <f t="shared" si="0"/>
        <v>0</v>
      </c>
      <c r="R30" s="147">
        <f t="shared" si="1"/>
        <v>0</v>
      </c>
      <c r="S30" s="152">
        <f t="shared" si="2"/>
        <v>0</v>
      </c>
      <c r="T30" s="210"/>
      <c r="U30" s="145">
        <f t="shared" si="3"/>
        <v>0</v>
      </c>
      <c r="V30" s="548"/>
      <c r="W30" s="67"/>
      <c r="X30" s="114"/>
      <c r="Y30" s="114"/>
      <c r="Z30" s="114"/>
      <c r="AA30" s="114"/>
      <c r="AB30" s="114"/>
    </row>
    <row r="31" spans="1:28" s="68" customFormat="1" ht="15" customHeight="1" x14ac:dyDescent="0.25">
      <c r="A31" s="63" t="s">
        <v>8</v>
      </c>
      <c r="B31" s="69"/>
      <c r="C31" s="804" t="s">
        <v>385</v>
      </c>
      <c r="D31" s="805"/>
      <c r="E31" s="805"/>
      <c r="F31" s="945"/>
      <c r="G31" s="566" t="s">
        <v>31</v>
      </c>
      <c r="H31" s="81" t="s">
        <v>39</v>
      </c>
      <c r="I31" s="186">
        <v>4</v>
      </c>
      <c r="J31" s="147">
        <f>IF(A31="Y", I31*2%,0)</f>
        <v>0.08</v>
      </c>
      <c r="K31" s="152">
        <f>I31-J31</f>
        <v>3.92</v>
      </c>
      <c r="L31" s="149"/>
      <c r="M31" s="804"/>
      <c r="N31" s="1078"/>
      <c r="O31" s="72"/>
      <c r="P31" s="66"/>
      <c r="Q31" s="140">
        <f>IF($Q$43=0,,I31)</f>
        <v>0</v>
      </c>
      <c r="R31" s="147">
        <f>IF(A31="Y", Q31*2%,)</f>
        <v>0</v>
      </c>
      <c r="S31" s="152">
        <f>Q31-R31</f>
        <v>0</v>
      </c>
      <c r="T31" s="210"/>
      <c r="U31" s="145">
        <f>IF($U$15="BASE-UP   (B-A)", O31-K31,O31-S31)</f>
        <v>-3.92</v>
      </c>
      <c r="V31" s="622"/>
      <c r="W31" s="67"/>
      <c r="X31" s="114"/>
      <c r="Y31" s="114"/>
      <c r="Z31" s="114"/>
      <c r="AA31" s="114"/>
      <c r="AB31" s="114"/>
    </row>
    <row r="32" spans="1:28" s="68" customFormat="1" ht="15.75" customHeight="1" x14ac:dyDescent="0.25">
      <c r="A32" s="63" t="s">
        <v>8</v>
      </c>
      <c r="B32" s="634">
        <f>'1-DUI (Reduce Base)'!$B$32</f>
        <v>2</v>
      </c>
      <c r="C32" s="804" t="s">
        <v>555</v>
      </c>
      <c r="D32" s="805"/>
      <c r="E32" s="945"/>
      <c r="F32" s="1008" t="s">
        <v>281</v>
      </c>
      <c r="G32" s="566" t="s">
        <v>31</v>
      </c>
      <c r="H32" s="71" t="s">
        <v>37</v>
      </c>
      <c r="I32" s="140">
        <f t="shared" si="6"/>
        <v>0</v>
      </c>
      <c r="J32" s="147">
        <f t="shared" si="4"/>
        <v>0</v>
      </c>
      <c r="K32" s="152">
        <f t="shared" si="5"/>
        <v>0</v>
      </c>
      <c r="L32" s="149"/>
      <c r="M32" s="804"/>
      <c r="N32" s="1078"/>
      <c r="O32" s="72"/>
      <c r="P32" s="66"/>
      <c r="Q32" s="145">
        <f>IF($Q$43=0,,I32*$Q$15)</f>
        <v>0</v>
      </c>
      <c r="R32" s="147">
        <f t="shared" si="1"/>
        <v>0</v>
      </c>
      <c r="S32" s="152">
        <f t="shared" si="2"/>
        <v>0</v>
      </c>
      <c r="T32" s="210"/>
      <c r="U32" s="145">
        <f t="shared" si="3"/>
        <v>0</v>
      </c>
      <c r="V32" s="622"/>
      <c r="W32" s="67"/>
      <c r="X32" s="114"/>
      <c r="Y32" s="114"/>
      <c r="Z32" s="114"/>
      <c r="AA32" s="114"/>
      <c r="AB32" s="114"/>
    </row>
    <row r="33" spans="1:28" s="68" customFormat="1" ht="15.75" customHeight="1" x14ac:dyDescent="0.25">
      <c r="A33" s="63" t="s">
        <v>8</v>
      </c>
      <c r="B33" s="164">
        <f>5-B32</f>
        <v>3</v>
      </c>
      <c r="C33" s="804" t="s">
        <v>556</v>
      </c>
      <c r="D33" s="805"/>
      <c r="E33" s="945"/>
      <c r="F33" s="1009"/>
      <c r="G33" s="566" t="s">
        <v>31</v>
      </c>
      <c r="H33" s="71" t="s">
        <v>197</v>
      </c>
      <c r="I33" s="140">
        <f t="shared" si="6"/>
        <v>0</v>
      </c>
      <c r="J33" s="147">
        <f t="shared" si="4"/>
        <v>0</v>
      </c>
      <c r="K33" s="152">
        <f t="shared" si="5"/>
        <v>0</v>
      </c>
      <c r="L33" s="149"/>
      <c r="M33" s="804"/>
      <c r="N33" s="1078"/>
      <c r="O33" s="72"/>
      <c r="P33" s="66"/>
      <c r="Q33" s="145">
        <f>IF($Q$43=0,,I33*$Q$15)</f>
        <v>0</v>
      </c>
      <c r="R33" s="147">
        <f t="shared" si="1"/>
        <v>0</v>
      </c>
      <c r="S33" s="152">
        <f t="shared" si="2"/>
        <v>0</v>
      </c>
      <c r="T33" s="210"/>
      <c r="U33" s="145">
        <f t="shared" si="3"/>
        <v>0</v>
      </c>
      <c r="V33" s="548"/>
      <c r="W33" s="67"/>
      <c r="X33" s="114"/>
      <c r="Y33" s="114"/>
      <c r="Z33" s="114"/>
      <c r="AA33" s="114"/>
      <c r="AB33" s="114"/>
    </row>
    <row r="34" spans="1:28" s="68" customFormat="1" ht="15.75" customHeight="1" x14ac:dyDescent="0.25">
      <c r="A34" s="63" t="s">
        <v>7</v>
      </c>
      <c r="B34" s="69"/>
      <c r="C34" s="804" t="s">
        <v>220</v>
      </c>
      <c r="D34" s="805"/>
      <c r="E34" s="805"/>
      <c r="F34" s="945"/>
      <c r="G34" s="566" t="s">
        <v>31</v>
      </c>
      <c r="H34" s="71" t="s">
        <v>10</v>
      </c>
      <c r="I34" s="140">
        <f>$D$10*20%</f>
        <v>0</v>
      </c>
      <c r="J34" s="147">
        <f t="shared" si="4"/>
        <v>0</v>
      </c>
      <c r="K34" s="152">
        <f>I34-J34</f>
        <v>0</v>
      </c>
      <c r="L34" s="149"/>
      <c r="M34" s="804"/>
      <c r="N34" s="1078"/>
      <c r="O34" s="72"/>
      <c r="P34" s="66"/>
      <c r="Q34" s="145">
        <f>IF($Q$43=0,,I34*$Q$15)</f>
        <v>0</v>
      </c>
      <c r="R34" s="147">
        <f t="shared" si="1"/>
        <v>0</v>
      </c>
      <c r="S34" s="152">
        <f t="shared" si="2"/>
        <v>0</v>
      </c>
      <c r="T34" s="210"/>
      <c r="U34" s="145">
        <f t="shared" si="3"/>
        <v>0</v>
      </c>
      <c r="V34" s="548"/>
      <c r="W34" s="67"/>
      <c r="X34" s="114"/>
      <c r="Y34" s="114"/>
      <c r="Z34" s="114"/>
      <c r="AA34" s="114"/>
      <c r="AB34" s="114"/>
    </row>
    <row r="35" spans="1:28" s="80" customFormat="1" ht="15.75" customHeight="1" x14ac:dyDescent="0.25">
      <c r="A35" s="63"/>
      <c r="B35" s="76"/>
      <c r="C35" s="810" t="s">
        <v>221</v>
      </c>
      <c r="D35" s="811"/>
      <c r="E35" s="811"/>
      <c r="F35" s="946"/>
      <c r="G35" s="573"/>
      <c r="H35" s="78"/>
      <c r="I35" s="142">
        <f>SUM(I16:I34)</f>
        <v>4</v>
      </c>
      <c r="J35" s="147"/>
      <c r="K35" s="153">
        <f>SUM(K16:K34)</f>
        <v>3.92</v>
      </c>
      <c r="L35" s="150"/>
      <c r="M35" s="804"/>
      <c r="N35" s="1078"/>
      <c r="O35" s="166">
        <f>SUM(O16:O34)</f>
        <v>0</v>
      </c>
      <c r="P35" s="111"/>
      <c r="Q35" s="142">
        <f>IF($Q$43=0,,Q43-SUM(Q36:Q40))</f>
        <v>0</v>
      </c>
      <c r="R35" s="147"/>
      <c r="S35" s="153">
        <f>SUM(S16:S34)</f>
        <v>0</v>
      </c>
      <c r="T35" s="211"/>
      <c r="U35" s="145">
        <f>SUM(U16:U34)</f>
        <v>-3.92</v>
      </c>
      <c r="V35" s="548"/>
      <c r="W35" s="79"/>
      <c r="X35" s="129"/>
      <c r="Y35" s="129"/>
      <c r="Z35" s="129"/>
      <c r="AA35" s="129"/>
      <c r="AB35" s="129"/>
    </row>
    <row r="36" spans="1:28" s="68" customFormat="1" ht="15" customHeight="1" x14ac:dyDescent="0.25">
      <c r="A36" s="63" t="s">
        <v>7</v>
      </c>
      <c r="B36" s="69"/>
      <c r="C36" s="804" t="s">
        <v>419</v>
      </c>
      <c r="D36" s="805"/>
      <c r="E36" s="805"/>
      <c r="F36" s="945"/>
      <c r="G36" s="566" t="s">
        <v>31</v>
      </c>
      <c r="H36" s="81"/>
      <c r="I36" s="186">
        <v>40</v>
      </c>
      <c r="J36" s="147">
        <f>IF(A36="Y", I36*2%,0)</f>
        <v>0</v>
      </c>
      <c r="K36" s="152">
        <f>I36-J36</f>
        <v>40</v>
      </c>
      <c r="L36" s="149"/>
      <c r="M36" s="449"/>
      <c r="N36" s="450"/>
      <c r="O36" s="72"/>
      <c r="P36" s="66"/>
      <c r="Q36" s="140">
        <f>IF($Q$43=0,,I36)</f>
        <v>0</v>
      </c>
      <c r="R36" s="147">
        <f>IF(A36="Y", Q36*2%,)</f>
        <v>0</v>
      </c>
      <c r="S36" s="152">
        <f>Q36-R36</f>
        <v>0</v>
      </c>
      <c r="T36" s="210"/>
      <c r="U36" s="145">
        <f t="shared" ref="U36:U41" si="7">IF($U$15="BASE-UP   (B-A)", O36-K36,O36-S36)</f>
        <v>-40</v>
      </c>
      <c r="V36" s="548"/>
      <c r="W36" s="67"/>
      <c r="X36" s="114"/>
      <c r="Y36" s="114"/>
      <c r="Z36" s="114"/>
      <c r="AA36" s="114"/>
      <c r="AB36" s="114"/>
    </row>
    <row r="37" spans="1:28" s="68" customFormat="1" ht="15.75" customHeight="1" x14ac:dyDescent="0.25">
      <c r="A37" s="63" t="s">
        <v>7</v>
      </c>
      <c r="B37" s="69"/>
      <c r="C37" s="806" t="s">
        <v>259</v>
      </c>
      <c r="D37" s="807"/>
      <c r="E37" s="807"/>
      <c r="F37" s="944"/>
      <c r="G37" s="574" t="s">
        <v>31</v>
      </c>
      <c r="H37" s="82" t="s">
        <v>197</v>
      </c>
      <c r="I37" s="186">
        <v>35</v>
      </c>
      <c r="J37" s="147">
        <f>IF(A37="Y", I37*2%,0)</f>
        <v>0</v>
      </c>
      <c r="K37" s="152">
        <f>I37-J37</f>
        <v>35</v>
      </c>
      <c r="L37" s="149"/>
      <c r="M37" s="804"/>
      <c r="N37" s="1078"/>
      <c r="O37" s="72"/>
      <c r="P37" s="66"/>
      <c r="Q37" s="140">
        <f>IF($Q$43=0,,I37)</f>
        <v>0</v>
      </c>
      <c r="R37" s="147">
        <f>IF(A37="Y", Q37*2%,)</f>
        <v>0</v>
      </c>
      <c r="S37" s="152">
        <f t="shared" si="2"/>
        <v>0</v>
      </c>
      <c r="T37" s="210"/>
      <c r="U37" s="145">
        <f t="shared" si="7"/>
        <v>-35</v>
      </c>
      <c r="V37" s="548"/>
      <c r="W37" s="67"/>
      <c r="X37" s="114"/>
      <c r="Y37" s="114"/>
      <c r="Z37" s="114"/>
      <c r="AA37" s="114"/>
      <c r="AB37" s="114"/>
    </row>
    <row r="38" spans="1:28" s="68" customFormat="1" ht="15.75" customHeight="1" x14ac:dyDescent="0.25">
      <c r="A38" s="63" t="s">
        <v>7</v>
      </c>
      <c r="B38" s="83"/>
      <c r="C38" s="806" t="s">
        <v>421</v>
      </c>
      <c r="D38" s="807"/>
      <c r="E38" s="807"/>
      <c r="F38" s="944"/>
      <c r="G38" s="574" t="s">
        <v>230</v>
      </c>
      <c r="H38" s="82" t="s">
        <v>24</v>
      </c>
      <c r="I38" s="186"/>
      <c r="J38" s="147">
        <f>IF(A38="Y", I38*2%,0)</f>
        <v>0</v>
      </c>
      <c r="K38" s="152">
        <f>I38-J38</f>
        <v>0</v>
      </c>
      <c r="L38" s="149"/>
      <c r="M38" s="804"/>
      <c r="N38" s="1078"/>
      <c r="O38" s="72"/>
      <c r="P38" s="66"/>
      <c r="Q38" s="140">
        <f>IF($Q$43=0,,I38)</f>
        <v>0</v>
      </c>
      <c r="R38" s="147">
        <f>IF(A38="Y", Q38*2%,)</f>
        <v>0</v>
      </c>
      <c r="S38" s="152">
        <f t="shared" si="2"/>
        <v>0</v>
      </c>
      <c r="T38" s="210"/>
      <c r="U38" s="145">
        <f t="shared" si="7"/>
        <v>0</v>
      </c>
      <c r="V38" s="548"/>
      <c r="W38" s="71"/>
      <c r="X38" s="114"/>
      <c r="Y38" s="114"/>
      <c r="Z38" s="114"/>
      <c r="AA38" s="114"/>
      <c r="AB38" s="114"/>
    </row>
    <row r="39" spans="1:28" s="68" customFormat="1" ht="47.25" customHeight="1" x14ac:dyDescent="0.25">
      <c r="A39" s="63" t="s">
        <v>7</v>
      </c>
      <c r="B39" s="83"/>
      <c r="C39" s="804" t="s">
        <v>517</v>
      </c>
      <c r="D39" s="805"/>
      <c r="E39" s="805"/>
      <c r="F39" s="945"/>
      <c r="G39" s="574" t="s">
        <v>230</v>
      </c>
      <c r="H39" s="82" t="s">
        <v>82</v>
      </c>
      <c r="I39" s="186"/>
      <c r="J39" s="147">
        <f>IF(A39="Y", I39*2%,0)</f>
        <v>0</v>
      </c>
      <c r="K39" s="152">
        <f>I39-J39</f>
        <v>0</v>
      </c>
      <c r="L39" s="149"/>
      <c r="M39" s="804"/>
      <c r="N39" s="1078"/>
      <c r="O39" s="72"/>
      <c r="P39" s="66"/>
      <c r="Q39" s="140">
        <f>IF($Q$43=0,,I39)</f>
        <v>0</v>
      </c>
      <c r="R39" s="147">
        <f>IF(A39="Y", Q39*2%,)</f>
        <v>0</v>
      </c>
      <c r="S39" s="152">
        <f t="shared" si="2"/>
        <v>0</v>
      </c>
      <c r="T39" s="210"/>
      <c r="U39" s="145">
        <f t="shared" si="7"/>
        <v>0</v>
      </c>
      <c r="V39" s="548"/>
      <c r="W39" s="71"/>
      <c r="X39" s="114"/>
      <c r="Y39" s="114"/>
      <c r="Z39" s="114"/>
      <c r="AA39" s="114"/>
      <c r="AB39" s="114"/>
    </row>
    <row r="40" spans="1:28" s="68" customFormat="1" ht="15.75" customHeight="1" x14ac:dyDescent="0.25">
      <c r="A40" s="63" t="s">
        <v>7</v>
      </c>
      <c r="B40" s="83"/>
      <c r="C40" s="806" t="s">
        <v>225</v>
      </c>
      <c r="D40" s="807"/>
      <c r="E40" s="807"/>
      <c r="F40" s="944"/>
      <c r="G40" s="574" t="s">
        <v>31</v>
      </c>
      <c r="H40" s="82" t="s">
        <v>80</v>
      </c>
      <c r="I40" s="186"/>
      <c r="J40" s="147">
        <f>IF(A40="Y", I40*2%,0)</f>
        <v>0</v>
      </c>
      <c r="K40" s="152">
        <f>I40-J40</f>
        <v>0</v>
      </c>
      <c r="L40" s="149"/>
      <c r="M40" s="804"/>
      <c r="N40" s="1078"/>
      <c r="O40" s="72"/>
      <c r="P40" s="66"/>
      <c r="Q40" s="140">
        <f>IF($Q$43=0,,I40)</f>
        <v>0</v>
      </c>
      <c r="R40" s="147">
        <f>IF(A40="Y", Q40*2%,)</f>
        <v>0</v>
      </c>
      <c r="S40" s="152">
        <f t="shared" si="2"/>
        <v>0</v>
      </c>
      <c r="T40" s="210"/>
      <c r="U40" s="145">
        <f t="shared" si="7"/>
        <v>0</v>
      </c>
      <c r="V40" s="548"/>
      <c r="W40" s="71"/>
      <c r="X40" s="114"/>
      <c r="Y40" s="114"/>
      <c r="Z40" s="114"/>
      <c r="AA40" s="114"/>
      <c r="AB40" s="114"/>
    </row>
    <row r="41" spans="1:28" s="68" customFormat="1" ht="31.5" customHeight="1" x14ac:dyDescent="0.25">
      <c r="A41" s="83" t="s">
        <v>7</v>
      </c>
      <c r="B41" s="83"/>
      <c r="C41" s="804" t="s">
        <v>492</v>
      </c>
      <c r="D41" s="805"/>
      <c r="E41" s="805"/>
      <c r="F41" s="945"/>
      <c r="G41" s="574" t="s">
        <v>31</v>
      </c>
      <c r="H41" s="85" t="s">
        <v>41</v>
      </c>
      <c r="I41" s="86"/>
      <c r="J41" s="148"/>
      <c r="K41" s="154">
        <f>J42</f>
        <v>0.08</v>
      </c>
      <c r="L41" s="149"/>
      <c r="M41" s="804"/>
      <c r="N41" s="1078"/>
      <c r="O41" s="72"/>
      <c r="P41" s="66"/>
      <c r="Q41" s="93"/>
      <c r="R41" s="148"/>
      <c r="S41" s="154">
        <f>R42</f>
        <v>0</v>
      </c>
      <c r="T41" s="212"/>
      <c r="U41" s="145">
        <f t="shared" si="7"/>
        <v>-0.08</v>
      </c>
      <c r="V41" s="548"/>
      <c r="W41" s="71"/>
      <c r="X41" s="114"/>
      <c r="Y41" s="114"/>
      <c r="Z41" s="114"/>
      <c r="AA41" s="114"/>
      <c r="AB41" s="114"/>
    </row>
    <row r="42" spans="1:28" s="114" customFormat="1" ht="14.5" x14ac:dyDescent="0.25">
      <c r="A42" s="112"/>
      <c r="B42" s="112"/>
      <c r="C42" s="112"/>
      <c r="D42" s="112"/>
      <c r="E42" s="113"/>
      <c r="F42" s="113"/>
      <c r="J42" s="115">
        <f>SUM(J16:J41)</f>
        <v>0.08</v>
      </c>
      <c r="K42" s="155"/>
      <c r="O42" s="116"/>
      <c r="P42" s="117"/>
      <c r="R42" s="115">
        <f>SUM(R16:R41)</f>
        <v>0</v>
      </c>
      <c r="S42" s="155"/>
      <c r="T42" s="213"/>
      <c r="U42" s="165"/>
      <c r="V42" s="165"/>
      <c r="W42" s="118"/>
    </row>
    <row r="43" spans="1:28" s="95" customFormat="1" ht="16" thickBot="1" x14ac:dyDescent="0.3">
      <c r="A43" s="130"/>
      <c r="B43" s="130"/>
      <c r="C43" s="130"/>
      <c r="D43" s="130"/>
      <c r="E43" s="119"/>
      <c r="F43" s="131" t="s">
        <v>81</v>
      </c>
      <c r="G43" s="132"/>
      <c r="H43" s="133" t="s">
        <v>1</v>
      </c>
      <c r="I43" s="134">
        <f>SUM(I35:I42)</f>
        <v>79</v>
      </c>
      <c r="J43" s="135"/>
      <c r="K43" s="156">
        <f>SUM(K35:K42)</f>
        <v>79</v>
      </c>
      <c r="L43" s="136"/>
      <c r="M43" s="130" t="s">
        <v>1</v>
      </c>
      <c r="N43" s="130"/>
      <c r="O43" s="137">
        <f>SUM(O35:O42)</f>
        <v>0</v>
      </c>
      <c r="P43" s="136"/>
      <c r="Q43" s="188"/>
      <c r="R43" s="135"/>
      <c r="S43" s="156">
        <f>SUM(S35:S42)</f>
        <v>0</v>
      </c>
      <c r="T43" s="214"/>
      <c r="U43" s="175">
        <f>SUM(U35:U42)</f>
        <v>-79</v>
      </c>
      <c r="V43" s="530"/>
      <c r="W43" s="138"/>
    </row>
    <row r="44" spans="1:28" s="50" customFormat="1" ht="15.75" customHeight="1" thickTop="1" x14ac:dyDescent="0.25">
      <c r="A44" s="1140" t="s">
        <v>61</v>
      </c>
      <c r="B44" s="1140"/>
      <c r="C44" s="1140"/>
      <c r="D44" s="192"/>
      <c r="E44" s="121"/>
      <c r="F44" s="121"/>
      <c r="K44" s="123"/>
      <c r="L44" s="122"/>
      <c r="U44" s="124"/>
      <c r="V44" s="124"/>
      <c r="W44" s="125"/>
    </row>
    <row r="45" spans="1:28" s="127" customFormat="1" ht="18" customHeight="1" x14ac:dyDescent="0.25">
      <c r="A45" s="624">
        <v>1</v>
      </c>
      <c r="B45" s="1247"/>
      <c r="C45" s="1247"/>
      <c r="D45" s="1247"/>
      <c r="E45" s="1247"/>
      <c r="F45" s="1247"/>
      <c r="G45" s="1247"/>
      <c r="H45" s="1247"/>
      <c r="I45" s="1247"/>
      <c r="J45" s="1247"/>
      <c r="K45" s="1247"/>
      <c r="L45" s="1247"/>
      <c r="M45" s="1247"/>
      <c r="N45" s="1247"/>
      <c r="O45" s="1247"/>
      <c r="P45" s="1247"/>
      <c r="Q45" s="1247"/>
      <c r="R45" s="1247"/>
      <c r="S45" s="1247"/>
      <c r="T45" s="1247"/>
      <c r="U45" s="1247"/>
      <c r="V45" s="1247"/>
      <c r="W45" s="1247"/>
    </row>
    <row r="46" spans="1:28" s="127" customFormat="1" ht="18" customHeight="1" x14ac:dyDescent="0.25">
      <c r="A46" s="624">
        <v>2</v>
      </c>
      <c r="B46" s="1247"/>
      <c r="C46" s="1247"/>
      <c r="D46" s="1247"/>
      <c r="E46" s="1247"/>
      <c r="F46" s="1247"/>
      <c r="G46" s="1247"/>
      <c r="H46" s="1247"/>
      <c r="I46" s="1247"/>
      <c r="J46" s="1247"/>
      <c r="K46" s="1247"/>
      <c r="L46" s="1247"/>
      <c r="M46" s="1247"/>
      <c r="N46" s="1247"/>
      <c r="O46" s="1247"/>
      <c r="P46" s="1247"/>
      <c r="Q46" s="1247"/>
      <c r="R46" s="1247"/>
      <c r="S46" s="1247"/>
      <c r="T46" s="1247"/>
      <c r="U46" s="1247"/>
      <c r="V46" s="1247"/>
      <c r="W46" s="1247"/>
    </row>
    <row r="47" spans="1:28" s="127" customFormat="1" ht="18" customHeight="1" x14ac:dyDescent="0.25">
      <c r="A47" s="624">
        <v>3</v>
      </c>
      <c r="B47" s="1247"/>
      <c r="C47" s="1247"/>
      <c r="D47" s="1247"/>
      <c r="E47" s="1247"/>
      <c r="F47" s="1247"/>
      <c r="G47" s="1247"/>
      <c r="H47" s="1247"/>
      <c r="I47" s="1247"/>
      <c r="J47" s="1247"/>
      <c r="K47" s="1247"/>
      <c r="L47" s="1247"/>
      <c r="M47" s="1247"/>
      <c r="N47" s="1247"/>
      <c r="O47" s="1247"/>
      <c r="P47" s="1247"/>
      <c r="Q47" s="1247"/>
      <c r="R47" s="1247"/>
      <c r="S47" s="1247"/>
      <c r="T47" s="1247"/>
      <c r="U47" s="1247"/>
      <c r="V47" s="1247"/>
      <c r="W47" s="1247"/>
    </row>
    <row r="48" spans="1:28" s="50" customFormat="1" ht="19.5" customHeight="1" x14ac:dyDescent="0.25">
      <c r="A48" s="624">
        <v>4</v>
      </c>
      <c r="B48" s="1247"/>
      <c r="C48" s="1247"/>
      <c r="D48" s="1247"/>
      <c r="E48" s="1247"/>
      <c r="F48" s="1247"/>
      <c r="G48" s="1247"/>
      <c r="H48" s="1247"/>
      <c r="I48" s="1247"/>
      <c r="J48" s="1247"/>
      <c r="K48" s="1247"/>
      <c r="L48" s="1247"/>
      <c r="M48" s="1247"/>
      <c r="N48" s="1247"/>
      <c r="O48" s="1247"/>
      <c r="P48" s="1247"/>
      <c r="Q48" s="1247"/>
      <c r="R48" s="1247"/>
      <c r="S48" s="1247"/>
      <c r="T48" s="1247"/>
      <c r="U48" s="1247"/>
      <c r="V48" s="1247"/>
      <c r="W48" s="1247"/>
    </row>
  </sheetData>
  <sheetProtection insertRows="0"/>
  <mergeCells count="120">
    <mergeCell ref="A44:C44"/>
    <mergeCell ref="B45:W45"/>
    <mergeCell ref="C28:D28"/>
    <mergeCell ref="B47:W47"/>
    <mergeCell ref="I14:I15"/>
    <mergeCell ref="C39:F39"/>
    <mergeCell ref="M39:N39"/>
    <mergeCell ref="C40:F40"/>
    <mergeCell ref="M40:N40"/>
    <mergeCell ref="C41:F41"/>
    <mergeCell ref="M41:N41"/>
    <mergeCell ref="M31:N31"/>
    <mergeCell ref="C37:F37"/>
    <mergeCell ref="M37:N37"/>
    <mergeCell ref="C38:F38"/>
    <mergeCell ref="B46:W46"/>
    <mergeCell ref="M38:N38"/>
    <mergeCell ref="C34:F34"/>
    <mergeCell ref="M34:N34"/>
    <mergeCell ref="C35:F35"/>
    <mergeCell ref="M35:N35"/>
    <mergeCell ref="C31:F31"/>
    <mergeCell ref="C36:F36"/>
    <mergeCell ref="C30:F30"/>
    <mergeCell ref="M30:N30"/>
    <mergeCell ref="C32:E32"/>
    <mergeCell ref="F32:F33"/>
    <mergeCell ref="M32:N32"/>
    <mergeCell ref="C33:E33"/>
    <mergeCell ref="M33:N33"/>
    <mergeCell ref="M3:N3"/>
    <mergeCell ref="M11:N11"/>
    <mergeCell ref="C24:F24"/>
    <mergeCell ref="M24:N24"/>
    <mergeCell ref="C25:D25"/>
    <mergeCell ref="E25:F29"/>
    <mergeCell ref="M25:N25"/>
    <mergeCell ref="C26:D26"/>
    <mergeCell ref="M26:N26"/>
    <mergeCell ref="C27:D27"/>
    <mergeCell ref="M27:N27"/>
    <mergeCell ref="C29:D29"/>
    <mergeCell ref="M28:N28"/>
    <mergeCell ref="M29:N29"/>
    <mergeCell ref="C21:F21"/>
    <mergeCell ref="M21:N21"/>
    <mergeCell ref="C22:F22"/>
    <mergeCell ref="M22:N22"/>
    <mergeCell ref="C23:F23"/>
    <mergeCell ref="M23:N23"/>
    <mergeCell ref="C18:F18"/>
    <mergeCell ref="M18:N18"/>
    <mergeCell ref="B19:B20"/>
    <mergeCell ref="C19:F19"/>
    <mergeCell ref="M19:N19"/>
    <mergeCell ref="C20:F20"/>
    <mergeCell ref="M20:N20"/>
    <mergeCell ref="A11:C11"/>
    <mergeCell ref="D11:E11"/>
    <mergeCell ref="Q11:W11"/>
    <mergeCell ref="R14:R15"/>
    <mergeCell ref="M15:N15"/>
    <mergeCell ref="C16:F16"/>
    <mergeCell ref="M16:N16"/>
    <mergeCell ref="C17:F17"/>
    <mergeCell ref="M17:N17"/>
    <mergeCell ref="C14:F15"/>
    <mergeCell ref="J14:J15"/>
    <mergeCell ref="M14:N14"/>
    <mergeCell ref="V14:V15"/>
    <mergeCell ref="W14:W15"/>
    <mergeCell ref="I13:K13"/>
    <mergeCell ref="Q8:W9"/>
    <mergeCell ref="A9:C9"/>
    <mergeCell ref="D9:E9"/>
    <mergeCell ref="M9:N9"/>
    <mergeCell ref="F9:G9"/>
    <mergeCell ref="F8:G8"/>
    <mergeCell ref="A7:C7"/>
    <mergeCell ref="M13:O13"/>
    <mergeCell ref="Q13:S13"/>
    <mergeCell ref="F11:G11"/>
    <mergeCell ref="Q7:W7"/>
    <mergeCell ref="A8:C8"/>
    <mergeCell ref="D8:E8"/>
    <mergeCell ref="M8:N8"/>
    <mergeCell ref="F7:G7"/>
    <mergeCell ref="I9:L9"/>
    <mergeCell ref="I8:L8"/>
    <mergeCell ref="A10:C10"/>
    <mergeCell ref="D10:E10"/>
    <mergeCell ref="M10:N10"/>
    <mergeCell ref="Q10:W10"/>
    <mergeCell ref="F10:G10"/>
    <mergeCell ref="I11:L11"/>
    <mergeCell ref="I10:L10"/>
    <mergeCell ref="B48:W48"/>
    <mergeCell ref="L1:U1"/>
    <mergeCell ref="D7:E7"/>
    <mergeCell ref="A1:K1"/>
    <mergeCell ref="Q3:W3"/>
    <mergeCell ref="A4:C4"/>
    <mergeCell ref="D4:E4"/>
    <mergeCell ref="M4:N4"/>
    <mergeCell ref="Q4:W4"/>
    <mergeCell ref="F4:G4"/>
    <mergeCell ref="I7:L7"/>
    <mergeCell ref="I6:L6"/>
    <mergeCell ref="I5:L5"/>
    <mergeCell ref="F5:G5"/>
    <mergeCell ref="I4:L4"/>
    <mergeCell ref="A6:C6"/>
    <mergeCell ref="D6:E6"/>
    <mergeCell ref="M6:N6"/>
    <mergeCell ref="Q6:W6"/>
    <mergeCell ref="A5:C5"/>
    <mergeCell ref="D5:E5"/>
    <mergeCell ref="M5:N5"/>
    <mergeCell ref="Q5:W5"/>
    <mergeCell ref="F6:G6"/>
  </mergeCells>
  <conditionalFormatting sqref="E25">
    <cfRule type="cellIs" dxfId="72" priority="1" operator="notEqual">
      <formula>"GC 76000 PA ($" &amp;O11 &amp;" for every 10) breakdown per local board of supervisor resolution (BOS)."</formula>
    </cfRule>
  </conditionalFormatting>
  <conditionalFormatting sqref="I16:I18">
    <cfRule type="cellIs" dxfId="71" priority="13" stopIfTrue="1" operator="equal">
      <formula>0</formula>
    </cfRule>
  </conditionalFormatting>
  <conditionalFormatting sqref="I18:K30 J31:K31 I32:K35 J36:K41">
    <cfRule type="cellIs" dxfId="70" priority="10" operator="equal">
      <formula>0</formula>
    </cfRule>
  </conditionalFormatting>
  <conditionalFormatting sqref="M16:O41">
    <cfRule type="expression" dxfId="69" priority="11">
      <formula>MOD(ROW(),2)=0</formula>
    </cfRule>
  </conditionalFormatting>
  <conditionalFormatting sqref="Q16:S41">
    <cfRule type="cellIs" dxfId="68" priority="15" stopIfTrue="1" operator="equal">
      <formula>0</formula>
    </cfRule>
  </conditionalFormatting>
  <conditionalFormatting sqref="U12:V13 U44:V44 U49:V65532">
    <cfRule type="cellIs" dxfId="67" priority="14" stopIfTrue="1" operator="notEqual">
      <formula>0</formula>
    </cfRule>
  </conditionalFormatting>
  <conditionalFormatting sqref="V19:V41">
    <cfRule type="cellIs" dxfId="66" priority="2" operator="greaterThan">
      <formula>0</formula>
    </cfRule>
  </conditionalFormatting>
  <dataValidations count="1">
    <dataValidation type="list" allowBlank="1" showInputMessage="1" showErrorMessage="1" sqref="U15" xr:uid="{00000000-0002-0000-2000-000000000000}">
      <formula1>Distribution_Method</formula1>
    </dataValidation>
  </dataValidations>
  <printOptions horizontalCentered="1"/>
  <pageMargins left="0.25" right="0.25" top="0.75" bottom="0.5" header="0.25" footer="0.25"/>
  <pageSetup scale="67" orientation="landscape" r:id="rId1"/>
  <headerFooter alignWithMargins="0">
    <oddHeader>&amp;CSUPERIOR OF COURT OF _________ COUNTY
Revenue Calculation and Distribution Worksheet</oddHeader>
    <oddFooter>&amp;L&amp;F&amp;R&amp;P of &amp;N</oddFooter>
  </headerFooter>
  <ignoredErrors>
    <ignoredError sqref="Q31 U35 S35 J31 K35"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76129" r:id="rId4" name="Button 1">
              <controlPr defaultSize="0" print="0" autoFill="0" autoPict="0" macro="mcr_GoToSummary">
                <anchor moveWithCells="1">
                  <from>
                    <xdr:col>0</xdr:col>
                    <xdr:colOff>88900</xdr:colOff>
                    <xdr:row>0</xdr:row>
                    <xdr:rowOff>0</xdr:rowOff>
                  </from>
                  <to>
                    <xdr:col>3</xdr:col>
                    <xdr:colOff>127000</xdr:colOff>
                    <xdr:row>1</xdr:row>
                    <xdr:rowOff>31750</xdr:rowOff>
                  </to>
                </anchor>
              </controlPr>
            </control>
          </mc:Choice>
        </mc:AlternateContent>
        <mc:AlternateContent xmlns:mc="http://schemas.openxmlformats.org/markup-compatibility/2006">
          <mc:Choice Requires="x14">
            <control shapeId="176130" r:id="rId5" name="Button 2">
              <controlPr defaultSize="0" print="0" autoFill="0" autoPict="0" macro="[0]!mcrDisableTwoPercentUnprotect">
                <anchor moveWithCells="1">
                  <from>
                    <xdr:col>0</xdr:col>
                    <xdr:colOff>12700</xdr:colOff>
                    <xdr:row>13</xdr:row>
                    <xdr:rowOff>527050</xdr:rowOff>
                  </from>
                  <to>
                    <xdr:col>0</xdr:col>
                    <xdr:colOff>279400</xdr:colOff>
                    <xdr:row>14</xdr:row>
                    <xdr:rowOff>222250</xdr:rowOff>
                  </to>
                </anchor>
              </controlPr>
            </control>
          </mc:Choice>
        </mc:AlternateContent>
        <mc:AlternateContent xmlns:mc="http://schemas.openxmlformats.org/markup-compatibility/2006">
          <mc:Choice Requires="x14">
            <control shapeId="176131" r:id="rId6" name="Button 3">
              <controlPr defaultSize="0" print="0" autoFill="0" autoPict="0" macro="[0]!mcrEnableTwoPercentUnprotect">
                <anchor moveWithCells="1">
                  <from>
                    <xdr:col>0</xdr:col>
                    <xdr:colOff>0</xdr:colOff>
                    <xdr:row>13</xdr:row>
                    <xdr:rowOff>222250</xdr:rowOff>
                  </from>
                  <to>
                    <xdr:col>0</xdr:col>
                    <xdr:colOff>266700</xdr:colOff>
                    <xdr:row>13</xdr:row>
                    <xdr:rowOff>552450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5">
    <tabColor theme="6"/>
    <pageSetUpPr fitToPage="1"/>
  </sheetPr>
  <dimension ref="A1:AB48"/>
  <sheetViews>
    <sheetView zoomScale="80" zoomScaleNormal="80" workbookViewId="0">
      <pane ySplit="1" topLeftCell="A2" activePane="bottomLeft" state="frozen"/>
      <selection pane="bottomLeft" sqref="A1:K1"/>
    </sheetView>
  </sheetViews>
  <sheetFormatPr defaultColWidth="9.1796875" defaultRowHeight="18.5" x14ac:dyDescent="0.25"/>
  <cols>
    <col min="1" max="1" width="4.26953125" style="87" customWidth="1"/>
    <col min="2" max="2" width="4.7265625" style="87" customWidth="1"/>
    <col min="3" max="3" width="17.453125" style="87" customWidth="1"/>
    <col min="4" max="4" width="12" style="87" customWidth="1"/>
    <col min="5" max="5" width="10" style="88" customWidth="1"/>
    <col min="6" max="6" width="16" style="121" customWidth="1"/>
    <col min="7" max="7" width="9.1796875" style="46" customWidth="1"/>
    <col min="8" max="8" width="29.453125" style="46" hidden="1" customWidth="1"/>
    <col min="9" max="9" width="8.1796875" style="46" customWidth="1"/>
    <col min="10" max="10" width="6" style="46" customWidth="1"/>
    <col min="11" max="11" width="11.1796875" style="92" customWidth="1"/>
    <col min="12" max="12" width="1.7265625" style="89" customWidth="1"/>
    <col min="13" max="13" width="15.26953125" style="46" customWidth="1"/>
    <col min="14" max="14" width="1.54296875" style="46" customWidth="1"/>
    <col min="15" max="15" width="11" style="46" customWidth="1"/>
    <col min="16" max="16" width="1.81640625" style="89" customWidth="1"/>
    <col min="17" max="17" width="10.81640625" style="89" customWidth="1"/>
    <col min="18" max="18" width="5.7265625" style="89" customWidth="1"/>
    <col min="19" max="19" width="10.7265625" style="89" customWidth="1"/>
    <col min="20" max="20" width="1.81640625" style="50" customWidth="1"/>
    <col min="21" max="21" width="12.453125" style="90" customWidth="1"/>
    <col min="22" max="22" width="5.26953125" style="90" customWidth="1"/>
    <col min="23" max="23" width="18.54296875" style="91" customWidth="1"/>
    <col min="24" max="24" width="2.1796875" style="50" customWidth="1"/>
    <col min="25" max="25" width="11.26953125" style="50" customWidth="1"/>
    <col min="26" max="26" width="11.1796875" style="50" customWidth="1"/>
    <col min="27" max="28" width="9.1796875" style="50"/>
    <col min="29" max="16384" width="9.1796875" style="46"/>
  </cols>
  <sheetData>
    <row r="1" spans="1:28" ht="20.25" customHeight="1" thickBot="1" x14ac:dyDescent="0.3">
      <c r="A1" s="1081" t="s">
        <v>386</v>
      </c>
      <c r="B1" s="1082"/>
      <c r="C1" s="1082"/>
      <c r="D1" s="1082"/>
      <c r="E1" s="1082"/>
      <c r="F1" s="1082"/>
      <c r="G1" s="1082"/>
      <c r="H1" s="1082"/>
      <c r="I1" s="1082"/>
      <c r="J1" s="1082"/>
      <c r="K1" s="1082"/>
      <c r="L1" s="1079"/>
      <c r="M1" s="1079"/>
      <c r="N1" s="1079"/>
      <c r="O1" s="1079"/>
      <c r="P1" s="1079"/>
      <c r="Q1" s="1079"/>
      <c r="R1" s="1079"/>
      <c r="S1" s="1079"/>
      <c r="T1" s="1079"/>
      <c r="U1" s="1079"/>
      <c r="V1" s="592" t="s">
        <v>485</v>
      </c>
      <c r="W1" s="612" t="str">
        <f>'Cover Page'!A3</f>
        <v>January 2014</v>
      </c>
    </row>
    <row r="2" spans="1:28" s="50" customFormat="1" ht="6" customHeight="1" thickBot="1" x14ac:dyDescent="0.3">
      <c r="A2" s="47"/>
      <c r="B2" s="47"/>
      <c r="C2" s="47"/>
      <c r="D2" s="47"/>
      <c r="E2" s="47"/>
      <c r="F2" s="47"/>
      <c r="G2" s="47"/>
      <c r="H2" s="47"/>
      <c r="I2" s="47"/>
      <c r="J2" s="48"/>
      <c r="K2" s="48"/>
      <c r="L2" s="48"/>
      <c r="M2" s="48"/>
      <c r="N2" s="48"/>
      <c r="O2" s="49"/>
      <c r="P2" s="49"/>
      <c r="Q2" s="49"/>
      <c r="R2" s="49"/>
      <c r="S2" s="49"/>
      <c r="T2" s="49"/>
      <c r="U2" s="49"/>
      <c r="V2" s="49"/>
      <c r="W2" s="49"/>
    </row>
    <row r="3" spans="1:28" s="50" customFormat="1" ht="19" thickBot="1" x14ac:dyDescent="0.3">
      <c r="A3" s="630" t="s">
        <v>234</v>
      </c>
      <c r="B3" s="631"/>
      <c r="C3" s="631"/>
      <c r="D3" s="631"/>
      <c r="E3" s="631"/>
      <c r="F3" s="631"/>
      <c r="G3" s="631"/>
      <c r="H3" s="631"/>
      <c r="I3" s="631"/>
      <c r="J3" s="631"/>
      <c r="K3" s="631"/>
      <c r="L3" s="631"/>
      <c r="M3" s="1221"/>
      <c r="N3" s="1245"/>
      <c r="O3" s="638"/>
      <c r="P3" s="159"/>
      <c r="Q3" s="901" t="s">
        <v>261</v>
      </c>
      <c r="R3" s="902"/>
      <c r="S3" s="902"/>
      <c r="T3" s="902"/>
      <c r="U3" s="902"/>
      <c r="V3" s="902"/>
      <c r="W3" s="903"/>
      <c r="Y3" s="159" t="s">
        <v>250</v>
      </c>
      <c r="Z3" s="120"/>
    </row>
    <row r="4" spans="1:28" s="53" customFormat="1" ht="15.5" x14ac:dyDescent="0.25">
      <c r="A4" s="904" t="s">
        <v>231</v>
      </c>
      <c r="B4" s="905"/>
      <c r="C4" s="905"/>
      <c r="D4" s="906">
        <f>L1</f>
        <v>0</v>
      </c>
      <c r="E4" s="907"/>
      <c r="F4" s="877" t="s">
        <v>28</v>
      </c>
      <c r="G4" s="878"/>
      <c r="H4" s="169"/>
      <c r="I4" s="879" t="s">
        <v>387</v>
      </c>
      <c r="J4" s="879"/>
      <c r="K4" s="879"/>
      <c r="L4" s="880"/>
      <c r="M4" s="910" t="s">
        <v>257</v>
      </c>
      <c r="N4" s="910"/>
      <c r="O4" s="191"/>
      <c r="P4" s="95"/>
      <c r="Q4" s="911" t="s">
        <v>236</v>
      </c>
      <c r="R4" s="912"/>
      <c r="S4" s="912"/>
      <c r="T4" s="912"/>
      <c r="U4" s="912"/>
      <c r="V4" s="912"/>
      <c r="W4" s="913"/>
      <c r="Y4" s="243" t="s">
        <v>308</v>
      </c>
      <c r="Z4" s="241" t="s">
        <v>309</v>
      </c>
      <c r="AA4" s="241" t="s">
        <v>310</v>
      </c>
    </row>
    <row r="5" spans="1:28" s="53" customFormat="1" ht="15.5" x14ac:dyDescent="0.25">
      <c r="A5" s="882" t="s">
        <v>4</v>
      </c>
      <c r="B5" s="883"/>
      <c r="C5" s="883"/>
      <c r="D5" s="894"/>
      <c r="E5" s="885"/>
      <c r="F5" s="844" t="s">
        <v>244</v>
      </c>
      <c r="G5" s="845"/>
      <c r="H5" s="167"/>
      <c r="I5" s="846" t="s">
        <v>388</v>
      </c>
      <c r="J5" s="846"/>
      <c r="K5" s="846"/>
      <c r="L5" s="847"/>
      <c r="M5" s="872" t="s">
        <v>22</v>
      </c>
      <c r="N5" s="872"/>
      <c r="O5" s="54"/>
      <c r="P5" s="95"/>
      <c r="Q5" s="897" t="s">
        <v>302</v>
      </c>
      <c r="R5" s="898"/>
      <c r="S5" s="898"/>
      <c r="T5" s="898"/>
      <c r="U5" s="898"/>
      <c r="V5" s="898"/>
      <c r="W5" s="899"/>
      <c r="Y5" s="157" t="s">
        <v>31</v>
      </c>
      <c r="Z5" s="161">
        <f>SUMIF($G$16:$G$41,"STATE",$K$16:$K$41)</f>
        <v>79</v>
      </c>
      <c r="AA5" s="161">
        <f>SUMIF($G$16:$G$41,"STATE",$S$16:$S$41)</f>
        <v>0</v>
      </c>
    </row>
    <row r="6" spans="1:28" s="53" customFormat="1" ht="16" thickBot="1" x14ac:dyDescent="0.3">
      <c r="A6" s="882" t="s">
        <v>12</v>
      </c>
      <c r="B6" s="883"/>
      <c r="C6" s="883"/>
      <c r="D6" s="894"/>
      <c r="E6" s="900"/>
      <c r="F6" s="844" t="s">
        <v>20</v>
      </c>
      <c r="G6" s="845"/>
      <c r="H6" s="167"/>
      <c r="I6" s="846" t="s">
        <v>389</v>
      </c>
      <c r="J6" s="846"/>
      <c r="K6" s="846"/>
      <c r="L6" s="847"/>
      <c r="M6" s="848" t="s">
        <v>233</v>
      </c>
      <c r="N6" s="848"/>
      <c r="O6" s="194">
        <f>O4+O5*10</f>
        <v>0</v>
      </c>
      <c r="P6" s="95"/>
      <c r="Q6" s="891" t="s">
        <v>573</v>
      </c>
      <c r="R6" s="892"/>
      <c r="S6" s="892"/>
      <c r="T6" s="892"/>
      <c r="U6" s="892"/>
      <c r="V6" s="892"/>
      <c r="W6" s="893"/>
      <c r="Y6" s="157" t="s">
        <v>32</v>
      </c>
      <c r="Z6" s="161">
        <f>SUMIF($G$16:$G$41,"COUNTY",$K$16:$K$41)</f>
        <v>0</v>
      </c>
      <c r="AA6" s="161">
        <f>SUMIF($G$16:$G$41,"COUNTY",$S$16:$S$41)</f>
        <v>0</v>
      </c>
    </row>
    <row r="7" spans="1:28" s="53" customFormat="1" ht="16" thickBot="1" x14ac:dyDescent="0.3">
      <c r="A7" s="882" t="s">
        <v>5</v>
      </c>
      <c r="B7" s="883"/>
      <c r="C7" s="883"/>
      <c r="D7" s="884"/>
      <c r="E7" s="885"/>
      <c r="F7" s="856" t="s">
        <v>21</v>
      </c>
      <c r="G7" s="857"/>
      <c r="H7" s="168"/>
      <c r="I7" s="858" t="s">
        <v>3</v>
      </c>
      <c r="J7" s="858"/>
      <c r="K7" s="858"/>
      <c r="L7" s="859"/>
      <c r="M7" s="216"/>
      <c r="N7" s="220"/>
      <c r="O7" s="217"/>
      <c r="P7" s="95"/>
      <c r="Q7" s="888" t="s">
        <v>235</v>
      </c>
      <c r="R7" s="889"/>
      <c r="S7" s="889"/>
      <c r="T7" s="889"/>
      <c r="U7" s="889"/>
      <c r="V7" s="889"/>
      <c r="W7" s="890"/>
      <c r="Y7" s="157" t="s">
        <v>52</v>
      </c>
      <c r="Z7" s="161">
        <f>SUMIF($G$16:$G$41,"CITY",$K$16:$K$41)</f>
        <v>0</v>
      </c>
      <c r="AA7" s="161">
        <f>SUMIF($G$16:$G$41,"CITY",$S$16:$S$41)</f>
        <v>0</v>
      </c>
    </row>
    <row r="8" spans="1:28" s="53" customFormat="1" ht="15.75" customHeight="1" x14ac:dyDescent="0.25">
      <c r="A8" s="873" t="s">
        <v>434</v>
      </c>
      <c r="B8" s="874"/>
      <c r="C8" s="874"/>
      <c r="D8" s="884" t="s">
        <v>437</v>
      </c>
      <c r="E8" s="885"/>
      <c r="F8" s="877" t="s">
        <v>382</v>
      </c>
      <c r="G8" s="878"/>
      <c r="H8" s="169"/>
      <c r="I8" s="879"/>
      <c r="J8" s="879"/>
      <c r="K8" s="879"/>
      <c r="L8" s="880"/>
      <c r="M8" s="881" t="s">
        <v>257</v>
      </c>
      <c r="N8" s="881"/>
      <c r="O8" s="51">
        <v>0</v>
      </c>
      <c r="P8" s="138"/>
      <c r="Q8" s="862" t="s">
        <v>303</v>
      </c>
      <c r="R8" s="863"/>
      <c r="S8" s="863"/>
      <c r="T8" s="863"/>
      <c r="U8" s="863"/>
      <c r="V8" s="863"/>
      <c r="W8" s="864"/>
      <c r="Y8" s="157" t="s">
        <v>230</v>
      </c>
      <c r="Z8" s="161">
        <f>SUMIF($G$16:$G$41,"COURT",$K$16:$K$41)</f>
        <v>0</v>
      </c>
      <c r="AA8" s="161">
        <f>SUMIF($G$16:$G$41,"COURT",$S$16:$S$41)</f>
        <v>0</v>
      </c>
    </row>
    <row r="9" spans="1:28" s="53" customFormat="1" ht="18" customHeight="1" thickBot="1" x14ac:dyDescent="0.3">
      <c r="A9" s="868" t="s">
        <v>435</v>
      </c>
      <c r="B9" s="869"/>
      <c r="C9" s="869"/>
      <c r="D9" s="884" t="s">
        <v>436</v>
      </c>
      <c r="E9" s="885"/>
      <c r="F9" s="844" t="s">
        <v>244</v>
      </c>
      <c r="G9" s="845"/>
      <c r="H9" s="167"/>
      <c r="I9" s="846"/>
      <c r="J9" s="846"/>
      <c r="K9" s="846"/>
      <c r="L9" s="847"/>
      <c r="M9" s="872" t="s">
        <v>22</v>
      </c>
      <c r="N9" s="872"/>
      <c r="O9" s="54"/>
      <c r="P9" s="138"/>
      <c r="Q9" s="865"/>
      <c r="R9" s="866"/>
      <c r="S9" s="866"/>
      <c r="T9" s="866"/>
      <c r="U9" s="866"/>
      <c r="V9" s="866"/>
      <c r="W9" s="867"/>
      <c r="Y9" s="84" t="s">
        <v>446</v>
      </c>
      <c r="Z9" s="161">
        <f>SUMIF($G$16:$G$41,"CNTY or CTY",$K$16:$K$41)</f>
        <v>0</v>
      </c>
      <c r="AA9" s="161">
        <f>SUMIF($G$16:$G$41,"CNTY or CTY",$S$16:$S$41)</f>
        <v>0</v>
      </c>
    </row>
    <row r="10" spans="1:28" s="53" customFormat="1" ht="16.5" customHeight="1" thickBot="1" x14ac:dyDescent="0.3">
      <c r="A10" s="840" t="s">
        <v>276</v>
      </c>
      <c r="B10" s="841"/>
      <c r="C10" s="841"/>
      <c r="D10" s="1066">
        <f>O6+O10</f>
        <v>0</v>
      </c>
      <c r="E10" s="1067"/>
      <c r="F10" s="844" t="s">
        <v>20</v>
      </c>
      <c r="G10" s="845"/>
      <c r="H10" s="167"/>
      <c r="I10" s="846"/>
      <c r="J10" s="846"/>
      <c r="K10" s="846"/>
      <c r="L10" s="847"/>
      <c r="M10" s="848" t="s">
        <v>233</v>
      </c>
      <c r="N10" s="848"/>
      <c r="O10" s="194">
        <f>O8+O9*10</f>
        <v>0</v>
      </c>
      <c r="P10" s="218"/>
      <c r="Q10" s="849" t="s">
        <v>239</v>
      </c>
      <c r="R10" s="850"/>
      <c r="S10" s="850"/>
      <c r="T10" s="850"/>
      <c r="U10" s="850"/>
      <c r="V10" s="850"/>
      <c r="W10" s="851"/>
      <c r="Y10" s="158" t="s">
        <v>246</v>
      </c>
      <c r="Z10" s="134">
        <f>SUM(Z5:Z9)</f>
        <v>79</v>
      </c>
      <c r="AA10" s="134">
        <f>SUM(AA5:AA9)</f>
        <v>0</v>
      </c>
    </row>
    <row r="11" spans="1:28" s="53" customFormat="1" ht="16.5" customHeight="1" thickBot="1" x14ac:dyDescent="0.3">
      <c r="A11" s="852" t="s">
        <v>277</v>
      </c>
      <c r="B11" s="853"/>
      <c r="C11" s="853"/>
      <c r="D11" s="854">
        <f>ROUNDUP(D10/10,0)</f>
        <v>0</v>
      </c>
      <c r="E11" s="855"/>
      <c r="F11" s="856" t="s">
        <v>21</v>
      </c>
      <c r="G11" s="857"/>
      <c r="H11" s="168"/>
      <c r="I11" s="858"/>
      <c r="J11" s="858"/>
      <c r="K11" s="858"/>
      <c r="L11" s="859"/>
      <c r="M11" s="860" t="s">
        <v>568</v>
      </c>
      <c r="N11" s="861"/>
      <c r="O11" s="632">
        <f>'1-DUI (Reduce Base)'!P11</f>
        <v>5</v>
      </c>
      <c r="P11" s="218"/>
      <c r="Q11" s="837" t="s">
        <v>430</v>
      </c>
      <c r="R11" s="838"/>
      <c r="S11" s="838"/>
      <c r="T11" s="838"/>
      <c r="U11" s="838"/>
      <c r="V11" s="838"/>
      <c r="W11" s="839"/>
      <c r="Z11" s="242">
        <f>Z10-K43</f>
        <v>0</v>
      </c>
      <c r="AA11" s="242">
        <f>AA10-S43</f>
        <v>0</v>
      </c>
    </row>
    <row r="12" spans="1:28" s="53" customFormat="1" ht="15.75" customHeight="1" thickBot="1" x14ac:dyDescent="0.3">
      <c r="A12" s="193"/>
      <c r="B12" s="193"/>
      <c r="C12" s="173"/>
      <c r="D12" s="173"/>
      <c r="E12" s="173"/>
      <c r="F12" s="60"/>
      <c r="G12" s="55"/>
      <c r="H12" s="56"/>
      <c r="I12" s="57"/>
      <c r="J12" s="57"/>
      <c r="K12" s="57"/>
      <c r="L12" s="57"/>
      <c r="O12" s="52"/>
      <c r="P12" s="52"/>
      <c r="Q12" s="52"/>
      <c r="R12" s="52"/>
      <c r="S12" s="52"/>
      <c r="T12" s="52"/>
      <c r="U12" s="58"/>
      <c r="V12" s="58"/>
      <c r="W12" s="56"/>
      <c r="AA12" s="59"/>
    </row>
    <row r="13" spans="1:28" s="98" customFormat="1" ht="18.75" customHeight="1" thickBot="1" x14ac:dyDescent="0.3">
      <c r="A13" s="174"/>
      <c r="B13" s="174"/>
      <c r="C13" s="174"/>
      <c r="D13" s="174"/>
      <c r="E13" s="174"/>
      <c r="F13" s="96"/>
      <c r="G13" s="97"/>
      <c r="I13" s="821" t="s">
        <v>297</v>
      </c>
      <c r="J13" s="822"/>
      <c r="K13" s="823"/>
      <c r="L13" s="99"/>
      <c r="M13" s="1155" t="s">
        <v>229</v>
      </c>
      <c r="N13" s="1156"/>
      <c r="O13" s="1157"/>
      <c r="P13" s="100"/>
      <c r="Q13" s="824" t="s">
        <v>295</v>
      </c>
      <c r="R13" s="825"/>
      <c r="S13" s="826"/>
      <c r="T13" s="207"/>
      <c r="U13" s="143"/>
      <c r="V13" s="143"/>
      <c r="W13" s="144"/>
      <c r="X13" s="97"/>
      <c r="Y13" s="97"/>
      <c r="Z13" s="97"/>
      <c r="AA13" s="97"/>
      <c r="AB13" s="97"/>
    </row>
    <row r="14" spans="1:28" ht="44.25" customHeight="1" thickBot="1" x14ac:dyDescent="0.3">
      <c r="A14" s="101">
        <v>0.02</v>
      </c>
      <c r="B14" s="101" t="s">
        <v>58</v>
      </c>
      <c r="C14" s="827" t="s">
        <v>226</v>
      </c>
      <c r="D14" s="828"/>
      <c r="E14" s="828"/>
      <c r="F14" s="829"/>
      <c r="G14" s="102" t="s">
        <v>249</v>
      </c>
      <c r="H14" s="103" t="s">
        <v>0</v>
      </c>
      <c r="I14" s="833" t="s">
        <v>298</v>
      </c>
      <c r="J14" s="835" t="s">
        <v>6</v>
      </c>
      <c r="K14" s="215" t="s">
        <v>299</v>
      </c>
      <c r="L14" s="61"/>
      <c r="M14" s="1122" t="s">
        <v>260</v>
      </c>
      <c r="N14" s="1123"/>
      <c r="O14" s="109" t="s">
        <v>248</v>
      </c>
      <c r="P14" s="110"/>
      <c r="Q14" s="564" t="s">
        <v>428</v>
      </c>
      <c r="R14" s="835" t="s">
        <v>6</v>
      </c>
      <c r="S14" s="215" t="s">
        <v>299</v>
      </c>
      <c r="T14" s="209"/>
      <c r="U14" s="189" t="s">
        <v>256</v>
      </c>
      <c r="V14" s="1148" t="s">
        <v>61</v>
      </c>
      <c r="W14" s="1150" t="s">
        <v>384</v>
      </c>
    </row>
    <row r="15" spans="1:28" ht="30.75" customHeight="1" thickBot="1" x14ac:dyDescent="0.3">
      <c r="A15" s="104"/>
      <c r="B15" s="104"/>
      <c r="C15" s="830"/>
      <c r="D15" s="831"/>
      <c r="E15" s="831"/>
      <c r="F15" s="832"/>
      <c r="G15" s="105"/>
      <c r="H15" s="105"/>
      <c r="I15" s="834"/>
      <c r="J15" s="836"/>
      <c r="K15" s="222" t="s">
        <v>42</v>
      </c>
      <c r="L15" s="62"/>
      <c r="M15" s="1120"/>
      <c r="N15" s="1121"/>
      <c r="O15" s="261" t="s">
        <v>43</v>
      </c>
      <c r="P15" s="110"/>
      <c r="Q15" s="224" t="e">
        <f>(Q35-Q31)/(I35-I31)</f>
        <v>#DIV/0!</v>
      </c>
      <c r="R15" s="836"/>
      <c r="S15" s="222" t="s">
        <v>44</v>
      </c>
      <c r="T15" s="209"/>
      <c r="U15" s="262" t="s">
        <v>300</v>
      </c>
      <c r="V15" s="1149"/>
      <c r="W15" s="1151"/>
    </row>
    <row r="16" spans="1:28" s="68" customFormat="1" ht="15.75" hidden="1" customHeight="1" thickTop="1" x14ac:dyDescent="0.25">
      <c r="A16" s="63" t="s">
        <v>8</v>
      </c>
      <c r="B16" s="177"/>
      <c r="C16" s="1105"/>
      <c r="D16" s="1105"/>
      <c r="E16" s="1105"/>
      <c r="F16" s="1105"/>
      <c r="G16" s="64"/>
      <c r="H16" s="65"/>
      <c r="I16" s="139"/>
      <c r="J16" s="147"/>
      <c r="K16" s="180"/>
      <c r="L16" s="149"/>
      <c r="M16" s="1135"/>
      <c r="N16" s="1136"/>
      <c r="O16" s="172"/>
      <c r="P16" s="66"/>
      <c r="Q16" s="145"/>
      <c r="R16" s="147"/>
      <c r="S16" s="151"/>
      <c r="T16" s="210"/>
      <c r="U16" s="145"/>
      <c r="V16" s="145"/>
      <c r="W16" s="94"/>
      <c r="X16" s="114"/>
      <c r="Y16" s="114"/>
      <c r="Z16" s="114"/>
      <c r="AA16" s="114"/>
      <c r="AB16" s="114"/>
    </row>
    <row r="17" spans="1:28" s="68" customFormat="1" ht="15.75" hidden="1" customHeight="1" thickBot="1" x14ac:dyDescent="0.3">
      <c r="A17" s="63" t="s">
        <v>8</v>
      </c>
      <c r="B17" s="238"/>
      <c r="C17" s="804"/>
      <c r="D17" s="805"/>
      <c r="E17" s="805"/>
      <c r="F17" s="945"/>
      <c r="G17" s="70"/>
      <c r="H17" s="71"/>
      <c r="I17" s="141"/>
      <c r="J17" s="147"/>
      <c r="K17" s="152"/>
      <c r="L17" s="149"/>
      <c r="M17" s="804"/>
      <c r="N17" s="1078"/>
      <c r="O17" s="252"/>
      <c r="P17" s="66"/>
      <c r="Q17" s="145"/>
      <c r="R17" s="147"/>
      <c r="S17" s="152"/>
      <c r="T17" s="210"/>
      <c r="U17" s="145"/>
      <c r="V17" s="145"/>
      <c r="W17" s="67"/>
      <c r="X17" s="114"/>
      <c r="Y17" s="114"/>
      <c r="Z17" s="114"/>
      <c r="AA17" s="114"/>
      <c r="AB17" s="114"/>
    </row>
    <row r="18" spans="1:28" s="68" customFormat="1" ht="15.75" customHeight="1" thickTop="1" x14ac:dyDescent="0.25">
      <c r="A18" s="63" t="s">
        <v>8</v>
      </c>
      <c r="B18" s="1249" t="s">
        <v>241</v>
      </c>
      <c r="C18" s="1105" t="s">
        <v>438</v>
      </c>
      <c r="D18" s="1105"/>
      <c r="E18" s="1105"/>
      <c r="F18" s="1105"/>
      <c r="G18" s="572" t="str">
        <f>IF(AND($D$9="Yes",$D$8="NA-City Arrest"), "CITY","COUNTY")</f>
        <v>COUNTY</v>
      </c>
      <c r="H18" s="71" t="s">
        <v>318</v>
      </c>
      <c r="I18" s="141">
        <f>$D$10*60%</f>
        <v>0</v>
      </c>
      <c r="J18" s="147">
        <f>IF(A18="Y",I18* 2%,0)</f>
        <v>0</v>
      </c>
      <c r="K18" s="152">
        <f>I18-J18</f>
        <v>0</v>
      </c>
      <c r="L18" s="149"/>
      <c r="M18" s="804"/>
      <c r="N18" s="1078"/>
      <c r="O18" s="172"/>
      <c r="P18" s="66"/>
      <c r="Q18" s="145">
        <f t="shared" ref="Q18:Q30" si="0">IF($Q$43=0,,I18*$Q$15)</f>
        <v>0</v>
      </c>
      <c r="R18" s="147">
        <f t="shared" ref="R18:R34" si="1">IF(A18="Y", Q18*2%,)</f>
        <v>0</v>
      </c>
      <c r="S18" s="152">
        <f t="shared" ref="S18:S40" si="2">Q18-R18</f>
        <v>0</v>
      </c>
      <c r="T18" s="210"/>
      <c r="U18" s="145">
        <f t="shared" ref="U18:U34" si="3">IF($U$15="BASE-UP   (B-A)", O18-K18,O18-S18)</f>
        <v>0</v>
      </c>
      <c r="V18" s="548"/>
      <c r="W18" s="455"/>
      <c r="X18" s="114"/>
      <c r="Y18" s="114"/>
      <c r="Z18" s="114"/>
      <c r="AA18" s="114"/>
      <c r="AB18" s="114"/>
    </row>
    <row r="19" spans="1:28" s="68" customFormat="1" ht="15.75" customHeight="1" x14ac:dyDescent="0.25">
      <c r="A19" s="63" t="s">
        <v>8</v>
      </c>
      <c r="B19" s="1249"/>
      <c r="C19" s="1105" t="s">
        <v>439</v>
      </c>
      <c r="D19" s="1105"/>
      <c r="E19" s="1105"/>
      <c r="F19" s="1105"/>
      <c r="G19" s="572" t="str">
        <f>IF(AND($D$9="Yes",$D$8="NA-City Arrest"), "CITY","COUNTY")</f>
        <v>COUNTY</v>
      </c>
      <c r="H19" s="71" t="s">
        <v>318</v>
      </c>
      <c r="I19" s="141">
        <f>$D$10*25%</f>
        <v>0</v>
      </c>
      <c r="J19" s="147">
        <f>IF(A19="Y",I19* 2%,0)</f>
        <v>0</v>
      </c>
      <c r="K19" s="152">
        <f>I19-J19</f>
        <v>0</v>
      </c>
      <c r="L19" s="149"/>
      <c r="M19" s="804"/>
      <c r="N19" s="1078"/>
      <c r="O19" s="72"/>
      <c r="P19" s="66"/>
      <c r="Q19" s="145">
        <f t="shared" si="0"/>
        <v>0</v>
      </c>
      <c r="R19" s="147">
        <f t="shared" si="1"/>
        <v>0</v>
      </c>
      <c r="S19" s="152">
        <f t="shared" si="2"/>
        <v>0</v>
      </c>
      <c r="T19" s="210"/>
      <c r="U19" s="145">
        <f t="shared" si="3"/>
        <v>0</v>
      </c>
      <c r="V19" s="548"/>
      <c r="W19" s="455"/>
      <c r="X19" s="114"/>
      <c r="Y19" s="114"/>
      <c r="Z19" s="114"/>
      <c r="AA19" s="114"/>
      <c r="AB19" s="114"/>
    </row>
    <row r="20" spans="1:28" s="68" customFormat="1" ht="15.75" customHeight="1" x14ac:dyDescent="0.25">
      <c r="A20" s="63" t="s">
        <v>8</v>
      </c>
      <c r="B20" s="820"/>
      <c r="C20" s="1105" t="s">
        <v>440</v>
      </c>
      <c r="D20" s="1105"/>
      <c r="E20" s="1105"/>
      <c r="F20" s="1105"/>
      <c r="G20" s="572" t="str">
        <f>IF($D$8="Yes", "COUNTY", "CITY")</f>
        <v>CITY</v>
      </c>
      <c r="H20" s="71" t="s">
        <v>318</v>
      </c>
      <c r="I20" s="141">
        <f>$D$10*15%</f>
        <v>0</v>
      </c>
      <c r="J20" s="147">
        <f t="shared" ref="J20:J34" si="4">IF(A20="Y",I20* 2%,0)</f>
        <v>0</v>
      </c>
      <c r="K20" s="152">
        <f t="shared" ref="K20:K33" si="5">I20-J20</f>
        <v>0</v>
      </c>
      <c r="L20" s="149"/>
      <c r="M20" s="804"/>
      <c r="N20" s="1078"/>
      <c r="O20" s="72"/>
      <c r="P20" s="66"/>
      <c r="Q20" s="145">
        <f t="shared" si="0"/>
        <v>0</v>
      </c>
      <c r="R20" s="147">
        <f t="shared" si="1"/>
        <v>0</v>
      </c>
      <c r="S20" s="152">
        <f t="shared" si="2"/>
        <v>0</v>
      </c>
      <c r="T20" s="210"/>
      <c r="U20" s="145">
        <f t="shared" si="3"/>
        <v>0</v>
      </c>
      <c r="V20" s="548"/>
      <c r="W20" s="455"/>
      <c r="X20" s="114"/>
      <c r="Y20" s="114"/>
      <c r="Z20" s="114"/>
      <c r="AA20" s="114"/>
      <c r="AB20" s="114"/>
    </row>
    <row r="21" spans="1:28" s="68" customFormat="1" ht="15.75" customHeight="1" x14ac:dyDescent="0.25">
      <c r="A21" s="63" t="s">
        <v>8</v>
      </c>
      <c r="B21" s="69">
        <v>7</v>
      </c>
      <c r="C21" s="812" t="s">
        <v>546</v>
      </c>
      <c r="D21" s="812"/>
      <c r="E21" s="812"/>
      <c r="F21" s="812"/>
      <c r="G21" s="566" t="s">
        <v>31</v>
      </c>
      <c r="H21" s="71" t="s">
        <v>26</v>
      </c>
      <c r="I21" s="140">
        <f>$D$11*B21</f>
        <v>0</v>
      </c>
      <c r="J21" s="147">
        <f t="shared" si="4"/>
        <v>0</v>
      </c>
      <c r="K21" s="152">
        <f t="shared" si="5"/>
        <v>0</v>
      </c>
      <c r="L21" s="149"/>
      <c r="M21" s="804"/>
      <c r="N21" s="1078"/>
      <c r="O21" s="74"/>
      <c r="P21" s="75"/>
      <c r="Q21" s="145">
        <f t="shared" si="0"/>
        <v>0</v>
      </c>
      <c r="R21" s="147">
        <f t="shared" si="1"/>
        <v>0</v>
      </c>
      <c r="S21" s="152">
        <f t="shared" si="2"/>
        <v>0</v>
      </c>
      <c r="T21" s="210"/>
      <c r="U21" s="145">
        <f t="shared" si="3"/>
        <v>0</v>
      </c>
      <c r="V21" s="548"/>
      <c r="W21" s="455"/>
      <c r="X21" s="114"/>
      <c r="Y21" s="114"/>
      <c r="Z21" s="114"/>
      <c r="AA21" s="114"/>
      <c r="AB21" s="114"/>
    </row>
    <row r="22" spans="1:28" s="68" customFormat="1" ht="15.75" customHeight="1" x14ac:dyDescent="0.25">
      <c r="A22" s="63" t="s">
        <v>8</v>
      </c>
      <c r="B22" s="69">
        <v>3</v>
      </c>
      <c r="C22" s="812" t="s">
        <v>547</v>
      </c>
      <c r="D22" s="812"/>
      <c r="E22" s="812"/>
      <c r="F22" s="812"/>
      <c r="G22" s="566" t="s">
        <v>32</v>
      </c>
      <c r="H22" s="71" t="s">
        <v>27</v>
      </c>
      <c r="I22" s="140">
        <f t="shared" ref="I22:I33" si="6">$D$11*B22</f>
        <v>0</v>
      </c>
      <c r="J22" s="147">
        <f t="shared" si="4"/>
        <v>0</v>
      </c>
      <c r="K22" s="152">
        <f t="shared" si="5"/>
        <v>0</v>
      </c>
      <c r="L22" s="149"/>
      <c r="M22" s="804"/>
      <c r="N22" s="1078"/>
      <c r="O22" s="72"/>
      <c r="P22" s="66"/>
      <c r="Q22" s="145">
        <f t="shared" si="0"/>
        <v>0</v>
      </c>
      <c r="R22" s="147">
        <f t="shared" si="1"/>
        <v>0</v>
      </c>
      <c r="S22" s="152">
        <f t="shared" si="2"/>
        <v>0</v>
      </c>
      <c r="T22" s="210"/>
      <c r="U22" s="145">
        <f t="shared" si="3"/>
        <v>0</v>
      </c>
      <c r="V22" s="548"/>
      <c r="W22" s="455"/>
      <c r="X22" s="114"/>
      <c r="Y22" s="114"/>
      <c r="Z22" s="114"/>
      <c r="AA22" s="114"/>
      <c r="AB22" s="114"/>
    </row>
    <row r="23" spans="1:28" s="68" customFormat="1" ht="15.75" customHeight="1" x14ac:dyDescent="0.25">
      <c r="A23" s="63" t="s">
        <v>8</v>
      </c>
      <c r="B23" s="69">
        <v>1</v>
      </c>
      <c r="C23" s="804" t="s">
        <v>216</v>
      </c>
      <c r="D23" s="805"/>
      <c r="E23" s="805"/>
      <c r="F23" s="945"/>
      <c r="G23" s="566" t="s">
        <v>32</v>
      </c>
      <c r="H23" s="71" t="s">
        <v>55</v>
      </c>
      <c r="I23" s="140">
        <f t="shared" si="6"/>
        <v>0</v>
      </c>
      <c r="J23" s="147">
        <f t="shared" si="4"/>
        <v>0</v>
      </c>
      <c r="K23" s="152">
        <f t="shared" si="5"/>
        <v>0</v>
      </c>
      <c r="L23" s="149"/>
      <c r="M23" s="804"/>
      <c r="N23" s="1078"/>
      <c r="O23" s="72"/>
      <c r="P23" s="66"/>
      <c r="Q23" s="145">
        <f t="shared" si="0"/>
        <v>0</v>
      </c>
      <c r="R23" s="147">
        <f t="shared" si="1"/>
        <v>0</v>
      </c>
      <c r="S23" s="152">
        <f t="shared" si="2"/>
        <v>0</v>
      </c>
      <c r="T23" s="210"/>
      <c r="U23" s="145">
        <f t="shared" si="3"/>
        <v>0</v>
      </c>
      <c r="V23" s="548"/>
      <c r="W23" s="455"/>
      <c r="X23" s="114"/>
      <c r="Y23" s="114"/>
      <c r="Z23" s="114"/>
      <c r="AA23" s="114"/>
      <c r="AB23" s="114"/>
    </row>
    <row r="24" spans="1:28" s="68" customFormat="1" ht="15.75" customHeight="1" x14ac:dyDescent="0.25">
      <c r="A24" s="63" t="s">
        <v>8</v>
      </c>
      <c r="B24" s="69">
        <v>4</v>
      </c>
      <c r="C24" s="804" t="s">
        <v>466</v>
      </c>
      <c r="D24" s="805"/>
      <c r="E24" s="805"/>
      <c r="F24" s="945"/>
      <c r="G24" s="566" t="s">
        <v>31</v>
      </c>
      <c r="H24" s="71" t="s">
        <v>72</v>
      </c>
      <c r="I24" s="140">
        <f t="shared" si="6"/>
        <v>0</v>
      </c>
      <c r="J24" s="147">
        <f t="shared" si="4"/>
        <v>0</v>
      </c>
      <c r="K24" s="152">
        <f t="shared" si="5"/>
        <v>0</v>
      </c>
      <c r="L24" s="149"/>
      <c r="M24" s="804"/>
      <c r="N24" s="1078"/>
      <c r="O24" s="72"/>
      <c r="P24" s="66"/>
      <c r="Q24" s="145">
        <f t="shared" si="0"/>
        <v>0</v>
      </c>
      <c r="R24" s="147">
        <f t="shared" si="1"/>
        <v>0</v>
      </c>
      <c r="S24" s="152">
        <f t="shared" si="2"/>
        <v>0</v>
      </c>
      <c r="T24" s="210"/>
      <c r="U24" s="145">
        <f t="shared" si="3"/>
        <v>0</v>
      </c>
      <c r="V24" s="548"/>
      <c r="W24" s="455"/>
      <c r="X24" s="114"/>
      <c r="Y24" s="114"/>
      <c r="Z24" s="114"/>
      <c r="AA24" s="114"/>
      <c r="AB24" s="114"/>
    </row>
    <row r="25" spans="1:28" s="68" customFormat="1" ht="15.75" customHeight="1" x14ac:dyDescent="0.25">
      <c r="A25" s="63" t="s">
        <v>8</v>
      </c>
      <c r="B25" s="634">
        <f>'1-DUI (Reduce Base)'!$B$25</f>
        <v>0</v>
      </c>
      <c r="C25" s="812" t="s">
        <v>217</v>
      </c>
      <c r="D25" s="812"/>
      <c r="E25" s="813" t="str">
        <f>IF(SUM(B25:B29)=O11,"GC 76000 PA ($" &amp;O11 &amp; " for every 10) breakdown per local board of supervisor resolution (BOS).","ERROR! GC 76000 PA total is not $" &amp;O11&amp; ". Check Court's board resolution.")</f>
        <v>ERROR! GC 76000 PA total is not $5. Check Court's board resolution.</v>
      </c>
      <c r="F25" s="1143"/>
      <c r="G25" s="566" t="s">
        <v>32</v>
      </c>
      <c r="H25" s="71" t="s">
        <v>64</v>
      </c>
      <c r="I25" s="140">
        <f t="shared" si="6"/>
        <v>0</v>
      </c>
      <c r="J25" s="147">
        <f t="shared" si="4"/>
        <v>0</v>
      </c>
      <c r="K25" s="152">
        <f t="shared" si="5"/>
        <v>0</v>
      </c>
      <c r="L25" s="149"/>
      <c r="M25" s="804"/>
      <c r="N25" s="1078"/>
      <c r="O25" s="72"/>
      <c r="P25" s="66"/>
      <c r="Q25" s="145">
        <f t="shared" si="0"/>
        <v>0</v>
      </c>
      <c r="R25" s="147">
        <f t="shared" si="1"/>
        <v>0</v>
      </c>
      <c r="S25" s="152">
        <f t="shared" si="2"/>
        <v>0</v>
      </c>
      <c r="T25" s="210"/>
      <c r="U25" s="145">
        <f t="shared" si="3"/>
        <v>0</v>
      </c>
      <c r="V25" s="548"/>
      <c r="W25" s="455"/>
      <c r="X25" s="114"/>
      <c r="Y25" s="114"/>
      <c r="Z25" s="114"/>
      <c r="AA25" s="114"/>
      <c r="AB25" s="114"/>
    </row>
    <row r="26" spans="1:28" s="68" customFormat="1" ht="15.75" customHeight="1" x14ac:dyDescent="0.25">
      <c r="A26" s="63" t="s">
        <v>8</v>
      </c>
      <c r="B26" s="634">
        <f>'1-DUI (Reduce Base)'!$B$26</f>
        <v>1</v>
      </c>
      <c r="C26" s="812" t="s">
        <v>218</v>
      </c>
      <c r="D26" s="812"/>
      <c r="E26" s="815"/>
      <c r="F26" s="1144"/>
      <c r="G26" s="566" t="s">
        <v>32</v>
      </c>
      <c r="H26" s="71" t="s">
        <v>35</v>
      </c>
      <c r="I26" s="140">
        <f t="shared" si="6"/>
        <v>0</v>
      </c>
      <c r="J26" s="147">
        <f t="shared" si="4"/>
        <v>0</v>
      </c>
      <c r="K26" s="152">
        <f t="shared" si="5"/>
        <v>0</v>
      </c>
      <c r="L26" s="149"/>
      <c r="M26" s="804"/>
      <c r="N26" s="1078"/>
      <c r="O26" s="72"/>
      <c r="P26" s="66"/>
      <c r="Q26" s="145">
        <f t="shared" si="0"/>
        <v>0</v>
      </c>
      <c r="R26" s="147">
        <f t="shared" si="1"/>
        <v>0</v>
      </c>
      <c r="S26" s="152">
        <f t="shared" si="2"/>
        <v>0</v>
      </c>
      <c r="T26" s="210"/>
      <c r="U26" s="145">
        <f t="shared" si="3"/>
        <v>0</v>
      </c>
      <c r="V26" s="548"/>
      <c r="W26" s="455"/>
      <c r="X26" s="114"/>
      <c r="Y26" s="114"/>
      <c r="Z26" s="114"/>
      <c r="AA26" s="114"/>
      <c r="AB26" s="114"/>
    </row>
    <row r="27" spans="1:28" s="68" customFormat="1" ht="15.75" customHeight="1" x14ac:dyDescent="0.25">
      <c r="A27" s="63" t="s">
        <v>8</v>
      </c>
      <c r="B27" s="634">
        <f>'1-DUI (Reduce Base)'!$B$27</f>
        <v>1</v>
      </c>
      <c r="C27" s="812" t="s">
        <v>219</v>
      </c>
      <c r="D27" s="812"/>
      <c r="E27" s="815"/>
      <c r="F27" s="1144"/>
      <c r="G27" s="566" t="s">
        <v>32</v>
      </c>
      <c r="H27" s="71" t="s">
        <v>65</v>
      </c>
      <c r="I27" s="140">
        <f t="shared" si="6"/>
        <v>0</v>
      </c>
      <c r="J27" s="147">
        <f t="shared" si="4"/>
        <v>0</v>
      </c>
      <c r="K27" s="152">
        <f t="shared" si="5"/>
        <v>0</v>
      </c>
      <c r="L27" s="149"/>
      <c r="M27" s="804"/>
      <c r="N27" s="1078"/>
      <c r="O27" s="72"/>
      <c r="P27" s="66"/>
      <c r="Q27" s="145">
        <f t="shared" si="0"/>
        <v>0</v>
      </c>
      <c r="R27" s="147">
        <f t="shared" si="1"/>
        <v>0</v>
      </c>
      <c r="S27" s="152">
        <f t="shared" si="2"/>
        <v>0</v>
      </c>
      <c r="T27" s="210"/>
      <c r="U27" s="145">
        <f t="shared" si="3"/>
        <v>0</v>
      </c>
      <c r="V27" s="548"/>
      <c r="W27" s="455"/>
      <c r="X27" s="114"/>
      <c r="Y27" s="114"/>
      <c r="Z27" s="114"/>
      <c r="AA27" s="114"/>
      <c r="AB27" s="114"/>
    </row>
    <row r="28" spans="1:28" s="68" customFormat="1" ht="15.75" customHeight="1" x14ac:dyDescent="0.25">
      <c r="A28" s="63" t="s">
        <v>8</v>
      </c>
      <c r="B28" s="634">
        <f>'1-DUI (Reduce Base)'!$B$28</f>
        <v>0.5</v>
      </c>
      <c r="C28" s="812" t="s">
        <v>401</v>
      </c>
      <c r="D28" s="812"/>
      <c r="E28" s="815"/>
      <c r="F28" s="1144"/>
      <c r="G28" s="566" t="s">
        <v>32</v>
      </c>
      <c r="H28" s="71" t="s">
        <v>65</v>
      </c>
      <c r="I28" s="140">
        <f>$D$11*B28</f>
        <v>0</v>
      </c>
      <c r="J28" s="147">
        <f>IF(A28="Y",I28* 2%,0)</f>
        <v>0</v>
      </c>
      <c r="K28" s="152">
        <f>I28-J28</f>
        <v>0</v>
      </c>
      <c r="L28" s="149"/>
      <c r="M28" s="804"/>
      <c r="N28" s="1078"/>
      <c r="O28" s="72"/>
      <c r="P28" s="66"/>
      <c r="Q28" s="145">
        <f t="shared" si="0"/>
        <v>0</v>
      </c>
      <c r="R28" s="147">
        <f>IF(A28="Y", Q28*2%,)</f>
        <v>0</v>
      </c>
      <c r="S28" s="152">
        <f>Q28-R28</f>
        <v>0</v>
      </c>
      <c r="T28" s="210"/>
      <c r="U28" s="145">
        <f>IF($U$15="BASE-UP   (B-A)", O28-K28,O28-S28)</f>
        <v>0</v>
      </c>
      <c r="V28" s="548"/>
      <c r="W28" s="455"/>
      <c r="X28" s="114"/>
      <c r="Y28" s="114"/>
      <c r="Z28" s="114"/>
      <c r="AA28" s="114"/>
      <c r="AB28" s="114"/>
    </row>
    <row r="29" spans="1:28" s="68" customFormat="1" ht="15.75" customHeight="1" x14ac:dyDescent="0.25">
      <c r="A29" s="63" t="s">
        <v>8</v>
      </c>
      <c r="B29" s="634">
        <f>'1-DUI (Reduce Base)'!$B$29</f>
        <v>1</v>
      </c>
      <c r="C29" s="812" t="s">
        <v>254</v>
      </c>
      <c r="D29" s="812"/>
      <c r="E29" s="817"/>
      <c r="F29" s="1145"/>
      <c r="G29" s="566" t="s">
        <v>32</v>
      </c>
      <c r="H29" s="71"/>
      <c r="I29" s="140">
        <f t="shared" si="6"/>
        <v>0</v>
      </c>
      <c r="J29" s="147">
        <f t="shared" si="4"/>
        <v>0</v>
      </c>
      <c r="K29" s="152">
        <f t="shared" si="5"/>
        <v>0</v>
      </c>
      <c r="L29" s="149"/>
      <c r="M29" s="804"/>
      <c r="N29" s="1078"/>
      <c r="O29" s="72"/>
      <c r="P29" s="66"/>
      <c r="Q29" s="145">
        <f t="shared" si="0"/>
        <v>0</v>
      </c>
      <c r="R29" s="147">
        <f t="shared" si="1"/>
        <v>0</v>
      </c>
      <c r="S29" s="152">
        <f t="shared" si="2"/>
        <v>0</v>
      </c>
      <c r="T29" s="210"/>
      <c r="U29" s="145">
        <f t="shared" si="3"/>
        <v>0</v>
      </c>
      <c r="V29" s="548"/>
      <c r="W29" s="455"/>
      <c r="X29" s="114"/>
      <c r="Y29" s="114"/>
      <c r="Z29" s="114"/>
      <c r="AA29" s="114"/>
      <c r="AB29" s="114"/>
    </row>
    <row r="30" spans="1:28" s="68" customFormat="1" ht="15.75" customHeight="1" x14ac:dyDescent="0.25">
      <c r="A30" s="63" t="s">
        <v>8</v>
      </c>
      <c r="B30" s="634">
        <f>'1-DUI (Reduce Base)'!$B$30</f>
        <v>2</v>
      </c>
      <c r="C30" s="804" t="s">
        <v>286</v>
      </c>
      <c r="D30" s="805"/>
      <c r="E30" s="805"/>
      <c r="F30" s="945"/>
      <c r="G30" s="566" t="s">
        <v>32</v>
      </c>
      <c r="H30" s="71" t="s">
        <v>36</v>
      </c>
      <c r="I30" s="140">
        <f t="shared" si="6"/>
        <v>0</v>
      </c>
      <c r="J30" s="147">
        <f t="shared" si="4"/>
        <v>0</v>
      </c>
      <c r="K30" s="152">
        <f t="shared" si="5"/>
        <v>0</v>
      </c>
      <c r="L30" s="149"/>
      <c r="M30" s="804"/>
      <c r="N30" s="1078"/>
      <c r="O30" s="72"/>
      <c r="P30" s="66"/>
      <c r="Q30" s="145">
        <f t="shared" si="0"/>
        <v>0</v>
      </c>
      <c r="R30" s="147">
        <f t="shared" si="1"/>
        <v>0</v>
      </c>
      <c r="S30" s="152">
        <f t="shared" si="2"/>
        <v>0</v>
      </c>
      <c r="T30" s="210"/>
      <c r="U30" s="145">
        <f t="shared" si="3"/>
        <v>0</v>
      </c>
      <c r="V30" s="548"/>
      <c r="W30" s="455"/>
      <c r="X30" s="114"/>
      <c r="Y30" s="114"/>
      <c r="Z30" s="114"/>
      <c r="AA30" s="114"/>
      <c r="AB30" s="114"/>
    </row>
    <row r="31" spans="1:28" s="68" customFormat="1" ht="15" customHeight="1" x14ac:dyDescent="0.25">
      <c r="A31" s="63" t="s">
        <v>8</v>
      </c>
      <c r="B31" s="69"/>
      <c r="C31" s="804" t="s">
        <v>385</v>
      </c>
      <c r="D31" s="805"/>
      <c r="E31" s="805"/>
      <c r="F31" s="945"/>
      <c r="G31" s="566" t="s">
        <v>31</v>
      </c>
      <c r="H31" s="81" t="s">
        <v>39</v>
      </c>
      <c r="I31" s="186">
        <v>4</v>
      </c>
      <c r="J31" s="147">
        <f>IF(A31="Y", I31*2%,0)</f>
        <v>0.08</v>
      </c>
      <c r="K31" s="152">
        <f>I31-J31</f>
        <v>3.92</v>
      </c>
      <c r="L31" s="149"/>
      <c r="M31" s="804"/>
      <c r="N31" s="1078"/>
      <c r="O31" s="72"/>
      <c r="P31" s="66"/>
      <c r="Q31" s="140">
        <f>IF($Q$43=0,,I31)</f>
        <v>0</v>
      </c>
      <c r="R31" s="147">
        <f>IF(A31="Y", Q31*2%,)</f>
        <v>0</v>
      </c>
      <c r="S31" s="152">
        <f>Q31-R31</f>
        <v>0</v>
      </c>
      <c r="T31" s="210"/>
      <c r="U31" s="145">
        <f>IF($U$15="BASE-UP   (B-A)", O31-K31,O31-S31)</f>
        <v>-3.92</v>
      </c>
      <c r="V31" s="549"/>
      <c r="W31" s="455"/>
      <c r="X31" s="114"/>
      <c r="Y31" s="114"/>
      <c r="Z31" s="114"/>
      <c r="AA31" s="114"/>
      <c r="AB31" s="114"/>
    </row>
    <row r="32" spans="1:28" s="68" customFormat="1" ht="15.75" customHeight="1" x14ac:dyDescent="0.25">
      <c r="A32" s="63" t="s">
        <v>8</v>
      </c>
      <c r="B32" s="634">
        <f>'1-DUI (Reduce Base)'!$B$32</f>
        <v>2</v>
      </c>
      <c r="C32" s="804" t="s">
        <v>555</v>
      </c>
      <c r="D32" s="805"/>
      <c r="E32" s="945"/>
      <c r="F32" s="1008" t="s">
        <v>281</v>
      </c>
      <c r="G32" s="566" t="s">
        <v>31</v>
      </c>
      <c r="H32" s="71" t="s">
        <v>37</v>
      </c>
      <c r="I32" s="140">
        <f t="shared" si="6"/>
        <v>0</v>
      </c>
      <c r="J32" s="147">
        <f t="shared" si="4"/>
        <v>0</v>
      </c>
      <c r="K32" s="152">
        <f t="shared" si="5"/>
        <v>0</v>
      </c>
      <c r="L32" s="149"/>
      <c r="M32" s="804"/>
      <c r="N32" s="1078"/>
      <c r="O32" s="72"/>
      <c r="P32" s="66"/>
      <c r="Q32" s="145">
        <f>IF($Q$43=0,,I32*$Q$15)</f>
        <v>0</v>
      </c>
      <c r="R32" s="147">
        <f t="shared" si="1"/>
        <v>0</v>
      </c>
      <c r="S32" s="152">
        <f t="shared" si="2"/>
        <v>0</v>
      </c>
      <c r="T32" s="210"/>
      <c r="U32" s="145">
        <f t="shared" si="3"/>
        <v>0</v>
      </c>
      <c r="V32" s="622"/>
      <c r="W32" s="455"/>
      <c r="X32" s="114"/>
      <c r="Y32" s="114"/>
      <c r="Z32" s="114"/>
      <c r="AA32" s="114"/>
      <c r="AB32" s="114"/>
    </row>
    <row r="33" spans="1:28" s="68" customFormat="1" ht="15.75" customHeight="1" x14ac:dyDescent="0.25">
      <c r="A33" s="63" t="s">
        <v>8</v>
      </c>
      <c r="B33" s="164">
        <f>5-B32</f>
        <v>3</v>
      </c>
      <c r="C33" s="804" t="s">
        <v>556</v>
      </c>
      <c r="D33" s="805"/>
      <c r="E33" s="945"/>
      <c r="F33" s="1009"/>
      <c r="G33" s="566" t="s">
        <v>31</v>
      </c>
      <c r="H33" s="71" t="s">
        <v>197</v>
      </c>
      <c r="I33" s="140">
        <f t="shared" si="6"/>
        <v>0</v>
      </c>
      <c r="J33" s="147">
        <f t="shared" si="4"/>
        <v>0</v>
      </c>
      <c r="K33" s="152">
        <f t="shared" si="5"/>
        <v>0</v>
      </c>
      <c r="L33" s="149"/>
      <c r="M33" s="804"/>
      <c r="N33" s="1078"/>
      <c r="O33" s="72"/>
      <c r="P33" s="66"/>
      <c r="Q33" s="145">
        <f>IF($Q$43=0,,I33*$Q$15)</f>
        <v>0</v>
      </c>
      <c r="R33" s="147">
        <f t="shared" si="1"/>
        <v>0</v>
      </c>
      <c r="S33" s="152">
        <f t="shared" si="2"/>
        <v>0</v>
      </c>
      <c r="T33" s="210"/>
      <c r="U33" s="145">
        <f t="shared" si="3"/>
        <v>0</v>
      </c>
      <c r="V33" s="548"/>
      <c r="W33" s="455"/>
      <c r="X33" s="114"/>
      <c r="Y33" s="114"/>
      <c r="Z33" s="114"/>
      <c r="AA33" s="114"/>
      <c r="AB33" s="114"/>
    </row>
    <row r="34" spans="1:28" s="68" customFormat="1" ht="15.75" customHeight="1" x14ac:dyDescent="0.25">
      <c r="A34" s="63" t="s">
        <v>7</v>
      </c>
      <c r="B34" s="69"/>
      <c r="C34" s="804" t="s">
        <v>220</v>
      </c>
      <c r="D34" s="805"/>
      <c r="E34" s="805"/>
      <c r="F34" s="945"/>
      <c r="G34" s="566" t="s">
        <v>31</v>
      </c>
      <c r="H34" s="71" t="s">
        <v>10</v>
      </c>
      <c r="I34" s="140">
        <f>$D$10*20%</f>
        <v>0</v>
      </c>
      <c r="J34" s="147">
        <f t="shared" si="4"/>
        <v>0</v>
      </c>
      <c r="K34" s="152">
        <f>I34-J34</f>
        <v>0</v>
      </c>
      <c r="L34" s="149"/>
      <c r="M34" s="804"/>
      <c r="N34" s="1078"/>
      <c r="O34" s="72"/>
      <c r="P34" s="66"/>
      <c r="Q34" s="145">
        <f>IF($Q$43=0,,I34*$Q$15)</f>
        <v>0</v>
      </c>
      <c r="R34" s="147">
        <f t="shared" si="1"/>
        <v>0</v>
      </c>
      <c r="S34" s="152">
        <f t="shared" si="2"/>
        <v>0</v>
      </c>
      <c r="T34" s="210"/>
      <c r="U34" s="145">
        <f t="shared" si="3"/>
        <v>0</v>
      </c>
      <c r="V34" s="548"/>
      <c r="W34" s="455"/>
      <c r="X34" s="114"/>
      <c r="Y34" s="114"/>
      <c r="Z34" s="114"/>
      <c r="AA34" s="114"/>
      <c r="AB34" s="114"/>
    </row>
    <row r="35" spans="1:28" s="80" customFormat="1" ht="15.75" customHeight="1" x14ac:dyDescent="0.25">
      <c r="A35" s="63"/>
      <c r="B35" s="76"/>
      <c r="C35" s="810" t="s">
        <v>221</v>
      </c>
      <c r="D35" s="811"/>
      <c r="E35" s="811"/>
      <c r="F35" s="946"/>
      <c r="G35" s="573"/>
      <c r="H35" s="78"/>
      <c r="I35" s="142">
        <f>SUM(I16:I34)</f>
        <v>4</v>
      </c>
      <c r="J35" s="147"/>
      <c r="K35" s="153">
        <f>SUM(K16:K34)</f>
        <v>3.92</v>
      </c>
      <c r="L35" s="150"/>
      <c r="M35" s="804"/>
      <c r="N35" s="1078"/>
      <c r="O35" s="166">
        <f>SUM(O16:O34)</f>
        <v>0</v>
      </c>
      <c r="P35" s="111"/>
      <c r="Q35" s="142">
        <f>IF($Q$43=0,,Q43-SUM(Q36:Q40))</f>
        <v>0</v>
      </c>
      <c r="R35" s="147"/>
      <c r="S35" s="153">
        <f>SUM(S16:S34)</f>
        <v>0</v>
      </c>
      <c r="T35" s="211"/>
      <c r="U35" s="145">
        <f>SUM(U16:U34)</f>
        <v>-3.92</v>
      </c>
      <c r="V35" s="548"/>
      <c r="W35" s="456"/>
      <c r="X35" s="129"/>
      <c r="Y35" s="129"/>
      <c r="Z35" s="129"/>
      <c r="AA35" s="129"/>
      <c r="AB35" s="129"/>
    </row>
    <row r="36" spans="1:28" s="68" customFormat="1" ht="15" customHeight="1" x14ac:dyDescent="0.25">
      <c r="A36" s="63" t="s">
        <v>7</v>
      </c>
      <c r="B36" s="69"/>
      <c r="C36" s="804" t="s">
        <v>419</v>
      </c>
      <c r="D36" s="805"/>
      <c r="E36" s="805"/>
      <c r="F36" s="945"/>
      <c r="G36" s="566" t="s">
        <v>31</v>
      </c>
      <c r="H36" s="81"/>
      <c r="I36" s="186">
        <v>40</v>
      </c>
      <c r="J36" s="147">
        <f>IF(A36="Y", I36*2%,0)</f>
        <v>0</v>
      </c>
      <c r="K36" s="152">
        <f>I36-J36</f>
        <v>40</v>
      </c>
      <c r="L36" s="149"/>
      <c r="M36" s="449"/>
      <c r="N36" s="450"/>
      <c r="O36" s="72"/>
      <c r="P36" s="66"/>
      <c r="Q36" s="140">
        <f>IF($Q$43=0,,I36)</f>
        <v>0</v>
      </c>
      <c r="R36" s="147">
        <f>IF(A36="Y", Q36*2%,)</f>
        <v>0</v>
      </c>
      <c r="S36" s="152">
        <f>Q36-R36</f>
        <v>0</v>
      </c>
      <c r="T36" s="210"/>
      <c r="U36" s="145">
        <f t="shared" ref="U36:U41" si="7">IF($U$15="BASE-UP   (B-A)", O36-K36,O36-S36)</f>
        <v>-40</v>
      </c>
      <c r="V36" s="548"/>
      <c r="W36" s="455"/>
      <c r="X36" s="114"/>
      <c r="Y36" s="114"/>
      <c r="Z36" s="114"/>
      <c r="AA36" s="114"/>
      <c r="AB36" s="114"/>
    </row>
    <row r="37" spans="1:28" s="68" customFormat="1" ht="15.75" customHeight="1" x14ac:dyDescent="0.25">
      <c r="A37" s="63" t="s">
        <v>7</v>
      </c>
      <c r="B37" s="69"/>
      <c r="C37" s="806" t="s">
        <v>259</v>
      </c>
      <c r="D37" s="807"/>
      <c r="E37" s="807"/>
      <c r="F37" s="944"/>
      <c r="G37" s="574" t="s">
        <v>31</v>
      </c>
      <c r="H37" s="82" t="s">
        <v>197</v>
      </c>
      <c r="I37" s="186">
        <v>35</v>
      </c>
      <c r="J37" s="147">
        <f>IF(A37="Y", I37*2%,0)</f>
        <v>0</v>
      </c>
      <c r="K37" s="152">
        <f>I37-J37</f>
        <v>35</v>
      </c>
      <c r="L37" s="149"/>
      <c r="M37" s="804"/>
      <c r="N37" s="1078"/>
      <c r="O37" s="72"/>
      <c r="P37" s="66"/>
      <c r="Q37" s="140">
        <f>IF($Q$43=0,,I37)</f>
        <v>0</v>
      </c>
      <c r="R37" s="147">
        <f>IF(A37="Y", Q37*2%,)</f>
        <v>0</v>
      </c>
      <c r="S37" s="152">
        <f t="shared" si="2"/>
        <v>0</v>
      </c>
      <c r="T37" s="210"/>
      <c r="U37" s="145">
        <f t="shared" si="7"/>
        <v>-35</v>
      </c>
      <c r="V37" s="548"/>
      <c r="W37" s="455"/>
      <c r="X37" s="114"/>
      <c r="Y37" s="114"/>
      <c r="Z37" s="114"/>
      <c r="AA37" s="114"/>
      <c r="AB37" s="114"/>
    </row>
    <row r="38" spans="1:28" s="68" customFormat="1" ht="15.75" customHeight="1" x14ac:dyDescent="0.25">
      <c r="A38" s="63" t="s">
        <v>7</v>
      </c>
      <c r="B38" s="83"/>
      <c r="C38" s="806" t="s">
        <v>421</v>
      </c>
      <c r="D38" s="807"/>
      <c r="E38" s="807"/>
      <c r="F38" s="944"/>
      <c r="G38" s="574" t="s">
        <v>230</v>
      </c>
      <c r="H38" s="82" t="s">
        <v>24</v>
      </c>
      <c r="I38" s="186"/>
      <c r="J38" s="147">
        <f>IF(A38="Y", I38*2%,0)</f>
        <v>0</v>
      </c>
      <c r="K38" s="152">
        <f>I38-J38</f>
        <v>0</v>
      </c>
      <c r="L38" s="149"/>
      <c r="M38" s="804"/>
      <c r="N38" s="1078"/>
      <c r="O38" s="72"/>
      <c r="P38" s="66"/>
      <c r="Q38" s="140">
        <f>IF($Q$43=0,,I38)</f>
        <v>0</v>
      </c>
      <c r="R38" s="147">
        <f>IF(A38="Y", Q38*2%,)</f>
        <v>0</v>
      </c>
      <c r="S38" s="152">
        <f t="shared" si="2"/>
        <v>0</v>
      </c>
      <c r="T38" s="210"/>
      <c r="U38" s="145">
        <f t="shared" si="7"/>
        <v>0</v>
      </c>
      <c r="V38" s="548"/>
      <c r="W38" s="455"/>
      <c r="X38" s="114"/>
      <c r="Y38" s="114"/>
      <c r="Z38" s="114"/>
      <c r="AA38" s="114"/>
      <c r="AB38" s="114"/>
    </row>
    <row r="39" spans="1:28" s="68" customFormat="1" ht="48" customHeight="1" x14ac:dyDescent="0.25">
      <c r="A39" s="63" t="s">
        <v>7</v>
      </c>
      <c r="B39" s="83"/>
      <c r="C39" s="804" t="s">
        <v>517</v>
      </c>
      <c r="D39" s="805"/>
      <c r="E39" s="805"/>
      <c r="F39" s="945"/>
      <c r="G39" s="574" t="s">
        <v>230</v>
      </c>
      <c r="H39" s="82" t="s">
        <v>82</v>
      </c>
      <c r="I39" s="186"/>
      <c r="J39" s="147">
        <f>IF(A39="Y", I39*2%,0)</f>
        <v>0</v>
      </c>
      <c r="K39" s="152">
        <f>I39-J39</f>
        <v>0</v>
      </c>
      <c r="L39" s="149"/>
      <c r="M39" s="804"/>
      <c r="N39" s="1078"/>
      <c r="O39" s="72"/>
      <c r="P39" s="66"/>
      <c r="Q39" s="140">
        <f>IF($Q$43=0,,I39)</f>
        <v>0</v>
      </c>
      <c r="R39" s="147">
        <f>IF(A39="Y", Q39*2%,)</f>
        <v>0</v>
      </c>
      <c r="S39" s="152">
        <f t="shared" si="2"/>
        <v>0</v>
      </c>
      <c r="T39" s="210"/>
      <c r="U39" s="145">
        <f t="shared" si="7"/>
        <v>0</v>
      </c>
      <c r="V39" s="548"/>
      <c r="W39" s="455"/>
      <c r="X39" s="114"/>
      <c r="Y39" s="114"/>
      <c r="Z39" s="114"/>
      <c r="AA39" s="114"/>
      <c r="AB39" s="114"/>
    </row>
    <row r="40" spans="1:28" s="68" customFormat="1" ht="15.75" customHeight="1" x14ac:dyDescent="0.25">
      <c r="A40" s="63" t="s">
        <v>7</v>
      </c>
      <c r="B40" s="83"/>
      <c r="C40" s="806" t="s">
        <v>225</v>
      </c>
      <c r="D40" s="807"/>
      <c r="E40" s="807"/>
      <c r="F40" s="944"/>
      <c r="G40" s="574" t="s">
        <v>31</v>
      </c>
      <c r="H40" s="82" t="s">
        <v>80</v>
      </c>
      <c r="I40" s="186"/>
      <c r="J40" s="147">
        <f>IF(A40="Y", I40*2%,0)</f>
        <v>0</v>
      </c>
      <c r="K40" s="152">
        <f>I40-J40</f>
        <v>0</v>
      </c>
      <c r="L40" s="149"/>
      <c r="M40" s="804"/>
      <c r="N40" s="1078"/>
      <c r="O40" s="72"/>
      <c r="P40" s="66"/>
      <c r="Q40" s="140">
        <f>IF($Q$43=0,,I40)</f>
        <v>0</v>
      </c>
      <c r="R40" s="147">
        <f>IF(A40="Y", Q40*2%,)</f>
        <v>0</v>
      </c>
      <c r="S40" s="152">
        <f t="shared" si="2"/>
        <v>0</v>
      </c>
      <c r="T40" s="210"/>
      <c r="U40" s="145">
        <f t="shared" si="7"/>
        <v>0</v>
      </c>
      <c r="V40" s="548"/>
      <c r="W40" s="455"/>
      <c r="X40" s="114"/>
      <c r="Y40" s="114"/>
      <c r="Z40" s="114"/>
      <c r="AA40" s="114"/>
      <c r="AB40" s="114"/>
    </row>
    <row r="41" spans="1:28" s="68" customFormat="1" ht="30.75" customHeight="1" x14ac:dyDescent="0.25">
      <c r="A41" s="83" t="s">
        <v>7</v>
      </c>
      <c r="B41" s="83"/>
      <c r="C41" s="804" t="s">
        <v>492</v>
      </c>
      <c r="D41" s="805"/>
      <c r="E41" s="805"/>
      <c r="F41" s="945"/>
      <c r="G41" s="574" t="s">
        <v>31</v>
      </c>
      <c r="H41" s="85" t="s">
        <v>41</v>
      </c>
      <c r="I41" s="86"/>
      <c r="J41" s="148"/>
      <c r="K41" s="154">
        <f>J42</f>
        <v>0.08</v>
      </c>
      <c r="L41" s="149"/>
      <c r="M41" s="804"/>
      <c r="N41" s="1078"/>
      <c r="O41" s="72"/>
      <c r="P41" s="66"/>
      <c r="Q41" s="93"/>
      <c r="R41" s="148"/>
      <c r="S41" s="154">
        <f>R42</f>
        <v>0</v>
      </c>
      <c r="T41" s="212"/>
      <c r="U41" s="145">
        <f t="shared" si="7"/>
        <v>-0.08</v>
      </c>
      <c r="V41" s="548"/>
      <c r="W41" s="71"/>
      <c r="X41" s="114"/>
      <c r="Y41" s="114"/>
      <c r="Z41" s="114"/>
      <c r="AA41" s="114"/>
      <c r="AB41" s="114"/>
    </row>
    <row r="42" spans="1:28" s="114" customFormat="1" ht="14.5" x14ac:dyDescent="0.25">
      <c r="A42" s="112"/>
      <c r="B42" s="112"/>
      <c r="C42" s="112"/>
      <c r="D42" s="112"/>
      <c r="E42" s="113"/>
      <c r="F42" s="113"/>
      <c r="J42" s="115">
        <f>SUM(J16:J41)</f>
        <v>0.08</v>
      </c>
      <c r="K42" s="155"/>
      <c r="O42" s="116"/>
      <c r="P42" s="117"/>
      <c r="R42" s="115">
        <f>SUM(R16:R41)</f>
        <v>0</v>
      </c>
      <c r="S42" s="155"/>
      <c r="T42" s="213"/>
      <c r="U42" s="165"/>
      <c r="V42" s="165"/>
      <c r="W42" s="118"/>
    </row>
    <row r="43" spans="1:28" s="95" customFormat="1" ht="16" thickBot="1" x14ac:dyDescent="0.3">
      <c r="A43" s="130"/>
      <c r="B43" s="130"/>
      <c r="C43" s="130"/>
      <c r="D43" s="130"/>
      <c r="E43" s="119"/>
      <c r="F43" s="131" t="s">
        <v>81</v>
      </c>
      <c r="G43" s="132"/>
      <c r="H43" s="133" t="s">
        <v>1</v>
      </c>
      <c r="I43" s="134">
        <f>SUM(I35:I42)</f>
        <v>79</v>
      </c>
      <c r="J43" s="135"/>
      <c r="K43" s="156">
        <f>SUM(K35:K42)</f>
        <v>79</v>
      </c>
      <c r="L43" s="136"/>
      <c r="M43" s="130" t="s">
        <v>1</v>
      </c>
      <c r="N43" s="130"/>
      <c r="O43" s="137">
        <f>SUM(O35:O42)</f>
        <v>0</v>
      </c>
      <c r="P43" s="136"/>
      <c r="Q43" s="188"/>
      <c r="R43" s="135"/>
      <c r="S43" s="156">
        <f>SUM(S35:S42)</f>
        <v>0</v>
      </c>
      <c r="T43" s="214"/>
      <c r="U43" s="175">
        <f>SUM(U35:U42)</f>
        <v>-79</v>
      </c>
      <c r="V43" s="530"/>
      <c r="W43" s="138"/>
    </row>
    <row r="44" spans="1:28" s="50" customFormat="1" ht="15.75" customHeight="1" thickTop="1" x14ac:dyDescent="0.25">
      <c r="A44" s="1140" t="s">
        <v>61</v>
      </c>
      <c r="B44" s="1140"/>
      <c r="C44" s="1140"/>
      <c r="D44" s="192"/>
      <c r="E44" s="121"/>
      <c r="F44" s="121"/>
      <c r="K44" s="123"/>
      <c r="L44" s="122"/>
      <c r="U44" s="124"/>
      <c r="V44" s="124"/>
      <c r="W44" s="125"/>
    </row>
    <row r="45" spans="1:28" s="127" customFormat="1" ht="18" customHeight="1" x14ac:dyDescent="0.25">
      <c r="A45" s="624">
        <v>1</v>
      </c>
      <c r="B45" s="1065"/>
      <c r="C45" s="1065"/>
      <c r="D45" s="1065"/>
      <c r="E45" s="1065"/>
      <c r="F45" s="1065"/>
      <c r="G45" s="1065"/>
      <c r="H45" s="1065"/>
      <c r="I45" s="1065"/>
      <c r="J45" s="1065"/>
      <c r="K45" s="1065"/>
      <c r="L45" s="1065"/>
      <c r="M45" s="1065"/>
      <c r="N45" s="1065"/>
      <c r="O45" s="1065"/>
      <c r="P45" s="1065"/>
      <c r="Q45" s="1065"/>
      <c r="R45" s="1065"/>
      <c r="S45" s="1065"/>
      <c r="T45" s="1065"/>
      <c r="U45" s="1065"/>
      <c r="V45" s="1065"/>
      <c r="W45" s="1065"/>
    </row>
    <row r="46" spans="1:28" s="127" customFormat="1" ht="18" customHeight="1" x14ac:dyDescent="0.25">
      <c r="A46" s="624">
        <v>2</v>
      </c>
      <c r="B46" s="1065"/>
      <c r="C46" s="1065"/>
      <c r="D46" s="1065"/>
      <c r="E46" s="1065"/>
      <c r="F46" s="1065"/>
      <c r="G46" s="1065"/>
      <c r="H46" s="1065"/>
      <c r="I46" s="1065"/>
      <c r="J46" s="1065"/>
      <c r="K46" s="1065"/>
      <c r="L46" s="1065"/>
      <c r="M46" s="1065"/>
      <c r="N46" s="1065"/>
      <c r="O46" s="1065"/>
      <c r="P46" s="1065"/>
      <c r="Q46" s="1065"/>
      <c r="R46" s="1065"/>
      <c r="S46" s="1065"/>
      <c r="T46" s="1065"/>
      <c r="U46" s="1065"/>
      <c r="V46" s="1065"/>
      <c r="W46" s="1065"/>
    </row>
    <row r="47" spans="1:28" s="127" customFormat="1" ht="18" customHeight="1" x14ac:dyDescent="0.25">
      <c r="A47" s="624">
        <v>3</v>
      </c>
      <c r="B47" s="1065"/>
      <c r="C47" s="1065"/>
      <c r="D47" s="1065"/>
      <c r="E47" s="1065"/>
      <c r="F47" s="1065"/>
      <c r="G47" s="1065"/>
      <c r="H47" s="1065"/>
      <c r="I47" s="1065"/>
      <c r="J47" s="1065"/>
      <c r="K47" s="1065"/>
      <c r="L47" s="1065"/>
      <c r="M47" s="1065"/>
      <c r="N47" s="1065"/>
      <c r="O47" s="1065"/>
      <c r="P47" s="1065"/>
      <c r="Q47" s="1065"/>
      <c r="R47" s="1065"/>
      <c r="S47" s="1065"/>
      <c r="T47" s="1065"/>
      <c r="U47" s="1065"/>
      <c r="V47" s="1065"/>
      <c r="W47" s="1065"/>
    </row>
    <row r="48" spans="1:28" s="50" customFormat="1" ht="21" customHeight="1" x14ac:dyDescent="0.25">
      <c r="A48" s="624">
        <v>4</v>
      </c>
      <c r="B48" s="1065"/>
      <c r="C48" s="1065"/>
      <c r="D48" s="1065"/>
      <c r="E48" s="1065"/>
      <c r="F48" s="1065"/>
      <c r="G48" s="1065"/>
      <c r="H48" s="1065"/>
      <c r="I48" s="1065"/>
      <c r="J48" s="1065"/>
      <c r="K48" s="1065"/>
      <c r="L48" s="1065"/>
      <c r="M48" s="1065"/>
      <c r="N48" s="1065"/>
      <c r="O48" s="1065"/>
      <c r="P48" s="1065"/>
      <c r="Q48" s="1065"/>
      <c r="R48" s="1065"/>
      <c r="S48" s="1065"/>
      <c r="T48" s="1065"/>
      <c r="U48" s="1065"/>
      <c r="V48" s="1065"/>
      <c r="W48" s="1065"/>
    </row>
  </sheetData>
  <sheetProtection insertRows="0"/>
  <mergeCells count="120">
    <mergeCell ref="M3:N3"/>
    <mergeCell ref="M11:N11"/>
    <mergeCell ref="B46:W46"/>
    <mergeCell ref="B47:W47"/>
    <mergeCell ref="C39:F39"/>
    <mergeCell ref="M39:N39"/>
    <mergeCell ref="C40:F40"/>
    <mergeCell ref="M40:N40"/>
    <mergeCell ref="C41:F41"/>
    <mergeCell ref="C36:F36"/>
    <mergeCell ref="A44:C44"/>
    <mergeCell ref="B45:W45"/>
    <mergeCell ref="C37:F37"/>
    <mergeCell ref="M37:N37"/>
    <mergeCell ref="C38:F38"/>
    <mergeCell ref="M38:N38"/>
    <mergeCell ref="M41:N41"/>
    <mergeCell ref="C34:F34"/>
    <mergeCell ref="M34:N34"/>
    <mergeCell ref="C35:F35"/>
    <mergeCell ref="M35:N35"/>
    <mergeCell ref="C31:F31"/>
    <mergeCell ref="M31:N31"/>
    <mergeCell ref="M29:N29"/>
    <mergeCell ref="C30:F30"/>
    <mergeCell ref="M30:N30"/>
    <mergeCell ref="C32:E32"/>
    <mergeCell ref="F32:F33"/>
    <mergeCell ref="M32:N32"/>
    <mergeCell ref="C33:E33"/>
    <mergeCell ref="M33:N33"/>
    <mergeCell ref="C24:F24"/>
    <mergeCell ref="M24:N24"/>
    <mergeCell ref="C25:D25"/>
    <mergeCell ref="E25:F29"/>
    <mergeCell ref="M25:N25"/>
    <mergeCell ref="C26:D26"/>
    <mergeCell ref="M26:N26"/>
    <mergeCell ref="C27:D27"/>
    <mergeCell ref="M27:N27"/>
    <mergeCell ref="C29:D29"/>
    <mergeCell ref="C28:D28"/>
    <mergeCell ref="M28:N28"/>
    <mergeCell ref="C21:F21"/>
    <mergeCell ref="M21:N21"/>
    <mergeCell ref="C22:F22"/>
    <mergeCell ref="M22:N22"/>
    <mergeCell ref="C23:F23"/>
    <mergeCell ref="M23:N23"/>
    <mergeCell ref="C16:F16"/>
    <mergeCell ref="M16:N16"/>
    <mergeCell ref="C17:F17"/>
    <mergeCell ref="M17:N17"/>
    <mergeCell ref="B18:B20"/>
    <mergeCell ref="C18:F18"/>
    <mergeCell ref="M18:N18"/>
    <mergeCell ref="C19:F19"/>
    <mergeCell ref="M19:N19"/>
    <mergeCell ref="C20:F20"/>
    <mergeCell ref="C14:F15"/>
    <mergeCell ref="I14:I15"/>
    <mergeCell ref="J14:J15"/>
    <mergeCell ref="M14:N14"/>
    <mergeCell ref="M20:N20"/>
    <mergeCell ref="R14:R15"/>
    <mergeCell ref="M15:N15"/>
    <mergeCell ref="A11:C11"/>
    <mergeCell ref="D11:E11"/>
    <mergeCell ref="F11:G11"/>
    <mergeCell ref="I11:L11"/>
    <mergeCell ref="Q11:W11"/>
    <mergeCell ref="I13:K13"/>
    <mergeCell ref="M13:O13"/>
    <mergeCell ref="Q13:S13"/>
    <mergeCell ref="V14:V15"/>
    <mergeCell ref="W14:W15"/>
    <mergeCell ref="F7:G7"/>
    <mergeCell ref="I7:L7"/>
    <mergeCell ref="Q7:W7"/>
    <mergeCell ref="A8:C8"/>
    <mergeCell ref="D8:E8"/>
    <mergeCell ref="F8:G8"/>
    <mergeCell ref="I8:L8"/>
    <mergeCell ref="M8:N8"/>
    <mergeCell ref="A10:C10"/>
    <mergeCell ref="D10:E10"/>
    <mergeCell ref="F10:G10"/>
    <mergeCell ref="I10:L10"/>
    <mergeCell ref="M10:N10"/>
    <mergeCell ref="Q10:W10"/>
    <mergeCell ref="Q8:W9"/>
    <mergeCell ref="A9:C9"/>
    <mergeCell ref="D9:E9"/>
    <mergeCell ref="F9:G9"/>
    <mergeCell ref="I9:L9"/>
    <mergeCell ref="M9:N9"/>
    <mergeCell ref="B48:W48"/>
    <mergeCell ref="A1:K1"/>
    <mergeCell ref="Q3:W3"/>
    <mergeCell ref="A4:C4"/>
    <mergeCell ref="D4:E4"/>
    <mergeCell ref="F4:G4"/>
    <mergeCell ref="I4:L4"/>
    <mergeCell ref="M4:N4"/>
    <mergeCell ref="Q4:W4"/>
    <mergeCell ref="L1:U1"/>
    <mergeCell ref="A6:C6"/>
    <mergeCell ref="D6:E6"/>
    <mergeCell ref="F6:G6"/>
    <mergeCell ref="I6:L6"/>
    <mergeCell ref="M6:N6"/>
    <mergeCell ref="Q6:W6"/>
    <mergeCell ref="A5:C5"/>
    <mergeCell ref="D5:E5"/>
    <mergeCell ref="F5:G5"/>
    <mergeCell ref="I5:L5"/>
    <mergeCell ref="M5:N5"/>
    <mergeCell ref="Q5:W5"/>
    <mergeCell ref="A7:C7"/>
    <mergeCell ref="D7:E7"/>
  </mergeCells>
  <conditionalFormatting sqref="E25">
    <cfRule type="cellIs" dxfId="65" priority="1" operator="notEqual">
      <formula>"GC 76000 PA ($" &amp;O11 &amp;" for every 10) breakdown per local board of supervisor resolution (BOS)."</formula>
    </cfRule>
  </conditionalFormatting>
  <conditionalFormatting sqref="I16:I20">
    <cfRule type="cellIs" dxfId="64" priority="17" stopIfTrue="1" operator="equal">
      <formula>0</formula>
    </cfRule>
  </conditionalFormatting>
  <conditionalFormatting sqref="I18:K30 J31:K31 I32:K35 J36:K41">
    <cfRule type="cellIs" dxfId="63" priority="14" operator="equal">
      <formula>0</formula>
    </cfRule>
  </conditionalFormatting>
  <conditionalFormatting sqref="M16:O41">
    <cfRule type="expression" dxfId="62" priority="15">
      <formula>MOD(ROW(),2)=0</formula>
    </cfRule>
  </conditionalFormatting>
  <conditionalFormatting sqref="Q16:S41">
    <cfRule type="cellIs" dxfId="61" priority="19" stopIfTrue="1" operator="equal">
      <formula>0</formula>
    </cfRule>
  </conditionalFormatting>
  <conditionalFormatting sqref="U12:V13 U44:V44 U49:V65532">
    <cfRule type="cellIs" dxfId="60" priority="18" stopIfTrue="1" operator="notEqual">
      <formula>0</formula>
    </cfRule>
  </conditionalFormatting>
  <conditionalFormatting sqref="V18:V41">
    <cfRule type="cellIs" dxfId="59" priority="2" operator="greaterThan">
      <formula>0</formula>
    </cfRule>
  </conditionalFormatting>
  <dataValidations count="3">
    <dataValidation type="list" allowBlank="1" showInputMessage="1" showErrorMessage="1" sqref="U15" xr:uid="{00000000-0002-0000-2100-000000000000}">
      <formula1>Distribution_Method</formula1>
    </dataValidation>
    <dataValidation type="list" allowBlank="1" showInputMessage="1" showErrorMessage="1" sqref="D9:E9" xr:uid="{00000000-0002-0000-2100-000001000000}">
      <formula1>Yes_No_NA</formula1>
    </dataValidation>
    <dataValidation type="list" allowBlank="1" showInputMessage="1" showErrorMessage="1" sqref="D8:E8" xr:uid="{00000000-0002-0000-2100-000002000000}">
      <formula1>Yes_No_NA_City</formula1>
    </dataValidation>
  </dataValidations>
  <printOptions horizontalCentered="1"/>
  <pageMargins left="0.25" right="0.25" top="0.75" bottom="0.5" header="0.25" footer="0.25"/>
  <pageSetup scale="66" orientation="landscape" r:id="rId1"/>
  <headerFooter alignWithMargins="0">
    <oddHeader>&amp;CSUPERIOR OF COURT OF _________ COUNTY
Revenue Calculation and Distribution Worksheet</oddHeader>
    <oddFooter>&amp;L&amp;F&amp;R&amp;P of &amp;N</oddFooter>
  </headerFooter>
  <ignoredErrors>
    <ignoredError sqref="J31 K35 U35 S35 Q31" formula="1"/>
    <ignoredError sqref="I18:I2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20161" r:id="rId4" name="Button 1">
              <controlPr defaultSize="0" print="0" autoFill="0" autoPict="0" macro="mcr_GoToSummary">
                <anchor moveWithCells="1">
                  <from>
                    <xdr:col>0</xdr:col>
                    <xdr:colOff>88900</xdr:colOff>
                    <xdr:row>0</xdr:row>
                    <xdr:rowOff>0</xdr:rowOff>
                  </from>
                  <to>
                    <xdr:col>2</xdr:col>
                    <xdr:colOff>1028700</xdr:colOff>
                    <xdr:row>1</xdr:row>
                    <xdr:rowOff>31750</xdr:rowOff>
                  </to>
                </anchor>
              </controlPr>
            </control>
          </mc:Choice>
        </mc:AlternateContent>
        <mc:AlternateContent xmlns:mc="http://schemas.openxmlformats.org/markup-compatibility/2006">
          <mc:Choice Requires="x14">
            <control shapeId="220162" r:id="rId5" name="Button 2">
              <controlPr defaultSize="0" print="0" autoFill="0" autoPict="0" macro="[0]!mcrDisableTwoPercentUnprotect">
                <anchor moveWithCells="1">
                  <from>
                    <xdr:col>0</xdr:col>
                    <xdr:colOff>12700</xdr:colOff>
                    <xdr:row>13</xdr:row>
                    <xdr:rowOff>527050</xdr:rowOff>
                  </from>
                  <to>
                    <xdr:col>0</xdr:col>
                    <xdr:colOff>279400</xdr:colOff>
                    <xdr:row>14</xdr:row>
                    <xdr:rowOff>222250</xdr:rowOff>
                  </to>
                </anchor>
              </controlPr>
            </control>
          </mc:Choice>
        </mc:AlternateContent>
        <mc:AlternateContent xmlns:mc="http://schemas.openxmlformats.org/markup-compatibility/2006">
          <mc:Choice Requires="x14">
            <control shapeId="220163" r:id="rId6" name="Button 3">
              <controlPr defaultSize="0" print="0" autoFill="0" autoPict="0" macro="[0]!mcrEnableTwoPercentUnprotect">
                <anchor moveWithCells="1">
                  <from>
                    <xdr:col>0</xdr:col>
                    <xdr:colOff>0</xdr:colOff>
                    <xdr:row>13</xdr:row>
                    <xdr:rowOff>222250</xdr:rowOff>
                  </from>
                  <to>
                    <xdr:col>0</xdr:col>
                    <xdr:colOff>266700</xdr:colOff>
                    <xdr:row>13</xdr:row>
                    <xdr:rowOff>552450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51">
    <tabColor theme="6"/>
    <pageSetUpPr fitToPage="1"/>
  </sheetPr>
  <dimension ref="A1:AB53"/>
  <sheetViews>
    <sheetView zoomScale="80" zoomScaleNormal="80" workbookViewId="0">
      <pane ySplit="1" topLeftCell="A2" activePane="bottomLeft" state="frozen"/>
      <selection pane="bottomLeft" sqref="A1:K1"/>
    </sheetView>
  </sheetViews>
  <sheetFormatPr defaultColWidth="9.1796875" defaultRowHeight="18.5" x14ac:dyDescent="0.25"/>
  <cols>
    <col min="1" max="1" width="4.26953125" style="87" customWidth="1"/>
    <col min="2" max="2" width="4.7265625" style="87" customWidth="1"/>
    <col min="3" max="3" width="17.453125" style="87" customWidth="1"/>
    <col min="4" max="4" width="12" style="87" customWidth="1"/>
    <col min="5" max="5" width="10" style="88" customWidth="1"/>
    <col min="6" max="6" width="19.81640625" style="121" customWidth="1"/>
    <col min="7" max="7" width="9.1796875" style="46" customWidth="1"/>
    <col min="8" max="8" width="29.453125" style="46" hidden="1" customWidth="1"/>
    <col min="9" max="9" width="8.1796875" style="46" customWidth="1"/>
    <col min="10" max="10" width="6" style="46" customWidth="1"/>
    <col min="11" max="11" width="11.1796875" style="92" customWidth="1"/>
    <col min="12" max="12" width="1.7265625" style="89" customWidth="1"/>
    <col min="13" max="13" width="15.26953125" style="46" customWidth="1"/>
    <col min="14" max="14" width="1.54296875" style="46" customWidth="1"/>
    <col min="15" max="15" width="11" style="46" customWidth="1"/>
    <col min="16" max="16" width="1.81640625" style="89" customWidth="1"/>
    <col min="17" max="17" width="10.81640625" style="89" customWidth="1"/>
    <col min="18" max="18" width="5.7265625" style="89" customWidth="1"/>
    <col min="19" max="19" width="10.7265625" style="89" customWidth="1"/>
    <col min="20" max="20" width="1.81640625" style="50" customWidth="1"/>
    <col min="21" max="21" width="12.453125" style="90" customWidth="1"/>
    <col min="22" max="22" width="5.26953125" style="90" customWidth="1"/>
    <col min="23" max="23" width="19.26953125" style="91" customWidth="1"/>
    <col min="24" max="24" width="2.1796875" style="50" customWidth="1"/>
    <col min="25" max="25" width="11.26953125" style="50" customWidth="1"/>
    <col min="26" max="26" width="11.1796875" style="50" customWidth="1"/>
    <col min="27" max="28" width="9.1796875" style="50"/>
    <col min="29" max="16384" width="9.1796875" style="46"/>
  </cols>
  <sheetData>
    <row r="1" spans="1:28" ht="20.25" customHeight="1" thickBot="1" x14ac:dyDescent="0.3">
      <c r="A1" s="1081" t="s">
        <v>441</v>
      </c>
      <c r="B1" s="1082"/>
      <c r="C1" s="1082"/>
      <c r="D1" s="1082"/>
      <c r="E1" s="1082"/>
      <c r="F1" s="1082"/>
      <c r="G1" s="1082"/>
      <c r="H1" s="1082"/>
      <c r="I1" s="1082"/>
      <c r="J1" s="1082"/>
      <c r="K1" s="1082"/>
      <c r="L1" s="1079"/>
      <c r="M1" s="1079"/>
      <c r="N1" s="1079"/>
      <c r="O1" s="1079"/>
      <c r="P1" s="1079"/>
      <c r="Q1" s="1079"/>
      <c r="R1" s="1079"/>
      <c r="S1" s="1079"/>
      <c r="T1" s="1079"/>
      <c r="U1" s="1079"/>
      <c r="V1" s="592" t="s">
        <v>485</v>
      </c>
      <c r="W1" s="612" t="str">
        <f>'Cover Page'!A3</f>
        <v>January 2014</v>
      </c>
    </row>
    <row r="2" spans="1:28" s="50" customFormat="1" ht="6" customHeight="1" thickBot="1" x14ac:dyDescent="0.3">
      <c r="A2" s="47"/>
      <c r="B2" s="47"/>
      <c r="C2" s="47"/>
      <c r="D2" s="47"/>
      <c r="E2" s="47"/>
      <c r="F2" s="47"/>
      <c r="G2" s="47"/>
      <c r="H2" s="47"/>
      <c r="I2" s="47"/>
      <c r="J2" s="48"/>
      <c r="K2" s="48"/>
      <c r="L2" s="48"/>
      <c r="M2" s="48"/>
      <c r="N2" s="48"/>
      <c r="O2" s="49"/>
      <c r="P2" s="49"/>
      <c r="Q2" s="49"/>
      <c r="R2" s="49"/>
      <c r="S2" s="49"/>
      <c r="T2" s="49"/>
      <c r="U2" s="49"/>
      <c r="V2" s="49"/>
      <c r="W2" s="49"/>
    </row>
    <row r="3" spans="1:28" s="50" customFormat="1" ht="19" thickBot="1" x14ac:dyDescent="0.3">
      <c r="A3" s="630" t="s">
        <v>234</v>
      </c>
      <c r="B3" s="631"/>
      <c r="C3" s="631"/>
      <c r="D3" s="631"/>
      <c r="E3" s="631"/>
      <c r="F3" s="631"/>
      <c r="G3" s="631"/>
      <c r="H3" s="631"/>
      <c r="I3" s="631"/>
      <c r="J3" s="631"/>
      <c r="K3" s="631"/>
      <c r="L3" s="631"/>
      <c r="M3" s="1221"/>
      <c r="N3" s="1245"/>
      <c r="O3" s="638"/>
      <c r="P3" s="159"/>
      <c r="Q3" s="901" t="s">
        <v>261</v>
      </c>
      <c r="R3" s="902"/>
      <c r="S3" s="902"/>
      <c r="T3" s="902"/>
      <c r="U3" s="902"/>
      <c r="V3" s="902"/>
      <c r="W3" s="903"/>
      <c r="Y3" s="159" t="s">
        <v>250</v>
      </c>
      <c r="Z3" s="120"/>
    </row>
    <row r="4" spans="1:28" s="53" customFormat="1" ht="15.5" x14ac:dyDescent="0.25">
      <c r="A4" s="904" t="s">
        <v>231</v>
      </c>
      <c r="B4" s="905"/>
      <c r="C4" s="905"/>
      <c r="D4" s="906">
        <f>L1</f>
        <v>0</v>
      </c>
      <c r="E4" s="907"/>
      <c r="F4" s="877" t="s">
        <v>28</v>
      </c>
      <c r="G4" s="878"/>
      <c r="H4" s="169"/>
      <c r="I4" s="879" t="s">
        <v>387</v>
      </c>
      <c r="J4" s="879"/>
      <c r="K4" s="879"/>
      <c r="L4" s="880"/>
      <c r="M4" s="910" t="s">
        <v>257</v>
      </c>
      <c r="N4" s="910"/>
      <c r="O4" s="191"/>
      <c r="P4" s="95"/>
      <c r="Q4" s="911" t="s">
        <v>236</v>
      </c>
      <c r="R4" s="912"/>
      <c r="S4" s="912"/>
      <c r="T4" s="912"/>
      <c r="U4" s="912"/>
      <c r="V4" s="912"/>
      <c r="W4" s="913"/>
      <c r="Y4" s="243" t="s">
        <v>308</v>
      </c>
      <c r="Z4" s="241" t="s">
        <v>309</v>
      </c>
      <c r="AA4" s="241" t="s">
        <v>310</v>
      </c>
    </row>
    <row r="5" spans="1:28" s="53" customFormat="1" ht="15.5" x14ac:dyDescent="0.25">
      <c r="A5" s="882" t="s">
        <v>4</v>
      </c>
      <c r="B5" s="883"/>
      <c r="C5" s="883"/>
      <c r="D5" s="894"/>
      <c r="E5" s="885"/>
      <c r="F5" s="844" t="s">
        <v>244</v>
      </c>
      <c r="G5" s="845"/>
      <c r="H5" s="167"/>
      <c r="I5" s="846" t="s">
        <v>388</v>
      </c>
      <c r="J5" s="846"/>
      <c r="K5" s="846"/>
      <c r="L5" s="847"/>
      <c r="M5" s="872" t="s">
        <v>22</v>
      </c>
      <c r="N5" s="872"/>
      <c r="O5" s="54"/>
      <c r="P5" s="95"/>
      <c r="Q5" s="897" t="s">
        <v>302</v>
      </c>
      <c r="R5" s="898"/>
      <c r="S5" s="898"/>
      <c r="T5" s="898"/>
      <c r="U5" s="898"/>
      <c r="V5" s="898"/>
      <c r="W5" s="899"/>
      <c r="Y5" s="157" t="s">
        <v>31</v>
      </c>
      <c r="Z5" s="161">
        <f>SUMIF($G$16:$G$46,"STATE",$K$16:$K$46)</f>
        <v>82</v>
      </c>
      <c r="AA5" s="161">
        <f>SUMIF($G$16:$G$46,"STATE",$S$16:$S$46)</f>
        <v>0</v>
      </c>
    </row>
    <row r="6" spans="1:28" s="53" customFormat="1" ht="16" thickBot="1" x14ac:dyDescent="0.3">
      <c r="A6" s="882" t="s">
        <v>12</v>
      </c>
      <c r="B6" s="883"/>
      <c r="C6" s="883"/>
      <c r="D6" s="894"/>
      <c r="E6" s="900"/>
      <c r="F6" s="844" t="s">
        <v>20</v>
      </c>
      <c r="G6" s="845"/>
      <c r="H6" s="167"/>
      <c r="I6" s="846" t="s">
        <v>389</v>
      </c>
      <c r="J6" s="846"/>
      <c r="K6" s="846"/>
      <c r="L6" s="847"/>
      <c r="M6" s="848" t="s">
        <v>233</v>
      </c>
      <c r="N6" s="848"/>
      <c r="O6" s="194">
        <f>O4+O5*10</f>
        <v>0</v>
      </c>
      <c r="P6" s="95"/>
      <c r="Q6" s="891" t="s">
        <v>573</v>
      </c>
      <c r="R6" s="892"/>
      <c r="S6" s="892"/>
      <c r="T6" s="892"/>
      <c r="U6" s="892"/>
      <c r="V6" s="892"/>
      <c r="W6" s="893"/>
      <c r="Y6" s="157" t="s">
        <v>32</v>
      </c>
      <c r="Z6" s="161">
        <f>SUMIF($G$16:$G$46,"COUNTY",$K$16:$K$46)</f>
        <v>49</v>
      </c>
      <c r="AA6" s="161">
        <f>SUMIF($G$16:$G$46,"COUNTY",$S$16:$S$46)</f>
        <v>0</v>
      </c>
    </row>
    <row r="7" spans="1:28" s="53" customFormat="1" ht="16" thickBot="1" x14ac:dyDescent="0.3">
      <c r="A7" s="882" t="s">
        <v>5</v>
      </c>
      <c r="B7" s="883"/>
      <c r="C7" s="883"/>
      <c r="D7" s="884"/>
      <c r="E7" s="885"/>
      <c r="F7" s="856" t="s">
        <v>21</v>
      </c>
      <c r="G7" s="857"/>
      <c r="H7" s="168"/>
      <c r="I7" s="858" t="s">
        <v>66</v>
      </c>
      <c r="J7" s="858"/>
      <c r="K7" s="858"/>
      <c r="L7" s="859"/>
      <c r="M7" s="216"/>
      <c r="N7" s="220"/>
      <c r="O7" s="217"/>
      <c r="P7" s="95"/>
      <c r="Q7" s="888" t="s">
        <v>235</v>
      </c>
      <c r="R7" s="889"/>
      <c r="S7" s="889"/>
      <c r="T7" s="889"/>
      <c r="U7" s="889"/>
      <c r="V7" s="889"/>
      <c r="W7" s="890"/>
      <c r="Y7" s="157" t="s">
        <v>52</v>
      </c>
      <c r="Z7" s="161">
        <f>SUMIF($G$16:$G$46,"CITY",$K$16:$K$46)</f>
        <v>0</v>
      </c>
      <c r="AA7" s="161">
        <f>SUMIF($G$16:$G$46,"CITY",$S$16:$S$46)</f>
        <v>0</v>
      </c>
    </row>
    <row r="8" spans="1:28" s="53" customFormat="1" ht="15.75" customHeight="1" x14ac:dyDescent="0.25">
      <c r="A8" s="873" t="s">
        <v>434</v>
      </c>
      <c r="B8" s="874"/>
      <c r="C8" s="874"/>
      <c r="D8" s="884" t="s">
        <v>436</v>
      </c>
      <c r="E8" s="885"/>
      <c r="F8" s="877" t="s">
        <v>253</v>
      </c>
      <c r="G8" s="878"/>
      <c r="H8" s="169"/>
      <c r="I8" s="879"/>
      <c r="J8" s="879"/>
      <c r="K8" s="879"/>
      <c r="L8" s="880"/>
      <c r="M8" s="881" t="s">
        <v>257</v>
      </c>
      <c r="N8" s="881"/>
      <c r="O8" s="51"/>
      <c r="P8" s="138"/>
      <c r="Q8" s="862" t="s">
        <v>303</v>
      </c>
      <c r="R8" s="863"/>
      <c r="S8" s="863"/>
      <c r="T8" s="863"/>
      <c r="U8" s="863"/>
      <c r="V8" s="863"/>
      <c r="W8" s="864"/>
      <c r="Y8" s="157" t="s">
        <v>230</v>
      </c>
      <c r="Z8" s="161">
        <f>SUMIF($G$16:$G$46,"COURT",$K$16:$K$46)</f>
        <v>0</v>
      </c>
      <c r="AA8" s="161">
        <f>SUMIF($G$16:$G$46,"COURT",$S$16:$S$46)</f>
        <v>0</v>
      </c>
    </row>
    <row r="9" spans="1:28" s="53" customFormat="1" ht="18" customHeight="1" thickBot="1" x14ac:dyDescent="0.3">
      <c r="A9" s="868" t="s">
        <v>435</v>
      </c>
      <c r="B9" s="869"/>
      <c r="C9" s="869"/>
      <c r="D9" s="884" t="s">
        <v>437</v>
      </c>
      <c r="E9" s="885"/>
      <c r="F9" s="844" t="s">
        <v>244</v>
      </c>
      <c r="G9" s="845"/>
      <c r="H9" s="167"/>
      <c r="I9" s="846"/>
      <c r="J9" s="846"/>
      <c r="K9" s="846"/>
      <c r="L9" s="847"/>
      <c r="M9" s="872" t="s">
        <v>22</v>
      </c>
      <c r="N9" s="872"/>
      <c r="O9" s="54"/>
      <c r="P9" s="138"/>
      <c r="Q9" s="865"/>
      <c r="R9" s="866"/>
      <c r="S9" s="866"/>
      <c r="T9" s="866"/>
      <c r="U9" s="866"/>
      <c r="V9" s="866"/>
      <c r="W9" s="867"/>
      <c r="Y9" s="84" t="s">
        <v>446</v>
      </c>
      <c r="Z9" s="161">
        <f>SUMIF($G$16:$G$46,"CNTY or CTY",$K$16:$K$46)</f>
        <v>0</v>
      </c>
      <c r="AA9" s="161">
        <f>SUMIF($G$16:$G$46,"CNTY or CTY",$S$16:$S$46)</f>
        <v>0</v>
      </c>
    </row>
    <row r="10" spans="1:28" s="53" customFormat="1" ht="16.5" customHeight="1" thickBot="1" x14ac:dyDescent="0.3">
      <c r="A10" s="840" t="s">
        <v>276</v>
      </c>
      <c r="B10" s="841"/>
      <c r="C10" s="841"/>
      <c r="D10" s="1066">
        <f>O6+O10</f>
        <v>0</v>
      </c>
      <c r="E10" s="1067"/>
      <c r="F10" s="844" t="s">
        <v>20</v>
      </c>
      <c r="G10" s="845"/>
      <c r="H10" s="167"/>
      <c r="I10" s="846"/>
      <c r="J10" s="846"/>
      <c r="K10" s="846"/>
      <c r="L10" s="847"/>
      <c r="M10" s="848" t="s">
        <v>233</v>
      </c>
      <c r="N10" s="848"/>
      <c r="O10" s="194">
        <f>O8+O9*10</f>
        <v>0</v>
      </c>
      <c r="P10" s="218"/>
      <c r="Q10" s="849" t="s">
        <v>239</v>
      </c>
      <c r="R10" s="850"/>
      <c r="S10" s="850"/>
      <c r="T10" s="850"/>
      <c r="U10" s="850"/>
      <c r="V10" s="850"/>
      <c r="W10" s="851"/>
      <c r="Y10" s="158" t="s">
        <v>246</v>
      </c>
      <c r="Z10" s="134">
        <f>SUM(Z5:Z9)</f>
        <v>131</v>
      </c>
      <c r="AA10" s="134">
        <f>SUM(AA5:AA9)</f>
        <v>0</v>
      </c>
    </row>
    <row r="11" spans="1:28" s="53" customFormat="1" ht="16.5" customHeight="1" thickBot="1" x14ac:dyDescent="0.3">
      <c r="A11" s="852" t="s">
        <v>277</v>
      </c>
      <c r="B11" s="853"/>
      <c r="C11" s="853"/>
      <c r="D11" s="854">
        <f>ROUNDUP(D10/10,0)</f>
        <v>0</v>
      </c>
      <c r="E11" s="855"/>
      <c r="F11" s="856" t="s">
        <v>21</v>
      </c>
      <c r="G11" s="857"/>
      <c r="H11" s="168"/>
      <c r="I11" s="858"/>
      <c r="J11" s="858"/>
      <c r="K11" s="858"/>
      <c r="L11" s="859"/>
      <c r="M11" s="860" t="s">
        <v>568</v>
      </c>
      <c r="N11" s="1239"/>
      <c r="O11" s="632">
        <f>'1-DUI (Reduce Base)'!P11</f>
        <v>5</v>
      </c>
      <c r="P11" s="218"/>
      <c r="Q11" s="837" t="s">
        <v>430</v>
      </c>
      <c r="R11" s="838"/>
      <c r="S11" s="838"/>
      <c r="T11" s="838"/>
      <c r="U11" s="838"/>
      <c r="V11" s="838"/>
      <c r="W11" s="839"/>
      <c r="Z11" s="242">
        <f>Z10-K48</f>
        <v>0</v>
      </c>
      <c r="AA11" s="242">
        <f>AA10-S48</f>
        <v>0</v>
      </c>
    </row>
    <row r="12" spans="1:28" s="53" customFormat="1" ht="15.75" customHeight="1" thickBot="1" x14ac:dyDescent="0.3">
      <c r="A12" s="193"/>
      <c r="B12" s="193"/>
      <c r="C12" s="173"/>
      <c r="D12" s="173"/>
      <c r="E12" s="173"/>
      <c r="F12" s="60"/>
      <c r="G12" s="55"/>
      <c r="H12" s="56"/>
      <c r="I12" s="57"/>
      <c r="J12" s="57"/>
      <c r="K12" s="57"/>
      <c r="L12" s="57"/>
      <c r="O12" s="52"/>
      <c r="P12" s="52"/>
      <c r="Q12" s="52"/>
      <c r="R12" s="52"/>
      <c r="S12" s="52"/>
      <c r="T12" s="52"/>
      <c r="U12" s="58"/>
      <c r="V12" s="58"/>
      <c r="W12" s="56"/>
      <c r="AA12" s="59"/>
    </row>
    <row r="13" spans="1:28" s="98" customFormat="1" ht="18.75" customHeight="1" thickBot="1" x14ac:dyDescent="0.3">
      <c r="A13" s="174"/>
      <c r="B13" s="174"/>
      <c r="C13" s="174"/>
      <c r="D13" s="174"/>
      <c r="E13" s="174"/>
      <c r="F13" s="96"/>
      <c r="G13" s="97"/>
      <c r="I13" s="821" t="s">
        <v>297</v>
      </c>
      <c r="J13" s="822"/>
      <c r="K13" s="823"/>
      <c r="L13" s="99"/>
      <c r="M13" s="1155" t="s">
        <v>229</v>
      </c>
      <c r="N13" s="1156"/>
      <c r="O13" s="1157"/>
      <c r="P13" s="100"/>
      <c r="Q13" s="824" t="s">
        <v>295</v>
      </c>
      <c r="R13" s="825"/>
      <c r="S13" s="826"/>
      <c r="T13" s="207"/>
      <c r="U13" s="143"/>
      <c r="V13" s="143"/>
      <c r="W13" s="144"/>
      <c r="X13" s="97"/>
      <c r="Y13" s="97"/>
      <c r="Z13" s="97"/>
      <c r="AA13" s="97"/>
      <c r="AB13" s="97"/>
    </row>
    <row r="14" spans="1:28" ht="44.25" customHeight="1" thickBot="1" x14ac:dyDescent="0.3">
      <c r="A14" s="101">
        <v>0.02</v>
      </c>
      <c r="B14" s="101" t="s">
        <v>58</v>
      </c>
      <c r="C14" s="827" t="s">
        <v>226</v>
      </c>
      <c r="D14" s="828"/>
      <c r="E14" s="828"/>
      <c r="F14" s="829"/>
      <c r="G14" s="102" t="s">
        <v>249</v>
      </c>
      <c r="H14" s="103" t="s">
        <v>0</v>
      </c>
      <c r="I14" s="833" t="s">
        <v>298</v>
      </c>
      <c r="J14" s="835" t="s">
        <v>6</v>
      </c>
      <c r="K14" s="215" t="s">
        <v>299</v>
      </c>
      <c r="L14" s="61"/>
      <c r="M14" s="1122" t="s">
        <v>260</v>
      </c>
      <c r="N14" s="1123"/>
      <c r="O14" s="109" t="s">
        <v>248</v>
      </c>
      <c r="P14" s="110"/>
      <c r="Q14" s="564" t="s">
        <v>428</v>
      </c>
      <c r="R14" s="835" t="s">
        <v>6</v>
      </c>
      <c r="S14" s="215" t="s">
        <v>299</v>
      </c>
      <c r="T14" s="209"/>
      <c r="U14" s="189" t="s">
        <v>256</v>
      </c>
      <c r="V14" s="1148" t="s">
        <v>61</v>
      </c>
      <c r="W14" s="1150" t="s">
        <v>384</v>
      </c>
    </row>
    <row r="15" spans="1:28" ht="30.75" customHeight="1" thickBot="1" x14ac:dyDescent="0.3">
      <c r="A15" s="104"/>
      <c r="B15" s="104"/>
      <c r="C15" s="830"/>
      <c r="D15" s="831"/>
      <c r="E15" s="831"/>
      <c r="F15" s="832"/>
      <c r="G15" s="105"/>
      <c r="H15" s="105"/>
      <c r="I15" s="834"/>
      <c r="J15" s="836"/>
      <c r="K15" s="222" t="s">
        <v>42</v>
      </c>
      <c r="L15" s="62"/>
      <c r="M15" s="1120"/>
      <c r="N15" s="1121"/>
      <c r="O15" s="261" t="s">
        <v>43</v>
      </c>
      <c r="P15" s="110"/>
      <c r="Q15" s="224" t="e">
        <f>(Q35-Q31)/(I35-I31)</f>
        <v>#DIV/0!</v>
      </c>
      <c r="R15" s="836"/>
      <c r="S15" s="222" t="s">
        <v>44</v>
      </c>
      <c r="T15" s="209"/>
      <c r="U15" s="262" t="s">
        <v>300</v>
      </c>
      <c r="V15" s="1149"/>
      <c r="W15" s="1151"/>
    </row>
    <row r="16" spans="1:28" s="68" customFormat="1" ht="15.75" hidden="1" customHeight="1" thickTop="1" x14ac:dyDescent="0.25">
      <c r="A16" s="63" t="s">
        <v>8</v>
      </c>
      <c r="B16" s="177"/>
      <c r="C16" s="1105"/>
      <c r="D16" s="1105"/>
      <c r="E16" s="1105"/>
      <c r="F16" s="1105"/>
      <c r="G16" s="64"/>
      <c r="H16" s="65"/>
      <c r="I16" s="139"/>
      <c r="J16" s="147"/>
      <c r="K16" s="180"/>
      <c r="L16" s="149"/>
      <c r="M16" s="1135"/>
      <c r="N16" s="1136"/>
      <c r="O16" s="172"/>
      <c r="P16" s="66"/>
      <c r="Q16" s="145"/>
      <c r="R16" s="147"/>
      <c r="S16" s="151"/>
      <c r="T16" s="210"/>
      <c r="U16" s="145"/>
      <c r="V16" s="145"/>
      <c r="W16" s="94"/>
      <c r="X16" s="114"/>
      <c r="Y16" s="114"/>
      <c r="Z16" s="114"/>
      <c r="AA16" s="114"/>
      <c r="AB16" s="114"/>
    </row>
    <row r="17" spans="1:28" s="68" customFormat="1" ht="15.75" hidden="1" customHeight="1" thickBot="1" x14ac:dyDescent="0.3">
      <c r="A17" s="63" t="s">
        <v>8</v>
      </c>
      <c r="B17" s="238"/>
      <c r="C17" s="804"/>
      <c r="D17" s="805"/>
      <c r="E17" s="805"/>
      <c r="F17" s="945"/>
      <c r="G17" s="70"/>
      <c r="H17" s="71"/>
      <c r="I17" s="141"/>
      <c r="J17" s="147"/>
      <c r="K17" s="152"/>
      <c r="L17" s="149"/>
      <c r="M17" s="804"/>
      <c r="N17" s="1078"/>
      <c r="O17" s="252"/>
      <c r="P17" s="66"/>
      <c r="Q17" s="145"/>
      <c r="R17" s="147"/>
      <c r="S17" s="152"/>
      <c r="T17" s="210"/>
      <c r="U17" s="145"/>
      <c r="V17" s="145"/>
      <c r="W17" s="67"/>
      <c r="X17" s="114"/>
      <c r="Y17" s="114"/>
      <c r="Z17" s="114"/>
      <c r="AA17" s="114"/>
      <c r="AB17" s="114"/>
    </row>
    <row r="18" spans="1:28" s="68" customFormat="1" ht="15.75" customHeight="1" thickTop="1" x14ac:dyDescent="0.25">
      <c r="A18" s="63" t="s">
        <v>8</v>
      </c>
      <c r="B18" s="1249" t="s">
        <v>241</v>
      </c>
      <c r="C18" s="1105" t="s">
        <v>438</v>
      </c>
      <c r="D18" s="1105"/>
      <c r="E18" s="1105"/>
      <c r="F18" s="1105"/>
      <c r="G18" s="572" t="str">
        <f>IF(AND($D$9="Yes",$D$8="NA-City Arrest"), "CITY","COUNTY")</f>
        <v>COUNTY</v>
      </c>
      <c r="H18" s="71" t="s">
        <v>318</v>
      </c>
      <c r="I18" s="141">
        <f>$D$10*60%</f>
        <v>0</v>
      </c>
      <c r="J18" s="147">
        <f>IF(A18="Y",I18* 2%,0)</f>
        <v>0</v>
      </c>
      <c r="K18" s="152">
        <f>I18-J18</f>
        <v>0</v>
      </c>
      <c r="L18" s="149"/>
      <c r="M18" s="804"/>
      <c r="N18" s="1078"/>
      <c r="O18" s="172"/>
      <c r="P18" s="66"/>
      <c r="Q18" s="145">
        <f t="shared" ref="Q18:Q30" si="0">IF($Q$48=0,,I18*$Q$15)</f>
        <v>0</v>
      </c>
      <c r="R18" s="147">
        <f t="shared" ref="R18:R34" si="1">IF(A18="Y", Q18*2%,)</f>
        <v>0</v>
      </c>
      <c r="S18" s="152">
        <f t="shared" ref="S18:S45" si="2">Q18-R18</f>
        <v>0</v>
      </c>
      <c r="T18" s="210"/>
      <c r="U18" s="145">
        <f t="shared" ref="U18:U34" si="3">IF($U$15="BASE-UP   (B-A)", O18-K18,O18-S18)</f>
        <v>0</v>
      </c>
      <c r="V18" s="548"/>
      <c r="W18" s="67"/>
      <c r="X18" s="114"/>
      <c r="Y18" s="114"/>
      <c r="Z18" s="114"/>
      <c r="AA18" s="114"/>
      <c r="AB18" s="114"/>
    </row>
    <row r="19" spans="1:28" s="68" customFormat="1" ht="15.75" customHeight="1" x14ac:dyDescent="0.25">
      <c r="A19" s="63" t="s">
        <v>8</v>
      </c>
      <c r="B19" s="1249"/>
      <c r="C19" s="1105" t="s">
        <v>439</v>
      </c>
      <c r="D19" s="1105"/>
      <c r="E19" s="1105"/>
      <c r="F19" s="1105"/>
      <c r="G19" s="572" t="str">
        <f>IF(AND($D$9="Yes",$D$8="NA-City Arrest"), "CITY","COUNTY")</f>
        <v>COUNTY</v>
      </c>
      <c r="H19" s="71" t="s">
        <v>318</v>
      </c>
      <c r="I19" s="141">
        <f>$D$10*25%</f>
        <v>0</v>
      </c>
      <c r="J19" s="147">
        <f>IF(A19="Y",I19* 2%,0)</f>
        <v>0</v>
      </c>
      <c r="K19" s="152">
        <f>I19-J19</f>
        <v>0</v>
      </c>
      <c r="L19" s="149"/>
      <c r="M19" s="804"/>
      <c r="N19" s="1078"/>
      <c r="O19" s="72"/>
      <c r="P19" s="66"/>
      <c r="Q19" s="145">
        <f t="shared" si="0"/>
        <v>0</v>
      </c>
      <c r="R19" s="147">
        <f t="shared" si="1"/>
        <v>0</v>
      </c>
      <c r="S19" s="152">
        <f t="shared" si="2"/>
        <v>0</v>
      </c>
      <c r="T19" s="210"/>
      <c r="U19" s="145">
        <f t="shared" si="3"/>
        <v>0</v>
      </c>
      <c r="V19" s="548"/>
      <c r="W19" s="67"/>
      <c r="X19" s="114"/>
      <c r="Y19" s="114"/>
      <c r="Z19" s="114"/>
      <c r="AA19" s="114"/>
      <c r="AB19" s="114"/>
    </row>
    <row r="20" spans="1:28" s="68" customFormat="1" ht="15.75" customHeight="1" x14ac:dyDescent="0.25">
      <c r="A20" s="63" t="s">
        <v>8</v>
      </c>
      <c r="B20" s="820"/>
      <c r="C20" s="1105" t="s">
        <v>440</v>
      </c>
      <c r="D20" s="1105"/>
      <c r="E20" s="1105"/>
      <c r="F20" s="1105"/>
      <c r="G20" s="572" t="str">
        <f>IF($D$8="Yes", "COUNTY", "CITY")</f>
        <v>COUNTY</v>
      </c>
      <c r="H20" s="71" t="s">
        <v>318</v>
      </c>
      <c r="I20" s="141">
        <f>$D$10*15%</f>
        <v>0</v>
      </c>
      <c r="J20" s="147">
        <f t="shared" ref="J20:J34" si="4">IF(A20="Y",I20* 2%,0)</f>
        <v>0</v>
      </c>
      <c r="K20" s="152">
        <f t="shared" ref="K20:K33" si="5">I20-J20</f>
        <v>0</v>
      </c>
      <c r="L20" s="149"/>
      <c r="M20" s="804"/>
      <c r="N20" s="1078"/>
      <c r="O20" s="72"/>
      <c r="P20" s="66"/>
      <c r="Q20" s="145">
        <f t="shared" si="0"/>
        <v>0</v>
      </c>
      <c r="R20" s="147">
        <f t="shared" si="1"/>
        <v>0</v>
      </c>
      <c r="S20" s="152">
        <f t="shared" si="2"/>
        <v>0</v>
      </c>
      <c r="T20" s="210"/>
      <c r="U20" s="145">
        <f t="shared" si="3"/>
        <v>0</v>
      </c>
      <c r="V20" s="548"/>
      <c r="W20" s="67"/>
      <c r="X20" s="114"/>
      <c r="Y20" s="114"/>
      <c r="Z20" s="114"/>
      <c r="AA20" s="114"/>
      <c r="AB20" s="114"/>
    </row>
    <row r="21" spans="1:28" s="68" customFormat="1" ht="15.75" customHeight="1" x14ac:dyDescent="0.25">
      <c r="A21" s="63" t="s">
        <v>8</v>
      </c>
      <c r="B21" s="69">
        <v>7</v>
      </c>
      <c r="C21" s="812" t="s">
        <v>546</v>
      </c>
      <c r="D21" s="812"/>
      <c r="E21" s="812"/>
      <c r="F21" s="812"/>
      <c r="G21" s="566" t="s">
        <v>31</v>
      </c>
      <c r="H21" s="71" t="s">
        <v>26</v>
      </c>
      <c r="I21" s="140">
        <f>$D$11*B21</f>
        <v>0</v>
      </c>
      <c r="J21" s="147">
        <f t="shared" si="4"/>
        <v>0</v>
      </c>
      <c r="K21" s="152">
        <f t="shared" si="5"/>
        <v>0</v>
      </c>
      <c r="L21" s="149"/>
      <c r="M21" s="804"/>
      <c r="N21" s="1078"/>
      <c r="O21" s="74"/>
      <c r="P21" s="75"/>
      <c r="Q21" s="145">
        <f t="shared" si="0"/>
        <v>0</v>
      </c>
      <c r="R21" s="147">
        <f t="shared" si="1"/>
        <v>0</v>
      </c>
      <c r="S21" s="152">
        <f t="shared" si="2"/>
        <v>0</v>
      </c>
      <c r="T21" s="210"/>
      <c r="U21" s="145">
        <f t="shared" si="3"/>
        <v>0</v>
      </c>
      <c r="V21" s="548"/>
      <c r="W21" s="67"/>
      <c r="X21" s="114"/>
      <c r="Y21" s="114"/>
      <c r="Z21" s="114"/>
      <c r="AA21" s="114"/>
      <c r="AB21" s="114"/>
    </row>
    <row r="22" spans="1:28" s="68" customFormat="1" ht="15.75" customHeight="1" x14ac:dyDescent="0.25">
      <c r="A22" s="63" t="s">
        <v>8</v>
      </c>
      <c r="B22" s="69">
        <v>3</v>
      </c>
      <c r="C22" s="812" t="s">
        <v>547</v>
      </c>
      <c r="D22" s="812"/>
      <c r="E22" s="812"/>
      <c r="F22" s="812"/>
      <c r="G22" s="566" t="s">
        <v>32</v>
      </c>
      <c r="H22" s="71" t="s">
        <v>27</v>
      </c>
      <c r="I22" s="140">
        <f t="shared" ref="I22:I33" si="6">$D$11*B22</f>
        <v>0</v>
      </c>
      <c r="J22" s="147">
        <f t="shared" si="4"/>
        <v>0</v>
      </c>
      <c r="K22" s="152">
        <f t="shared" si="5"/>
        <v>0</v>
      </c>
      <c r="L22" s="149"/>
      <c r="M22" s="804"/>
      <c r="N22" s="1078"/>
      <c r="O22" s="72"/>
      <c r="P22" s="66"/>
      <c r="Q22" s="145">
        <f t="shared" si="0"/>
        <v>0</v>
      </c>
      <c r="R22" s="147">
        <f t="shared" si="1"/>
        <v>0</v>
      </c>
      <c r="S22" s="152">
        <f t="shared" si="2"/>
        <v>0</v>
      </c>
      <c r="T22" s="210"/>
      <c r="U22" s="145">
        <f t="shared" si="3"/>
        <v>0</v>
      </c>
      <c r="V22" s="548"/>
      <c r="W22" s="67"/>
      <c r="X22" s="114"/>
      <c r="Y22" s="114"/>
      <c r="Z22" s="114"/>
      <c r="AA22" s="114"/>
      <c r="AB22" s="114"/>
    </row>
    <row r="23" spans="1:28" s="68" customFormat="1" ht="15.75" customHeight="1" x14ac:dyDescent="0.25">
      <c r="A23" s="63" t="s">
        <v>8</v>
      </c>
      <c r="B23" s="69">
        <v>1</v>
      </c>
      <c r="C23" s="804" t="s">
        <v>216</v>
      </c>
      <c r="D23" s="805"/>
      <c r="E23" s="805"/>
      <c r="F23" s="945"/>
      <c r="G23" s="566" t="s">
        <v>32</v>
      </c>
      <c r="H23" s="71" t="s">
        <v>55</v>
      </c>
      <c r="I23" s="140">
        <f t="shared" si="6"/>
        <v>0</v>
      </c>
      <c r="J23" s="147">
        <f t="shared" si="4"/>
        <v>0</v>
      </c>
      <c r="K23" s="152">
        <f t="shared" si="5"/>
        <v>0</v>
      </c>
      <c r="L23" s="149"/>
      <c r="M23" s="804"/>
      <c r="N23" s="1078"/>
      <c r="O23" s="72"/>
      <c r="P23" s="66"/>
      <c r="Q23" s="145">
        <f t="shared" si="0"/>
        <v>0</v>
      </c>
      <c r="R23" s="147">
        <f t="shared" si="1"/>
        <v>0</v>
      </c>
      <c r="S23" s="152">
        <f t="shared" si="2"/>
        <v>0</v>
      </c>
      <c r="T23" s="210"/>
      <c r="U23" s="145">
        <f t="shared" si="3"/>
        <v>0</v>
      </c>
      <c r="V23" s="548"/>
      <c r="W23" s="67"/>
      <c r="X23" s="114"/>
      <c r="Y23" s="114"/>
      <c r="Z23" s="114"/>
      <c r="AA23" s="114"/>
      <c r="AB23" s="114"/>
    </row>
    <row r="24" spans="1:28" s="68" customFormat="1" ht="15.75" customHeight="1" x14ac:dyDescent="0.25">
      <c r="A24" s="63" t="s">
        <v>8</v>
      </c>
      <c r="B24" s="69">
        <v>4</v>
      </c>
      <c r="C24" s="804" t="s">
        <v>466</v>
      </c>
      <c r="D24" s="805"/>
      <c r="E24" s="805"/>
      <c r="F24" s="945"/>
      <c r="G24" s="566" t="s">
        <v>31</v>
      </c>
      <c r="H24" s="71" t="s">
        <v>72</v>
      </c>
      <c r="I24" s="140">
        <f t="shared" si="6"/>
        <v>0</v>
      </c>
      <c r="J24" s="147">
        <f t="shared" si="4"/>
        <v>0</v>
      </c>
      <c r="K24" s="152">
        <f t="shared" si="5"/>
        <v>0</v>
      </c>
      <c r="L24" s="149"/>
      <c r="M24" s="804"/>
      <c r="N24" s="1078"/>
      <c r="O24" s="72"/>
      <c r="P24" s="66"/>
      <c r="Q24" s="145">
        <f t="shared" si="0"/>
        <v>0</v>
      </c>
      <c r="R24" s="147">
        <f t="shared" si="1"/>
        <v>0</v>
      </c>
      <c r="S24" s="152">
        <f t="shared" si="2"/>
        <v>0</v>
      </c>
      <c r="T24" s="210"/>
      <c r="U24" s="145">
        <f t="shared" si="3"/>
        <v>0</v>
      </c>
      <c r="V24" s="548"/>
      <c r="W24" s="67"/>
      <c r="X24" s="114"/>
      <c r="Y24" s="114"/>
      <c r="Z24" s="114"/>
      <c r="AA24" s="114"/>
      <c r="AB24" s="114"/>
    </row>
    <row r="25" spans="1:28" s="68" customFormat="1" ht="15.75" customHeight="1" x14ac:dyDescent="0.25">
      <c r="A25" s="63" t="s">
        <v>8</v>
      </c>
      <c r="B25" s="634">
        <f>'1-DUI (Reduce Base)'!$B$25</f>
        <v>0</v>
      </c>
      <c r="C25" s="812" t="s">
        <v>217</v>
      </c>
      <c r="D25" s="812"/>
      <c r="E25" s="813" t="str">
        <f>IF(SUM(B25:B29)=O11,"GC 76000 PA ($" &amp;O11 &amp; " for every 10) breakdown per local board of supervisor resolution (BOS).","ERROR! GC 76000 PA total is not $" &amp;O11&amp; ". Check Court's board resolution.")</f>
        <v>ERROR! GC 76000 PA total is not $5. Check Court's board resolution.</v>
      </c>
      <c r="F25" s="1143"/>
      <c r="G25" s="566" t="s">
        <v>32</v>
      </c>
      <c r="H25" s="71" t="s">
        <v>64</v>
      </c>
      <c r="I25" s="140">
        <f t="shared" si="6"/>
        <v>0</v>
      </c>
      <c r="J25" s="147">
        <f t="shared" si="4"/>
        <v>0</v>
      </c>
      <c r="K25" s="152">
        <f t="shared" si="5"/>
        <v>0</v>
      </c>
      <c r="L25" s="149"/>
      <c r="M25" s="804"/>
      <c r="N25" s="1078"/>
      <c r="O25" s="72"/>
      <c r="P25" s="66"/>
      <c r="Q25" s="145">
        <f t="shared" si="0"/>
        <v>0</v>
      </c>
      <c r="R25" s="147">
        <f t="shared" si="1"/>
        <v>0</v>
      </c>
      <c r="S25" s="152">
        <f t="shared" si="2"/>
        <v>0</v>
      </c>
      <c r="T25" s="210"/>
      <c r="U25" s="145">
        <f t="shared" si="3"/>
        <v>0</v>
      </c>
      <c r="V25" s="548"/>
      <c r="W25" s="67"/>
      <c r="X25" s="114"/>
      <c r="Y25" s="114"/>
      <c r="Z25" s="114"/>
      <c r="AA25" s="114"/>
      <c r="AB25" s="114"/>
    </row>
    <row r="26" spans="1:28" s="68" customFormat="1" ht="15.75" customHeight="1" x14ac:dyDescent="0.25">
      <c r="A26" s="63" t="s">
        <v>8</v>
      </c>
      <c r="B26" s="634">
        <f>'1-DUI (Reduce Base)'!$B$26</f>
        <v>1</v>
      </c>
      <c r="C26" s="812" t="s">
        <v>218</v>
      </c>
      <c r="D26" s="812"/>
      <c r="E26" s="815"/>
      <c r="F26" s="1144"/>
      <c r="G26" s="566" t="s">
        <v>32</v>
      </c>
      <c r="H26" s="71" t="s">
        <v>35</v>
      </c>
      <c r="I26" s="140">
        <f t="shared" si="6"/>
        <v>0</v>
      </c>
      <c r="J26" s="147">
        <f t="shared" si="4"/>
        <v>0</v>
      </c>
      <c r="K26" s="152">
        <f t="shared" si="5"/>
        <v>0</v>
      </c>
      <c r="L26" s="149"/>
      <c r="M26" s="804"/>
      <c r="N26" s="1078"/>
      <c r="O26" s="72"/>
      <c r="P26" s="66"/>
      <c r="Q26" s="145">
        <f t="shared" si="0"/>
        <v>0</v>
      </c>
      <c r="R26" s="147">
        <f t="shared" si="1"/>
        <v>0</v>
      </c>
      <c r="S26" s="152">
        <f t="shared" si="2"/>
        <v>0</v>
      </c>
      <c r="T26" s="210"/>
      <c r="U26" s="145">
        <f t="shared" si="3"/>
        <v>0</v>
      </c>
      <c r="V26" s="548"/>
      <c r="W26" s="67"/>
      <c r="X26" s="114"/>
      <c r="Y26" s="114"/>
      <c r="Z26" s="114"/>
      <c r="AA26" s="114"/>
      <c r="AB26" s="114"/>
    </row>
    <row r="27" spans="1:28" s="68" customFormat="1" ht="15.75" customHeight="1" x14ac:dyDescent="0.25">
      <c r="A27" s="63" t="s">
        <v>8</v>
      </c>
      <c r="B27" s="634">
        <f>'1-DUI (Reduce Base)'!$B$27</f>
        <v>1</v>
      </c>
      <c r="C27" s="812" t="s">
        <v>219</v>
      </c>
      <c r="D27" s="812"/>
      <c r="E27" s="815"/>
      <c r="F27" s="1144"/>
      <c r="G27" s="566" t="s">
        <v>32</v>
      </c>
      <c r="H27" s="71" t="s">
        <v>65</v>
      </c>
      <c r="I27" s="140">
        <f t="shared" si="6"/>
        <v>0</v>
      </c>
      <c r="J27" s="147">
        <f t="shared" si="4"/>
        <v>0</v>
      </c>
      <c r="K27" s="152">
        <f t="shared" si="5"/>
        <v>0</v>
      </c>
      <c r="L27" s="149"/>
      <c r="M27" s="804"/>
      <c r="N27" s="1078"/>
      <c r="O27" s="72"/>
      <c r="P27" s="66"/>
      <c r="Q27" s="145">
        <f t="shared" si="0"/>
        <v>0</v>
      </c>
      <c r="R27" s="147">
        <f t="shared" si="1"/>
        <v>0</v>
      </c>
      <c r="S27" s="152">
        <f t="shared" si="2"/>
        <v>0</v>
      </c>
      <c r="T27" s="210"/>
      <c r="U27" s="145">
        <f t="shared" si="3"/>
        <v>0</v>
      </c>
      <c r="V27" s="548"/>
      <c r="W27" s="67"/>
      <c r="X27" s="114"/>
      <c r="Y27" s="114"/>
      <c r="Z27" s="114"/>
      <c r="AA27" s="114"/>
      <c r="AB27" s="114"/>
    </row>
    <row r="28" spans="1:28" s="68" customFormat="1" ht="15.75" customHeight="1" x14ac:dyDescent="0.25">
      <c r="A28" s="63" t="s">
        <v>8</v>
      </c>
      <c r="B28" s="634">
        <f>'1-DUI (Reduce Base)'!$B$28</f>
        <v>0.5</v>
      </c>
      <c r="C28" s="812" t="s">
        <v>401</v>
      </c>
      <c r="D28" s="812"/>
      <c r="E28" s="815"/>
      <c r="F28" s="1144"/>
      <c r="G28" s="566" t="s">
        <v>32</v>
      </c>
      <c r="H28" s="71" t="s">
        <v>65</v>
      </c>
      <c r="I28" s="140">
        <f>$D$11*B28</f>
        <v>0</v>
      </c>
      <c r="J28" s="147">
        <f>IF(A28="Y",I28* 2%,0)</f>
        <v>0</v>
      </c>
      <c r="K28" s="152">
        <f>I28-J28</f>
        <v>0</v>
      </c>
      <c r="L28" s="149"/>
      <c r="M28" s="804"/>
      <c r="N28" s="1078"/>
      <c r="O28" s="72"/>
      <c r="P28" s="66"/>
      <c r="Q28" s="145">
        <f t="shared" si="0"/>
        <v>0</v>
      </c>
      <c r="R28" s="147">
        <f>IF(A28="Y", Q28*2%,)</f>
        <v>0</v>
      </c>
      <c r="S28" s="152">
        <f>Q28-R28</f>
        <v>0</v>
      </c>
      <c r="T28" s="210"/>
      <c r="U28" s="145">
        <f>IF($U$15="BASE-UP   (B-A)", O28-K28,O28-S28)</f>
        <v>0</v>
      </c>
      <c r="V28" s="548"/>
      <c r="W28" s="67"/>
      <c r="X28" s="114"/>
      <c r="Y28" s="114"/>
      <c r="Z28" s="114"/>
      <c r="AA28" s="114"/>
      <c r="AB28" s="114"/>
    </row>
    <row r="29" spans="1:28" s="68" customFormat="1" ht="15.75" customHeight="1" x14ac:dyDescent="0.25">
      <c r="A29" s="63" t="s">
        <v>8</v>
      </c>
      <c r="B29" s="634">
        <f>'1-DUI (Reduce Base)'!$B$29</f>
        <v>1</v>
      </c>
      <c r="C29" s="812" t="s">
        <v>254</v>
      </c>
      <c r="D29" s="812"/>
      <c r="E29" s="817"/>
      <c r="F29" s="1145"/>
      <c r="G29" s="566" t="s">
        <v>32</v>
      </c>
      <c r="H29" s="71"/>
      <c r="I29" s="140">
        <f t="shared" si="6"/>
        <v>0</v>
      </c>
      <c r="J29" s="147">
        <f t="shared" si="4"/>
        <v>0</v>
      </c>
      <c r="K29" s="152">
        <f t="shared" si="5"/>
        <v>0</v>
      </c>
      <c r="L29" s="149"/>
      <c r="M29" s="804"/>
      <c r="N29" s="1078"/>
      <c r="O29" s="72"/>
      <c r="P29" s="66"/>
      <c r="Q29" s="145">
        <f t="shared" si="0"/>
        <v>0</v>
      </c>
      <c r="R29" s="147">
        <f t="shared" si="1"/>
        <v>0</v>
      </c>
      <c r="S29" s="152">
        <f t="shared" si="2"/>
        <v>0</v>
      </c>
      <c r="T29" s="210"/>
      <c r="U29" s="145">
        <f t="shared" si="3"/>
        <v>0</v>
      </c>
      <c r="V29" s="548"/>
      <c r="W29" s="67"/>
      <c r="X29" s="114"/>
      <c r="Y29" s="114"/>
      <c r="Z29" s="114"/>
      <c r="AA29" s="114"/>
      <c r="AB29" s="114"/>
    </row>
    <row r="30" spans="1:28" s="68" customFormat="1" ht="15.75" customHeight="1" x14ac:dyDescent="0.25">
      <c r="A30" s="63" t="s">
        <v>8</v>
      </c>
      <c r="B30" s="634">
        <f>'1-DUI (Reduce Base)'!$B$30</f>
        <v>2</v>
      </c>
      <c r="C30" s="804" t="s">
        <v>286</v>
      </c>
      <c r="D30" s="805"/>
      <c r="E30" s="805"/>
      <c r="F30" s="945"/>
      <c r="G30" s="566" t="s">
        <v>32</v>
      </c>
      <c r="H30" s="71" t="s">
        <v>36</v>
      </c>
      <c r="I30" s="140">
        <f t="shared" si="6"/>
        <v>0</v>
      </c>
      <c r="J30" s="147">
        <f t="shared" si="4"/>
        <v>0</v>
      </c>
      <c r="K30" s="152">
        <f t="shared" si="5"/>
        <v>0</v>
      </c>
      <c r="L30" s="149"/>
      <c r="M30" s="804"/>
      <c r="N30" s="1078"/>
      <c r="O30" s="72"/>
      <c r="P30" s="66"/>
      <c r="Q30" s="145">
        <f t="shared" si="0"/>
        <v>0</v>
      </c>
      <c r="R30" s="147">
        <f t="shared" si="1"/>
        <v>0</v>
      </c>
      <c r="S30" s="152">
        <f t="shared" si="2"/>
        <v>0</v>
      </c>
      <c r="T30" s="210"/>
      <c r="U30" s="145">
        <f t="shared" si="3"/>
        <v>0</v>
      </c>
      <c r="V30" s="548"/>
      <c r="W30" s="67"/>
      <c r="X30" s="114"/>
      <c r="Y30" s="114"/>
      <c r="Z30" s="114"/>
      <c r="AA30" s="114"/>
      <c r="AB30" s="114"/>
    </row>
    <row r="31" spans="1:28" s="68" customFormat="1" ht="15.75" customHeight="1" x14ac:dyDescent="0.25">
      <c r="A31" s="63" t="s">
        <v>8</v>
      </c>
      <c r="B31" s="69"/>
      <c r="C31" s="804" t="s">
        <v>385</v>
      </c>
      <c r="D31" s="805"/>
      <c r="E31" s="805"/>
      <c r="F31" s="945"/>
      <c r="G31" s="566" t="s">
        <v>31</v>
      </c>
      <c r="H31" s="81" t="s">
        <v>39</v>
      </c>
      <c r="I31" s="186">
        <v>4</v>
      </c>
      <c r="J31" s="147">
        <f>IF(A31="Y", I31*2%,0)</f>
        <v>0.08</v>
      </c>
      <c r="K31" s="152">
        <f>I31-J31</f>
        <v>3.92</v>
      </c>
      <c r="L31" s="149"/>
      <c r="M31" s="804"/>
      <c r="N31" s="1078"/>
      <c r="O31" s="72"/>
      <c r="P31" s="66"/>
      <c r="Q31" s="140">
        <f>IF($Q$48=0,,I31)</f>
        <v>0</v>
      </c>
      <c r="R31" s="147">
        <f>IF(A31="Y", Q31*2%,)</f>
        <v>0</v>
      </c>
      <c r="S31" s="152">
        <f>Q31-R31</f>
        <v>0</v>
      </c>
      <c r="T31" s="210"/>
      <c r="U31" s="145">
        <f>IF($U$15="BASE-UP   (B-A)", O31-K31,O31-S31)</f>
        <v>-3.92</v>
      </c>
      <c r="V31" s="548"/>
      <c r="W31" s="67"/>
      <c r="X31" s="114"/>
      <c r="Y31" s="114"/>
      <c r="Z31" s="114"/>
      <c r="AA31" s="114"/>
      <c r="AB31" s="114"/>
    </row>
    <row r="32" spans="1:28" s="68" customFormat="1" ht="15.75" customHeight="1" x14ac:dyDescent="0.25">
      <c r="A32" s="63" t="s">
        <v>8</v>
      </c>
      <c r="B32" s="634">
        <f>'1-DUI (Reduce Base)'!$B$32</f>
        <v>2</v>
      </c>
      <c r="C32" s="804" t="s">
        <v>555</v>
      </c>
      <c r="D32" s="805"/>
      <c r="E32" s="945"/>
      <c r="F32" s="1008" t="s">
        <v>281</v>
      </c>
      <c r="G32" s="566" t="s">
        <v>31</v>
      </c>
      <c r="H32" s="71" t="s">
        <v>37</v>
      </c>
      <c r="I32" s="140">
        <f t="shared" si="6"/>
        <v>0</v>
      </c>
      <c r="J32" s="147">
        <f t="shared" si="4"/>
        <v>0</v>
      </c>
      <c r="K32" s="152">
        <f t="shared" si="5"/>
        <v>0</v>
      </c>
      <c r="L32" s="149"/>
      <c r="M32" s="804"/>
      <c r="N32" s="1078"/>
      <c r="O32" s="72"/>
      <c r="P32" s="66"/>
      <c r="Q32" s="145">
        <f>IF($Q$48=0,,I32*$Q$15)</f>
        <v>0</v>
      </c>
      <c r="R32" s="147">
        <f t="shared" si="1"/>
        <v>0</v>
      </c>
      <c r="S32" s="152">
        <f t="shared" si="2"/>
        <v>0</v>
      </c>
      <c r="T32" s="210"/>
      <c r="U32" s="145">
        <f t="shared" si="3"/>
        <v>0</v>
      </c>
      <c r="V32" s="548"/>
      <c r="W32" s="67"/>
      <c r="X32" s="114"/>
      <c r="Y32" s="114"/>
      <c r="Z32" s="114"/>
      <c r="AA32" s="114"/>
      <c r="AB32" s="114"/>
    </row>
    <row r="33" spans="1:28" s="68" customFormat="1" ht="15.75" customHeight="1" x14ac:dyDescent="0.25">
      <c r="A33" s="63" t="s">
        <v>8</v>
      </c>
      <c r="B33" s="164">
        <f>5-B32</f>
        <v>3</v>
      </c>
      <c r="C33" s="804" t="s">
        <v>556</v>
      </c>
      <c r="D33" s="805"/>
      <c r="E33" s="945"/>
      <c r="F33" s="1009"/>
      <c r="G33" s="566" t="s">
        <v>31</v>
      </c>
      <c r="H33" s="71" t="s">
        <v>197</v>
      </c>
      <c r="I33" s="140">
        <f t="shared" si="6"/>
        <v>0</v>
      </c>
      <c r="J33" s="147">
        <f t="shared" si="4"/>
        <v>0</v>
      </c>
      <c r="K33" s="152">
        <f t="shared" si="5"/>
        <v>0</v>
      </c>
      <c r="L33" s="149"/>
      <c r="M33" s="804"/>
      <c r="N33" s="1078"/>
      <c r="O33" s="72"/>
      <c r="P33" s="66"/>
      <c r="Q33" s="145">
        <f>IF($Q$48=0,,I33*$Q$15)</f>
        <v>0</v>
      </c>
      <c r="R33" s="147">
        <f t="shared" si="1"/>
        <v>0</v>
      </c>
      <c r="S33" s="152">
        <f t="shared" si="2"/>
        <v>0</v>
      </c>
      <c r="T33" s="210"/>
      <c r="U33" s="145">
        <f t="shared" si="3"/>
        <v>0</v>
      </c>
      <c r="V33" s="548"/>
      <c r="W33" s="67"/>
      <c r="X33" s="114"/>
      <c r="Y33" s="114"/>
      <c r="Z33" s="114"/>
      <c r="AA33" s="114"/>
      <c r="AB33" s="114"/>
    </row>
    <row r="34" spans="1:28" s="68" customFormat="1" ht="15.75" customHeight="1" x14ac:dyDescent="0.25">
      <c r="A34" s="63" t="s">
        <v>7</v>
      </c>
      <c r="B34" s="69"/>
      <c r="C34" s="804" t="s">
        <v>220</v>
      </c>
      <c r="D34" s="805"/>
      <c r="E34" s="805"/>
      <c r="F34" s="945"/>
      <c r="G34" s="566" t="s">
        <v>31</v>
      </c>
      <c r="H34" s="71" t="s">
        <v>10</v>
      </c>
      <c r="I34" s="140">
        <f>$D$10*20%</f>
        <v>0</v>
      </c>
      <c r="J34" s="147">
        <f t="shared" si="4"/>
        <v>0</v>
      </c>
      <c r="K34" s="152">
        <f>I34-J34</f>
        <v>0</v>
      </c>
      <c r="L34" s="149"/>
      <c r="M34" s="804"/>
      <c r="N34" s="1078"/>
      <c r="O34" s="72"/>
      <c r="P34" s="66"/>
      <c r="Q34" s="145">
        <f>IF($Q$48=0,,I34*$Q$15)</f>
        <v>0</v>
      </c>
      <c r="R34" s="147">
        <f t="shared" si="1"/>
        <v>0</v>
      </c>
      <c r="S34" s="152">
        <f t="shared" si="2"/>
        <v>0</v>
      </c>
      <c r="T34" s="210"/>
      <c r="U34" s="145">
        <f t="shared" si="3"/>
        <v>0</v>
      </c>
      <c r="V34" s="548"/>
      <c r="W34" s="67"/>
      <c r="X34" s="114"/>
      <c r="Y34" s="114"/>
      <c r="Z34" s="114"/>
      <c r="AA34" s="114"/>
      <c r="AB34" s="114"/>
    </row>
    <row r="35" spans="1:28" s="80" customFormat="1" ht="15.75" customHeight="1" x14ac:dyDescent="0.25">
      <c r="A35" s="63"/>
      <c r="B35" s="76"/>
      <c r="C35" s="810" t="s">
        <v>221</v>
      </c>
      <c r="D35" s="811"/>
      <c r="E35" s="811"/>
      <c r="F35" s="946"/>
      <c r="G35" s="573"/>
      <c r="H35" s="78"/>
      <c r="I35" s="142">
        <f>SUM(I16:I34)</f>
        <v>4</v>
      </c>
      <c r="J35" s="147"/>
      <c r="K35" s="153">
        <f>SUM(K16:K34)</f>
        <v>3.92</v>
      </c>
      <c r="L35" s="150"/>
      <c r="M35" s="804"/>
      <c r="N35" s="1078"/>
      <c r="O35" s="166">
        <f>SUM(O16:O34)</f>
        <v>0</v>
      </c>
      <c r="P35" s="111"/>
      <c r="Q35" s="142">
        <f>IF($Q$48=0,,Q48-SUM(Q36:Q45))</f>
        <v>0</v>
      </c>
      <c r="R35" s="147"/>
      <c r="S35" s="153">
        <f>SUM(S16:S34)</f>
        <v>0</v>
      </c>
      <c r="T35" s="211"/>
      <c r="U35" s="145">
        <f>SUM(U16:U34)</f>
        <v>-3.92</v>
      </c>
      <c r="V35" s="548"/>
      <c r="W35" s="79"/>
      <c r="X35" s="129"/>
      <c r="Y35" s="129"/>
      <c r="Z35" s="129"/>
      <c r="AA35" s="129"/>
      <c r="AB35" s="129"/>
    </row>
    <row r="36" spans="1:28" s="68" customFormat="1" ht="15.75" customHeight="1" x14ac:dyDescent="0.25">
      <c r="A36" s="63" t="s">
        <v>7</v>
      </c>
      <c r="B36" s="69"/>
      <c r="C36" s="804" t="s">
        <v>419</v>
      </c>
      <c r="D36" s="805"/>
      <c r="E36" s="805"/>
      <c r="F36" s="945"/>
      <c r="G36" s="566" t="s">
        <v>31</v>
      </c>
      <c r="H36" s="81"/>
      <c r="I36" s="186">
        <v>40</v>
      </c>
      <c r="J36" s="147">
        <f>IF(A36="Y", I36*2%,0)</f>
        <v>0</v>
      </c>
      <c r="K36" s="152">
        <f>I36-J36</f>
        <v>40</v>
      </c>
      <c r="L36" s="149"/>
      <c r="M36" s="449"/>
      <c r="N36" s="450"/>
      <c r="O36" s="72"/>
      <c r="P36" s="66"/>
      <c r="Q36" s="140">
        <f t="shared" ref="Q36:Q45" si="7">IF($Q$48=0,,I36)</f>
        <v>0</v>
      </c>
      <c r="R36" s="147">
        <f>IF(A36="Y", Q36*2%,)</f>
        <v>0</v>
      </c>
      <c r="S36" s="152">
        <f>Q36-R36</f>
        <v>0</v>
      </c>
      <c r="T36" s="210"/>
      <c r="U36" s="145">
        <f>IF($U$15="BASE-UP   (B-A)", O36-K36,O36-S36)</f>
        <v>-40</v>
      </c>
      <c r="V36" s="548"/>
      <c r="W36" s="67"/>
      <c r="X36" s="114"/>
      <c r="Y36" s="114"/>
      <c r="Z36" s="114"/>
      <c r="AA36" s="114"/>
      <c r="AB36" s="114"/>
    </row>
    <row r="37" spans="1:28" s="68" customFormat="1" ht="15.75" customHeight="1" x14ac:dyDescent="0.25">
      <c r="A37" s="63" t="s">
        <v>7</v>
      </c>
      <c r="B37" s="69"/>
      <c r="C37" s="806" t="s">
        <v>259</v>
      </c>
      <c r="D37" s="807"/>
      <c r="E37" s="807"/>
      <c r="F37" s="944"/>
      <c r="G37" s="574" t="s">
        <v>31</v>
      </c>
      <c r="H37" s="82" t="s">
        <v>197</v>
      </c>
      <c r="I37" s="186">
        <v>35</v>
      </c>
      <c r="J37" s="147">
        <f t="shared" ref="J37:J45" si="8">IF(A37="Y", I37*2%,0)</f>
        <v>0</v>
      </c>
      <c r="K37" s="152">
        <f t="shared" ref="K37:K45" si="9">I37-J37</f>
        <v>35</v>
      </c>
      <c r="L37" s="149"/>
      <c r="M37" s="804"/>
      <c r="N37" s="1078"/>
      <c r="O37" s="72"/>
      <c r="P37" s="66"/>
      <c r="Q37" s="140">
        <f t="shared" si="7"/>
        <v>0</v>
      </c>
      <c r="R37" s="147">
        <f t="shared" ref="R37:R45" si="10">IF(A37="Y", Q37*2%,)</f>
        <v>0</v>
      </c>
      <c r="S37" s="152">
        <f t="shared" si="2"/>
        <v>0</v>
      </c>
      <c r="T37" s="210"/>
      <c r="U37" s="145">
        <f t="shared" ref="U37:U46" si="11">IF($U$15="BASE-UP   (B-A)", O37-K37,O37-S37)</f>
        <v>-35</v>
      </c>
      <c r="V37" s="548"/>
      <c r="W37" s="67"/>
      <c r="X37" s="114"/>
      <c r="Y37" s="114"/>
      <c r="Z37" s="114"/>
      <c r="AA37" s="114"/>
      <c r="AB37" s="114"/>
    </row>
    <row r="38" spans="1:28" s="68" customFormat="1" ht="15.75" customHeight="1" x14ac:dyDescent="0.25">
      <c r="A38" s="63" t="s">
        <v>7</v>
      </c>
      <c r="B38" s="83"/>
      <c r="C38" s="806" t="s">
        <v>421</v>
      </c>
      <c r="D38" s="807"/>
      <c r="E38" s="807"/>
      <c r="F38" s="944"/>
      <c r="G38" s="574" t="s">
        <v>230</v>
      </c>
      <c r="H38" s="82" t="s">
        <v>24</v>
      </c>
      <c r="I38" s="186"/>
      <c r="J38" s="147">
        <f t="shared" si="8"/>
        <v>0</v>
      </c>
      <c r="K38" s="152">
        <f t="shared" si="9"/>
        <v>0</v>
      </c>
      <c r="L38" s="149"/>
      <c r="M38" s="804"/>
      <c r="N38" s="1078"/>
      <c r="O38" s="72"/>
      <c r="P38" s="66"/>
      <c r="Q38" s="140">
        <f t="shared" si="7"/>
        <v>0</v>
      </c>
      <c r="R38" s="147">
        <f t="shared" si="10"/>
        <v>0</v>
      </c>
      <c r="S38" s="152">
        <f t="shared" si="2"/>
        <v>0</v>
      </c>
      <c r="T38" s="210"/>
      <c r="U38" s="145">
        <f t="shared" si="11"/>
        <v>0</v>
      </c>
      <c r="V38" s="548"/>
      <c r="W38" s="71"/>
      <c r="X38" s="114"/>
      <c r="Y38" s="114"/>
      <c r="Z38" s="114"/>
      <c r="AA38" s="114"/>
      <c r="AB38" s="114"/>
    </row>
    <row r="39" spans="1:28" s="68" customFormat="1" ht="15.75" customHeight="1" x14ac:dyDescent="0.25">
      <c r="A39" s="63" t="s">
        <v>7</v>
      </c>
      <c r="B39" s="83"/>
      <c r="C39" s="806" t="s">
        <v>292</v>
      </c>
      <c r="D39" s="807"/>
      <c r="E39" s="807"/>
      <c r="F39" s="944"/>
      <c r="G39" s="574" t="s">
        <v>32</v>
      </c>
      <c r="H39" s="82" t="s">
        <v>15</v>
      </c>
      <c r="I39" s="186">
        <f>49*49%</f>
        <v>24.009999999999998</v>
      </c>
      <c r="J39" s="147">
        <f t="shared" si="8"/>
        <v>0</v>
      </c>
      <c r="K39" s="152">
        <f t="shared" si="9"/>
        <v>24.009999999999998</v>
      </c>
      <c r="L39" s="149"/>
      <c r="M39" s="804"/>
      <c r="N39" s="1078"/>
      <c r="O39" s="72"/>
      <c r="P39" s="66"/>
      <c r="Q39" s="140">
        <f t="shared" si="7"/>
        <v>0</v>
      </c>
      <c r="R39" s="147">
        <f t="shared" si="10"/>
        <v>0</v>
      </c>
      <c r="S39" s="152">
        <f t="shared" si="2"/>
        <v>0</v>
      </c>
      <c r="T39" s="210"/>
      <c r="U39" s="145">
        <f t="shared" si="11"/>
        <v>-24.009999999999998</v>
      </c>
      <c r="V39" s="548"/>
      <c r="W39" s="71"/>
      <c r="X39" s="114"/>
      <c r="Y39" s="114"/>
      <c r="Z39" s="114"/>
      <c r="AA39" s="114"/>
      <c r="AB39" s="114"/>
    </row>
    <row r="40" spans="1:28" s="68" customFormat="1" ht="15.75" customHeight="1" x14ac:dyDescent="0.25">
      <c r="A40" s="63" t="s">
        <v>7</v>
      </c>
      <c r="B40" s="83"/>
      <c r="C40" s="806" t="s">
        <v>293</v>
      </c>
      <c r="D40" s="807"/>
      <c r="E40" s="807"/>
      <c r="F40" s="944"/>
      <c r="G40" s="574" t="s">
        <v>32</v>
      </c>
      <c r="H40" s="82" t="s">
        <v>27</v>
      </c>
      <c r="I40" s="186">
        <f>49*51%</f>
        <v>24.990000000000002</v>
      </c>
      <c r="J40" s="147">
        <f t="shared" si="8"/>
        <v>0</v>
      </c>
      <c r="K40" s="152">
        <f t="shared" si="9"/>
        <v>24.990000000000002</v>
      </c>
      <c r="L40" s="149"/>
      <c r="M40" s="804"/>
      <c r="N40" s="1078"/>
      <c r="O40" s="72"/>
      <c r="P40" s="66"/>
      <c r="Q40" s="140">
        <f t="shared" si="7"/>
        <v>0</v>
      </c>
      <c r="R40" s="147">
        <f t="shared" si="10"/>
        <v>0</v>
      </c>
      <c r="S40" s="152">
        <f t="shared" si="2"/>
        <v>0</v>
      </c>
      <c r="T40" s="210"/>
      <c r="U40" s="145">
        <f t="shared" si="11"/>
        <v>-24.990000000000002</v>
      </c>
      <c r="V40" s="548"/>
      <c r="W40" s="71"/>
      <c r="X40" s="114"/>
      <c r="Y40" s="114"/>
      <c r="Z40" s="114"/>
      <c r="AA40" s="114"/>
      <c r="AB40" s="114"/>
    </row>
    <row r="41" spans="1:28" s="68" customFormat="1" ht="15.75" hidden="1" customHeight="1" x14ac:dyDescent="0.25">
      <c r="A41" s="63" t="s">
        <v>8</v>
      </c>
      <c r="B41" s="83"/>
      <c r="C41" s="806" t="s">
        <v>293</v>
      </c>
      <c r="D41" s="807"/>
      <c r="E41" s="807"/>
      <c r="F41" s="944"/>
      <c r="G41" s="574" t="s">
        <v>31</v>
      </c>
      <c r="H41" s="82" t="s">
        <v>13</v>
      </c>
      <c r="I41" s="186"/>
      <c r="J41" s="147">
        <f t="shared" si="8"/>
        <v>0</v>
      </c>
      <c r="K41" s="152">
        <f t="shared" si="9"/>
        <v>0</v>
      </c>
      <c r="L41" s="149"/>
      <c r="M41" s="804"/>
      <c r="N41" s="1078"/>
      <c r="O41" s="72"/>
      <c r="P41" s="66"/>
      <c r="Q41" s="140">
        <f t="shared" si="7"/>
        <v>0</v>
      </c>
      <c r="R41" s="147">
        <f>IF(A41="Y", Q41*2%,)</f>
        <v>0</v>
      </c>
      <c r="S41" s="152">
        <f>Q41-R41</f>
        <v>0</v>
      </c>
      <c r="T41" s="210"/>
      <c r="U41" s="145">
        <f t="shared" si="11"/>
        <v>0</v>
      </c>
      <c r="V41" s="548"/>
      <c r="W41" s="71"/>
      <c r="X41" s="114"/>
      <c r="Y41" s="114"/>
      <c r="Z41" s="114"/>
      <c r="AA41" s="114"/>
      <c r="AB41" s="114"/>
    </row>
    <row r="42" spans="1:28" s="68" customFormat="1" ht="15.75" customHeight="1" x14ac:dyDescent="0.25">
      <c r="A42" s="63" t="s">
        <v>7</v>
      </c>
      <c r="B42" s="83"/>
      <c r="C42" s="806" t="s">
        <v>427</v>
      </c>
      <c r="D42" s="807"/>
      <c r="E42" s="807"/>
      <c r="F42" s="944"/>
      <c r="G42" s="574" t="s">
        <v>230</v>
      </c>
      <c r="H42" s="82" t="s">
        <v>27</v>
      </c>
      <c r="I42" s="186"/>
      <c r="J42" s="147">
        <f>IF(A42="Y", I42*2%,0)</f>
        <v>0</v>
      </c>
      <c r="K42" s="152">
        <f>I42-J42</f>
        <v>0</v>
      </c>
      <c r="L42" s="149"/>
      <c r="M42" s="804"/>
      <c r="N42" s="1078"/>
      <c r="O42" s="72"/>
      <c r="P42" s="66"/>
      <c r="Q42" s="140">
        <f t="shared" si="7"/>
        <v>0</v>
      </c>
      <c r="R42" s="147">
        <f>IF(A42="Y", Q42*2%,)</f>
        <v>0</v>
      </c>
      <c r="S42" s="152">
        <f>Q42-R42</f>
        <v>0</v>
      </c>
      <c r="T42" s="210"/>
      <c r="U42" s="145">
        <f>IF($U$15="BASE-UP   (B-A)", O42-K42,O42-S42)</f>
        <v>0</v>
      </c>
      <c r="V42" s="548"/>
      <c r="W42" s="71"/>
      <c r="X42" s="114"/>
      <c r="Y42" s="114"/>
      <c r="Z42" s="114"/>
      <c r="AA42" s="114"/>
      <c r="AB42" s="114"/>
    </row>
    <row r="43" spans="1:28" s="68" customFormat="1" ht="35.25" customHeight="1" x14ac:dyDescent="0.25">
      <c r="A43" s="63" t="s">
        <v>7</v>
      </c>
      <c r="B43" s="83"/>
      <c r="C43" s="804" t="s">
        <v>551</v>
      </c>
      <c r="D43" s="807"/>
      <c r="E43" s="807"/>
      <c r="F43" s="944"/>
      <c r="G43" s="574" t="s">
        <v>31</v>
      </c>
      <c r="H43" s="82"/>
      <c r="I43" s="186">
        <v>3</v>
      </c>
      <c r="J43" s="147"/>
      <c r="K43" s="152">
        <f t="shared" si="9"/>
        <v>3</v>
      </c>
      <c r="L43" s="149"/>
      <c r="M43" s="804"/>
      <c r="N43" s="1078"/>
      <c r="O43" s="72"/>
      <c r="P43" s="66"/>
      <c r="Q43" s="140">
        <f t="shared" si="7"/>
        <v>0</v>
      </c>
      <c r="R43" s="147">
        <f>IF(A43="Y", Q43*2%,)</f>
        <v>0</v>
      </c>
      <c r="S43" s="152">
        <f>Q43-R43</f>
        <v>0</v>
      </c>
      <c r="T43" s="210"/>
      <c r="U43" s="145">
        <f t="shared" si="11"/>
        <v>-3</v>
      </c>
      <c r="V43" s="548"/>
      <c r="W43" s="71"/>
      <c r="X43" s="114"/>
      <c r="Y43" s="114"/>
      <c r="Z43" s="114"/>
      <c r="AA43" s="114"/>
      <c r="AB43" s="114"/>
    </row>
    <row r="44" spans="1:28" s="68" customFormat="1" ht="45.75" customHeight="1" x14ac:dyDescent="0.25">
      <c r="A44" s="63" t="s">
        <v>7</v>
      </c>
      <c r="B44" s="83"/>
      <c r="C44" s="804" t="s">
        <v>517</v>
      </c>
      <c r="D44" s="805"/>
      <c r="E44" s="805"/>
      <c r="F44" s="945"/>
      <c r="G44" s="574" t="s">
        <v>230</v>
      </c>
      <c r="H44" s="82" t="s">
        <v>82</v>
      </c>
      <c r="I44" s="186"/>
      <c r="J44" s="147">
        <f t="shared" si="8"/>
        <v>0</v>
      </c>
      <c r="K44" s="152">
        <f t="shared" si="9"/>
        <v>0</v>
      </c>
      <c r="L44" s="149"/>
      <c r="M44" s="804"/>
      <c r="N44" s="1078"/>
      <c r="O44" s="72"/>
      <c r="P44" s="66"/>
      <c r="Q44" s="140">
        <f t="shared" si="7"/>
        <v>0</v>
      </c>
      <c r="R44" s="147">
        <f t="shared" si="10"/>
        <v>0</v>
      </c>
      <c r="S44" s="152">
        <f t="shared" si="2"/>
        <v>0</v>
      </c>
      <c r="T44" s="210"/>
      <c r="U44" s="145">
        <f t="shared" si="11"/>
        <v>0</v>
      </c>
      <c r="V44" s="548"/>
      <c r="W44" s="71"/>
      <c r="X44" s="114"/>
      <c r="Y44" s="114"/>
      <c r="Z44" s="114"/>
      <c r="AA44" s="114"/>
      <c r="AB44" s="114"/>
    </row>
    <row r="45" spans="1:28" s="68" customFormat="1" ht="15.75" customHeight="1" x14ac:dyDescent="0.25">
      <c r="A45" s="63" t="s">
        <v>7</v>
      </c>
      <c r="B45" s="83"/>
      <c r="C45" s="806" t="s">
        <v>225</v>
      </c>
      <c r="D45" s="807"/>
      <c r="E45" s="807"/>
      <c r="F45" s="944"/>
      <c r="G45" s="574" t="s">
        <v>31</v>
      </c>
      <c r="H45" s="82" t="s">
        <v>80</v>
      </c>
      <c r="I45" s="186"/>
      <c r="J45" s="147">
        <f t="shared" si="8"/>
        <v>0</v>
      </c>
      <c r="K45" s="152">
        <f t="shared" si="9"/>
        <v>0</v>
      </c>
      <c r="L45" s="149"/>
      <c r="M45" s="804"/>
      <c r="N45" s="1078"/>
      <c r="O45" s="72"/>
      <c r="P45" s="66"/>
      <c r="Q45" s="140">
        <f t="shared" si="7"/>
        <v>0</v>
      </c>
      <c r="R45" s="147">
        <f t="shared" si="10"/>
        <v>0</v>
      </c>
      <c r="S45" s="152">
        <f t="shared" si="2"/>
        <v>0</v>
      </c>
      <c r="T45" s="210"/>
      <c r="U45" s="145">
        <f t="shared" si="11"/>
        <v>0</v>
      </c>
      <c r="V45" s="548"/>
      <c r="W45" s="71"/>
      <c r="X45" s="114"/>
      <c r="Y45" s="114"/>
      <c r="Z45" s="114"/>
      <c r="AA45" s="114"/>
      <c r="AB45" s="114"/>
    </row>
    <row r="46" spans="1:28" s="68" customFormat="1" ht="31.5" customHeight="1" x14ac:dyDescent="0.25">
      <c r="A46" s="83" t="s">
        <v>7</v>
      </c>
      <c r="B46" s="83"/>
      <c r="C46" s="804" t="s">
        <v>492</v>
      </c>
      <c r="D46" s="805"/>
      <c r="E46" s="805"/>
      <c r="F46" s="945"/>
      <c r="G46" s="574" t="s">
        <v>31</v>
      </c>
      <c r="H46" s="85" t="s">
        <v>41</v>
      </c>
      <c r="I46" s="86"/>
      <c r="J46" s="148"/>
      <c r="K46" s="154">
        <f>J47</f>
        <v>0.08</v>
      </c>
      <c r="L46" s="149"/>
      <c r="M46" s="804"/>
      <c r="N46" s="1078"/>
      <c r="O46" s="72"/>
      <c r="P46" s="66"/>
      <c r="Q46" s="93"/>
      <c r="R46" s="148"/>
      <c r="S46" s="154">
        <f>R47</f>
        <v>0</v>
      </c>
      <c r="T46" s="212"/>
      <c r="U46" s="145">
        <f t="shared" si="11"/>
        <v>-0.08</v>
      </c>
      <c r="V46" s="548"/>
      <c r="W46" s="71"/>
      <c r="X46" s="114"/>
      <c r="Y46" s="114"/>
      <c r="Z46" s="114"/>
      <c r="AA46" s="114"/>
      <c r="AB46" s="114"/>
    </row>
    <row r="47" spans="1:28" s="114" customFormat="1" ht="14.5" x14ac:dyDescent="0.25">
      <c r="A47" s="112"/>
      <c r="B47" s="112"/>
      <c r="C47" s="112"/>
      <c r="D47" s="112"/>
      <c r="E47" s="113"/>
      <c r="F47" s="113"/>
      <c r="J47" s="115">
        <f>SUM(J16:J46)</f>
        <v>0.08</v>
      </c>
      <c r="K47" s="155"/>
      <c r="O47" s="116"/>
      <c r="P47" s="117"/>
      <c r="R47" s="115">
        <f>SUM(R16:R46)</f>
        <v>0</v>
      </c>
      <c r="S47" s="155"/>
      <c r="T47" s="213"/>
      <c r="U47" s="165"/>
      <c r="V47" s="165"/>
      <c r="W47" s="118"/>
    </row>
    <row r="48" spans="1:28" s="95" customFormat="1" ht="16" thickBot="1" x14ac:dyDescent="0.3">
      <c r="A48" s="130"/>
      <c r="B48" s="130"/>
      <c r="C48" s="130"/>
      <c r="D48" s="130"/>
      <c r="E48" s="119"/>
      <c r="F48" s="131" t="s">
        <v>81</v>
      </c>
      <c r="G48" s="132"/>
      <c r="H48" s="133" t="s">
        <v>1</v>
      </c>
      <c r="I48" s="134">
        <f>SUM(I35:I47)</f>
        <v>131</v>
      </c>
      <c r="J48" s="135"/>
      <c r="K48" s="156">
        <f>SUM(K35:K47)</f>
        <v>131.00000000000003</v>
      </c>
      <c r="L48" s="136"/>
      <c r="M48" s="130" t="s">
        <v>1</v>
      </c>
      <c r="N48" s="130"/>
      <c r="O48" s="137">
        <f>SUM(O35:O47)</f>
        <v>0</v>
      </c>
      <c r="P48" s="136"/>
      <c r="Q48" s="188"/>
      <c r="R48" s="135"/>
      <c r="S48" s="156">
        <f>SUM(S35:S47)</f>
        <v>0</v>
      </c>
      <c r="T48" s="214"/>
      <c r="U48" s="175">
        <f>SUM(U35:U47)</f>
        <v>-131.00000000000003</v>
      </c>
      <c r="V48" s="530"/>
      <c r="W48" s="138"/>
    </row>
    <row r="49" spans="1:23" s="50" customFormat="1" ht="15.75" customHeight="1" thickTop="1" x14ac:dyDescent="0.25">
      <c r="A49" s="1140" t="s">
        <v>61</v>
      </c>
      <c r="B49" s="1140"/>
      <c r="C49" s="1140"/>
      <c r="D49" s="192"/>
      <c r="E49" s="121"/>
      <c r="F49" s="121"/>
      <c r="K49" s="123"/>
      <c r="L49" s="122"/>
      <c r="U49" s="124"/>
      <c r="V49" s="124"/>
      <c r="W49" s="125"/>
    </row>
    <row r="50" spans="1:23" s="127" customFormat="1" ht="18" customHeight="1" x14ac:dyDescent="0.25">
      <c r="A50" s="624">
        <v>1</v>
      </c>
      <c r="B50" s="1065"/>
      <c r="C50" s="1065"/>
      <c r="D50" s="1065"/>
      <c r="E50" s="1065"/>
      <c r="F50" s="1065"/>
      <c r="G50" s="1065"/>
      <c r="H50" s="1065"/>
      <c r="I50" s="1065"/>
      <c r="J50" s="1065"/>
      <c r="K50" s="1065"/>
      <c r="L50" s="1065"/>
      <c r="M50" s="1065"/>
      <c r="N50" s="1065"/>
      <c r="O50" s="1065"/>
      <c r="P50" s="1065"/>
      <c r="Q50" s="1065"/>
      <c r="R50" s="1065"/>
      <c r="S50" s="1065"/>
      <c r="T50" s="1065"/>
      <c r="U50" s="1065"/>
      <c r="V50" s="1065"/>
      <c r="W50" s="1065"/>
    </row>
    <row r="51" spans="1:23" s="127" customFormat="1" ht="18" customHeight="1" x14ac:dyDescent="0.25">
      <c r="A51" s="624">
        <v>2</v>
      </c>
      <c r="B51" s="1065"/>
      <c r="C51" s="1065"/>
      <c r="D51" s="1065"/>
      <c r="E51" s="1065"/>
      <c r="F51" s="1065"/>
      <c r="G51" s="1065"/>
      <c r="H51" s="1065"/>
      <c r="I51" s="1065"/>
      <c r="J51" s="1065"/>
      <c r="K51" s="1065"/>
      <c r="L51" s="1065"/>
      <c r="M51" s="1065"/>
      <c r="N51" s="1065"/>
      <c r="O51" s="1065"/>
      <c r="P51" s="1065"/>
      <c r="Q51" s="1065"/>
      <c r="R51" s="1065"/>
      <c r="S51" s="1065"/>
      <c r="T51" s="1065"/>
      <c r="U51" s="1065"/>
      <c r="V51" s="1065"/>
      <c r="W51" s="1065"/>
    </row>
    <row r="52" spans="1:23" s="127" customFormat="1" ht="18" customHeight="1" x14ac:dyDescent="0.25">
      <c r="A52" s="624">
        <v>3</v>
      </c>
      <c r="B52" s="1065"/>
      <c r="C52" s="1065"/>
      <c r="D52" s="1065"/>
      <c r="E52" s="1065"/>
      <c r="F52" s="1065"/>
      <c r="G52" s="1065"/>
      <c r="H52" s="1065"/>
      <c r="I52" s="1065"/>
      <c r="J52" s="1065"/>
      <c r="K52" s="1065"/>
      <c r="L52" s="1065"/>
      <c r="M52" s="1065"/>
      <c r="N52" s="1065"/>
      <c r="O52" s="1065"/>
      <c r="P52" s="1065"/>
      <c r="Q52" s="1065"/>
      <c r="R52" s="1065"/>
      <c r="S52" s="1065"/>
      <c r="T52" s="1065"/>
      <c r="U52" s="1065"/>
      <c r="V52" s="1065"/>
      <c r="W52" s="1065"/>
    </row>
    <row r="53" spans="1:23" s="50" customFormat="1" ht="20.25" customHeight="1" x14ac:dyDescent="0.25">
      <c r="A53" s="624">
        <v>4</v>
      </c>
      <c r="B53" s="1065"/>
      <c r="C53" s="1065"/>
      <c r="D53" s="1065"/>
      <c r="E53" s="1065"/>
      <c r="F53" s="1065"/>
      <c r="G53" s="1065"/>
      <c r="H53" s="1065"/>
      <c r="I53" s="1065"/>
      <c r="J53" s="1065"/>
      <c r="K53" s="1065"/>
      <c r="L53" s="1065"/>
      <c r="M53" s="1065"/>
      <c r="N53" s="1065"/>
      <c r="O53" s="1065"/>
      <c r="P53" s="1065"/>
      <c r="Q53" s="1065"/>
      <c r="R53" s="1065"/>
      <c r="S53" s="1065"/>
      <c r="T53" s="1065"/>
      <c r="U53" s="1065"/>
      <c r="V53" s="1065"/>
      <c r="W53" s="1065"/>
    </row>
  </sheetData>
  <sheetProtection insertRows="0"/>
  <mergeCells count="130">
    <mergeCell ref="M3:N3"/>
    <mergeCell ref="M11:N11"/>
    <mergeCell ref="C36:F36"/>
    <mergeCell ref="A49:C49"/>
    <mergeCell ref="B50:W50"/>
    <mergeCell ref="B51:W51"/>
    <mergeCell ref="B52:W52"/>
    <mergeCell ref="C44:F44"/>
    <mergeCell ref="M44:N44"/>
    <mergeCell ref="C45:F45"/>
    <mergeCell ref="M45:N45"/>
    <mergeCell ref="C46:F46"/>
    <mergeCell ref="M46:N46"/>
    <mergeCell ref="C40:F40"/>
    <mergeCell ref="M40:N40"/>
    <mergeCell ref="C41:F41"/>
    <mergeCell ref="M41:N41"/>
    <mergeCell ref="C42:F42"/>
    <mergeCell ref="M42:N42"/>
    <mergeCell ref="C43:F43"/>
    <mergeCell ref="C37:F37"/>
    <mergeCell ref="M37:N37"/>
    <mergeCell ref="C38:F38"/>
    <mergeCell ref="M38:N38"/>
    <mergeCell ref="C39:F39"/>
    <mergeCell ref="M39:N39"/>
    <mergeCell ref="C34:F34"/>
    <mergeCell ref="M34:N34"/>
    <mergeCell ref="C35:F35"/>
    <mergeCell ref="M35:N35"/>
    <mergeCell ref="C31:F31"/>
    <mergeCell ref="M31:N31"/>
    <mergeCell ref="M29:N29"/>
    <mergeCell ref="C30:F30"/>
    <mergeCell ref="M30:N30"/>
    <mergeCell ref="C32:E32"/>
    <mergeCell ref="F32:F33"/>
    <mergeCell ref="M32:N32"/>
    <mergeCell ref="C33:E33"/>
    <mergeCell ref="M33:N33"/>
    <mergeCell ref="C24:F24"/>
    <mergeCell ref="M24:N24"/>
    <mergeCell ref="C25:D25"/>
    <mergeCell ref="E25:F29"/>
    <mergeCell ref="M25:N25"/>
    <mergeCell ref="C26:D26"/>
    <mergeCell ref="M26:N26"/>
    <mergeCell ref="C27:D27"/>
    <mergeCell ref="M27:N27"/>
    <mergeCell ref="C29:D29"/>
    <mergeCell ref="C28:D28"/>
    <mergeCell ref="M28:N28"/>
    <mergeCell ref="C21:F21"/>
    <mergeCell ref="M21:N21"/>
    <mergeCell ref="C22:F22"/>
    <mergeCell ref="M22:N22"/>
    <mergeCell ref="C23:F23"/>
    <mergeCell ref="M23:N23"/>
    <mergeCell ref="C16:F16"/>
    <mergeCell ref="M16:N16"/>
    <mergeCell ref="C17:F17"/>
    <mergeCell ref="M17:N17"/>
    <mergeCell ref="B18:B20"/>
    <mergeCell ref="C18:F18"/>
    <mergeCell ref="M18:N18"/>
    <mergeCell ref="C19:F19"/>
    <mergeCell ref="M19:N19"/>
    <mergeCell ref="C20:F20"/>
    <mergeCell ref="C14:F15"/>
    <mergeCell ref="I14:I15"/>
    <mergeCell ref="J14:J15"/>
    <mergeCell ref="M14:N14"/>
    <mergeCell ref="M20:N20"/>
    <mergeCell ref="R14:R15"/>
    <mergeCell ref="M15:N15"/>
    <mergeCell ref="A11:C11"/>
    <mergeCell ref="D11:E11"/>
    <mergeCell ref="F11:G11"/>
    <mergeCell ref="I11:L11"/>
    <mergeCell ref="Q11:W11"/>
    <mergeCell ref="I13:K13"/>
    <mergeCell ref="M13:O13"/>
    <mergeCell ref="Q13:S13"/>
    <mergeCell ref="V14:V15"/>
    <mergeCell ref="W14:W15"/>
    <mergeCell ref="A10:C10"/>
    <mergeCell ref="D10:E10"/>
    <mergeCell ref="F10:G10"/>
    <mergeCell ref="I10:L10"/>
    <mergeCell ref="M10:N10"/>
    <mergeCell ref="Q10:W10"/>
    <mergeCell ref="Q8:W9"/>
    <mergeCell ref="A9:C9"/>
    <mergeCell ref="D9:E9"/>
    <mergeCell ref="F9:G9"/>
    <mergeCell ref="I9:L9"/>
    <mergeCell ref="M9:N9"/>
    <mergeCell ref="D7:E7"/>
    <mergeCell ref="F7:G7"/>
    <mergeCell ref="I7:L7"/>
    <mergeCell ref="Q7:W7"/>
    <mergeCell ref="A8:C8"/>
    <mergeCell ref="D8:E8"/>
    <mergeCell ref="F8:G8"/>
    <mergeCell ref="I8:L8"/>
    <mergeCell ref="M8:N8"/>
    <mergeCell ref="M43:N43"/>
    <mergeCell ref="B53:W53"/>
    <mergeCell ref="A1:K1"/>
    <mergeCell ref="Q3:W3"/>
    <mergeCell ref="A4:C4"/>
    <mergeCell ref="D4:E4"/>
    <mergeCell ref="F4:G4"/>
    <mergeCell ref="I4:L4"/>
    <mergeCell ref="M4:N4"/>
    <mergeCell ref="Q4:W4"/>
    <mergeCell ref="L1:U1"/>
    <mergeCell ref="A6:C6"/>
    <mergeCell ref="D6:E6"/>
    <mergeCell ref="F6:G6"/>
    <mergeCell ref="I6:L6"/>
    <mergeCell ref="M6:N6"/>
    <mergeCell ref="Q6:W6"/>
    <mergeCell ref="A5:C5"/>
    <mergeCell ref="D5:E5"/>
    <mergeCell ref="F5:G5"/>
    <mergeCell ref="I5:L5"/>
    <mergeCell ref="M5:N5"/>
    <mergeCell ref="Q5:W5"/>
    <mergeCell ref="A7:C7"/>
  </mergeCells>
  <conditionalFormatting sqref="E25">
    <cfRule type="cellIs" dxfId="58" priority="1" operator="notEqual">
      <formula>"GC 76000 PA ($" &amp;O11 &amp;" for every 10) breakdown per local board of supervisor resolution (BOS)."</formula>
    </cfRule>
  </conditionalFormatting>
  <conditionalFormatting sqref="I16:I20">
    <cfRule type="cellIs" dxfId="57" priority="9" stopIfTrue="1" operator="equal">
      <formula>0</formula>
    </cfRule>
  </conditionalFormatting>
  <conditionalFormatting sqref="I18:K30 J31:K31 I32:K35 J36:K46">
    <cfRule type="cellIs" dxfId="56" priority="6" operator="equal">
      <formula>0</formula>
    </cfRule>
  </conditionalFormatting>
  <conditionalFormatting sqref="M16:O46">
    <cfRule type="expression" dxfId="55" priority="7">
      <formula>MOD(ROW(),2)=0</formula>
    </cfRule>
  </conditionalFormatting>
  <conditionalFormatting sqref="Q16:S46">
    <cfRule type="cellIs" dxfId="54" priority="11" stopIfTrue="1" operator="equal">
      <formula>0</formula>
    </cfRule>
  </conditionalFormatting>
  <conditionalFormatting sqref="U12:V13 U49:V49 U54:V65536">
    <cfRule type="cellIs" dxfId="53" priority="10" stopIfTrue="1" operator="notEqual">
      <formula>0</formula>
    </cfRule>
  </conditionalFormatting>
  <conditionalFormatting sqref="V18:V46">
    <cfRule type="cellIs" dxfId="52" priority="2" operator="greaterThan">
      <formula>0</formula>
    </cfRule>
  </conditionalFormatting>
  <dataValidations count="3">
    <dataValidation type="list" allowBlank="1" showInputMessage="1" showErrorMessage="1" sqref="U15" xr:uid="{00000000-0002-0000-2200-000000000000}">
      <formula1>Distribution_Method</formula1>
    </dataValidation>
    <dataValidation type="list" allowBlank="1" showInputMessage="1" showErrorMessage="1" sqref="D9:E9" xr:uid="{00000000-0002-0000-2200-000001000000}">
      <formula1>Yes_No_NA</formula1>
    </dataValidation>
    <dataValidation type="list" allowBlank="1" showInputMessage="1" showErrorMessage="1" sqref="D8:E8" xr:uid="{00000000-0002-0000-2200-000002000000}">
      <formula1>Yes_No_NA_City</formula1>
    </dataValidation>
  </dataValidations>
  <printOptions horizontalCentered="1"/>
  <pageMargins left="0.25" right="0.25" top="0.75" bottom="0.5" header="0.25" footer="0.25"/>
  <pageSetup scale="60" orientation="landscape" r:id="rId1"/>
  <headerFooter alignWithMargins="0">
    <oddHeader>&amp;CSUPERIOR OF COURT OF _________ COUNTY
Revenue Calculation and Distribution Worksheet</oddHeader>
    <oddFooter>&amp;L&amp;F&amp;R&amp;P of &amp;N</oddFooter>
  </headerFooter>
  <ignoredErrors>
    <ignoredError sqref="I18:I20 I39:I40" unlockedFormula="1"/>
    <ignoredError sqref="J31 K35 Q31 S35 U35"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44737" r:id="rId4" name="Button 1">
              <controlPr defaultSize="0" print="0" autoFill="0" autoPict="0" macro="mcr_GoToSummary">
                <anchor moveWithCells="1">
                  <from>
                    <xdr:col>0</xdr:col>
                    <xdr:colOff>88900</xdr:colOff>
                    <xdr:row>0</xdr:row>
                    <xdr:rowOff>0</xdr:rowOff>
                  </from>
                  <to>
                    <xdr:col>2</xdr:col>
                    <xdr:colOff>1028700</xdr:colOff>
                    <xdr:row>1</xdr:row>
                    <xdr:rowOff>31750</xdr:rowOff>
                  </to>
                </anchor>
              </controlPr>
            </control>
          </mc:Choice>
        </mc:AlternateContent>
        <mc:AlternateContent xmlns:mc="http://schemas.openxmlformats.org/markup-compatibility/2006">
          <mc:Choice Requires="x14">
            <control shapeId="244738" r:id="rId5" name="Button 2">
              <controlPr defaultSize="0" print="0" autoFill="0" autoPict="0" macro="[0]!mcrDisableTwoPercentUnprotect">
                <anchor moveWithCells="1">
                  <from>
                    <xdr:col>0</xdr:col>
                    <xdr:colOff>12700</xdr:colOff>
                    <xdr:row>13</xdr:row>
                    <xdr:rowOff>527050</xdr:rowOff>
                  </from>
                  <to>
                    <xdr:col>0</xdr:col>
                    <xdr:colOff>279400</xdr:colOff>
                    <xdr:row>14</xdr:row>
                    <xdr:rowOff>222250</xdr:rowOff>
                  </to>
                </anchor>
              </controlPr>
            </control>
          </mc:Choice>
        </mc:AlternateContent>
        <mc:AlternateContent xmlns:mc="http://schemas.openxmlformats.org/markup-compatibility/2006">
          <mc:Choice Requires="x14">
            <control shapeId="244739" r:id="rId6" name="Button 3">
              <controlPr defaultSize="0" print="0" autoFill="0" autoPict="0" macro="[0]!mcrEnableTwoPercentUnprotect">
                <anchor moveWithCells="1">
                  <from>
                    <xdr:col>0</xdr:col>
                    <xdr:colOff>0</xdr:colOff>
                    <xdr:row>13</xdr:row>
                    <xdr:rowOff>222250</xdr:rowOff>
                  </from>
                  <to>
                    <xdr:col>0</xdr:col>
                    <xdr:colOff>266700</xdr:colOff>
                    <xdr:row>13</xdr:row>
                    <xdr:rowOff>552450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0">
    <tabColor theme="6"/>
    <pageSetUpPr fitToPage="1"/>
  </sheetPr>
  <dimension ref="A1:AB48"/>
  <sheetViews>
    <sheetView zoomScale="80" zoomScaleNormal="80" workbookViewId="0">
      <pane ySplit="1" topLeftCell="A2" activePane="bottomLeft" state="frozen"/>
      <selection pane="bottomLeft" sqref="A1:K1"/>
    </sheetView>
  </sheetViews>
  <sheetFormatPr defaultColWidth="9.1796875" defaultRowHeight="18.5" x14ac:dyDescent="0.25"/>
  <cols>
    <col min="1" max="1" width="4.26953125" style="87" customWidth="1"/>
    <col min="2" max="2" width="4.7265625" style="87" customWidth="1"/>
    <col min="3" max="3" width="17.81640625" style="87" customWidth="1"/>
    <col min="4" max="4" width="12" style="87" customWidth="1"/>
    <col min="5" max="5" width="12.26953125" style="88" customWidth="1"/>
    <col min="6" max="6" width="16" style="121" customWidth="1"/>
    <col min="7" max="7" width="9.1796875" style="46" customWidth="1"/>
    <col min="8" max="8" width="29.453125" style="46" hidden="1" customWidth="1"/>
    <col min="9" max="9" width="8.1796875" style="46" customWidth="1"/>
    <col min="10" max="10" width="6" style="46" customWidth="1"/>
    <col min="11" max="11" width="11.54296875" style="92" customWidth="1"/>
    <col min="12" max="12" width="1.7265625" style="89" customWidth="1"/>
    <col min="13" max="13" width="15.26953125" style="46" customWidth="1"/>
    <col min="14" max="14" width="1.54296875" style="46" customWidth="1"/>
    <col min="15" max="15" width="11" style="46" customWidth="1"/>
    <col min="16" max="16" width="1.81640625" style="89" customWidth="1"/>
    <col min="17" max="17" width="10.81640625" style="89" customWidth="1"/>
    <col min="18" max="18" width="5.7265625" style="89" customWidth="1"/>
    <col min="19" max="19" width="10.7265625" style="89" customWidth="1"/>
    <col min="20" max="20" width="1.81640625" style="50" customWidth="1"/>
    <col min="21" max="21" width="12.453125" style="90" customWidth="1"/>
    <col min="22" max="22" width="5.54296875" style="90" customWidth="1"/>
    <col min="23" max="23" width="18.7265625" style="91" customWidth="1"/>
    <col min="24" max="24" width="2.1796875" style="50" customWidth="1"/>
    <col min="25" max="25" width="11.7265625" style="50" customWidth="1"/>
    <col min="26" max="26" width="11.1796875" style="50" customWidth="1"/>
    <col min="27" max="28" width="9.1796875" style="50"/>
    <col min="29" max="16384" width="9.1796875" style="46"/>
  </cols>
  <sheetData>
    <row r="1" spans="1:28" ht="20.25" customHeight="1" thickBot="1" x14ac:dyDescent="0.3">
      <c r="A1" s="1081" t="s">
        <v>106</v>
      </c>
      <c r="B1" s="1082"/>
      <c r="C1" s="1082"/>
      <c r="D1" s="1082"/>
      <c r="E1" s="1082"/>
      <c r="F1" s="1082"/>
      <c r="G1" s="1082"/>
      <c r="H1" s="1082"/>
      <c r="I1" s="1082"/>
      <c r="J1" s="1082"/>
      <c r="K1" s="1082"/>
      <c r="L1" s="1079"/>
      <c r="M1" s="1079"/>
      <c r="N1" s="1079"/>
      <c r="O1" s="1079"/>
      <c r="P1" s="1079"/>
      <c r="Q1" s="1079"/>
      <c r="R1" s="1079"/>
      <c r="S1" s="1079"/>
      <c r="T1" s="1079"/>
      <c r="U1" s="1079"/>
      <c r="V1" s="592" t="s">
        <v>485</v>
      </c>
      <c r="W1" s="612" t="str">
        <f>'Cover Page'!A3</f>
        <v>January 2014</v>
      </c>
    </row>
    <row r="2" spans="1:28" s="50" customFormat="1" ht="6" customHeight="1" thickBot="1" x14ac:dyDescent="0.3">
      <c r="A2" s="47"/>
      <c r="B2" s="47"/>
      <c r="C2" s="47"/>
      <c r="D2" s="47"/>
      <c r="E2" s="47"/>
      <c r="F2" s="47"/>
      <c r="G2" s="47"/>
      <c r="H2" s="47"/>
      <c r="I2" s="47"/>
      <c r="J2" s="48"/>
      <c r="K2" s="48"/>
      <c r="L2" s="48"/>
      <c r="M2" s="48"/>
      <c r="N2" s="48"/>
      <c r="O2" s="49"/>
      <c r="P2" s="49"/>
      <c r="Q2" s="49"/>
      <c r="R2" s="49"/>
      <c r="S2" s="49"/>
      <c r="T2" s="49"/>
      <c r="U2" s="49"/>
      <c r="V2" s="49"/>
      <c r="W2" s="49"/>
    </row>
    <row r="3" spans="1:28" s="50" customFormat="1" ht="19" thickBot="1" x14ac:dyDescent="0.3">
      <c r="A3" s="630" t="s">
        <v>234</v>
      </c>
      <c r="B3" s="631"/>
      <c r="C3" s="631"/>
      <c r="D3" s="631"/>
      <c r="E3" s="631"/>
      <c r="F3" s="631"/>
      <c r="G3" s="631"/>
      <c r="H3" s="631"/>
      <c r="I3" s="631"/>
      <c r="J3" s="631"/>
      <c r="K3" s="631"/>
      <c r="L3" s="631"/>
      <c r="M3" s="1221"/>
      <c r="N3" s="1245"/>
      <c r="O3" s="637"/>
      <c r="P3" s="159"/>
      <c r="Q3" s="901" t="s">
        <v>261</v>
      </c>
      <c r="R3" s="902"/>
      <c r="S3" s="902"/>
      <c r="T3" s="902"/>
      <c r="U3" s="902"/>
      <c r="V3" s="902"/>
      <c r="W3" s="903"/>
      <c r="Y3" s="159" t="s">
        <v>250</v>
      </c>
      <c r="Z3" s="120"/>
    </row>
    <row r="4" spans="1:28" s="53" customFormat="1" ht="15.5" x14ac:dyDescent="0.25">
      <c r="A4" s="904" t="s">
        <v>231</v>
      </c>
      <c r="B4" s="905"/>
      <c r="C4" s="905"/>
      <c r="D4" s="906">
        <f>L1</f>
        <v>0</v>
      </c>
      <c r="E4" s="907"/>
      <c r="F4" s="877" t="s">
        <v>28</v>
      </c>
      <c r="G4" s="878"/>
      <c r="H4" s="169"/>
      <c r="I4" s="879" t="s">
        <v>378</v>
      </c>
      <c r="J4" s="879"/>
      <c r="K4" s="879"/>
      <c r="L4" s="880"/>
      <c r="M4" s="910" t="s">
        <v>257</v>
      </c>
      <c r="N4" s="910"/>
      <c r="O4" s="191"/>
      <c r="P4" s="95"/>
      <c r="Q4" s="911" t="s">
        <v>236</v>
      </c>
      <c r="R4" s="912"/>
      <c r="S4" s="912"/>
      <c r="T4" s="912"/>
      <c r="U4" s="912"/>
      <c r="V4" s="912"/>
      <c r="W4" s="913"/>
      <c r="Y4" s="243" t="s">
        <v>308</v>
      </c>
      <c r="Z4" s="241" t="s">
        <v>309</v>
      </c>
      <c r="AA4" s="241" t="s">
        <v>310</v>
      </c>
    </row>
    <row r="5" spans="1:28" s="53" customFormat="1" ht="15.5" x14ac:dyDescent="0.25">
      <c r="A5" s="882" t="s">
        <v>4</v>
      </c>
      <c r="B5" s="883"/>
      <c r="C5" s="883"/>
      <c r="D5" s="894"/>
      <c r="E5" s="885"/>
      <c r="F5" s="844" t="s">
        <v>244</v>
      </c>
      <c r="G5" s="845"/>
      <c r="H5" s="167"/>
      <c r="I5" s="846" t="s">
        <v>319</v>
      </c>
      <c r="J5" s="846"/>
      <c r="K5" s="846"/>
      <c r="L5" s="847"/>
      <c r="M5" s="872" t="s">
        <v>22</v>
      </c>
      <c r="N5" s="872"/>
      <c r="O5" s="54"/>
      <c r="P5" s="95"/>
      <c r="Q5" s="897" t="s">
        <v>302</v>
      </c>
      <c r="R5" s="898"/>
      <c r="S5" s="898"/>
      <c r="T5" s="898"/>
      <c r="U5" s="898"/>
      <c r="V5" s="898"/>
      <c r="W5" s="899"/>
      <c r="Y5" s="157" t="s">
        <v>31</v>
      </c>
      <c r="Z5" s="161">
        <f>SUMIF($G$16:$G$41,"STATE",$K$16:$K$41)</f>
        <v>79</v>
      </c>
      <c r="AA5" s="161">
        <f>SUMIF($G$16:$G$41,"STATE",$S$16:$S$41)</f>
        <v>0</v>
      </c>
    </row>
    <row r="6" spans="1:28" s="53" customFormat="1" ht="16" thickBot="1" x14ac:dyDescent="0.3">
      <c r="A6" s="882" t="s">
        <v>12</v>
      </c>
      <c r="B6" s="883"/>
      <c r="C6" s="883"/>
      <c r="D6" s="894"/>
      <c r="E6" s="900"/>
      <c r="F6" s="844" t="s">
        <v>20</v>
      </c>
      <c r="G6" s="845"/>
      <c r="H6" s="167"/>
      <c r="I6" s="846" t="s">
        <v>317</v>
      </c>
      <c r="J6" s="846"/>
      <c r="K6" s="846"/>
      <c r="L6" s="847"/>
      <c r="M6" s="848" t="s">
        <v>233</v>
      </c>
      <c r="N6" s="848"/>
      <c r="O6" s="194">
        <f>O4+O5*10</f>
        <v>0</v>
      </c>
      <c r="P6" s="95"/>
      <c r="Q6" s="891" t="s">
        <v>573</v>
      </c>
      <c r="R6" s="892"/>
      <c r="S6" s="892"/>
      <c r="T6" s="892"/>
      <c r="U6" s="892"/>
      <c r="V6" s="892"/>
      <c r="W6" s="893"/>
      <c r="Y6" s="157" t="s">
        <v>32</v>
      </c>
      <c r="Z6" s="161">
        <f>SUMIF($G$16:$G$41,"COUNTY",$K$16:$K$41)</f>
        <v>0</v>
      </c>
      <c r="AA6" s="161">
        <f>SUMIF($G$16:$G$41,"COUNTY",$S$16:$S$41)</f>
        <v>0</v>
      </c>
    </row>
    <row r="7" spans="1:28" s="53" customFormat="1" ht="16" thickBot="1" x14ac:dyDescent="0.3">
      <c r="A7" s="882" t="s">
        <v>5</v>
      </c>
      <c r="B7" s="883"/>
      <c r="C7" s="883"/>
      <c r="D7" s="884"/>
      <c r="E7" s="885"/>
      <c r="F7" s="856" t="s">
        <v>21</v>
      </c>
      <c r="G7" s="857"/>
      <c r="H7" s="168"/>
      <c r="I7" s="858" t="s">
        <v>3</v>
      </c>
      <c r="J7" s="858"/>
      <c r="K7" s="858"/>
      <c r="L7" s="859"/>
      <c r="M7" s="216"/>
      <c r="N7" s="220"/>
      <c r="O7" s="217"/>
      <c r="P7" s="95"/>
      <c r="Q7" s="888" t="s">
        <v>235</v>
      </c>
      <c r="R7" s="889"/>
      <c r="S7" s="889"/>
      <c r="T7" s="889"/>
      <c r="U7" s="889"/>
      <c r="V7" s="889"/>
      <c r="W7" s="890"/>
      <c r="Y7" s="157" t="s">
        <v>52</v>
      </c>
      <c r="Z7" s="161">
        <f>SUMIF($G$16:$G$41,"CITY",$K$16:$K$41)</f>
        <v>0</v>
      </c>
      <c r="AA7" s="161">
        <f>SUMIF($G$16:$G$41,"CITY",$S$16:$S$41)</f>
        <v>0</v>
      </c>
    </row>
    <row r="8" spans="1:28" s="53" customFormat="1" ht="15.75" customHeight="1" x14ac:dyDescent="0.25">
      <c r="A8" s="873" t="s">
        <v>434</v>
      </c>
      <c r="B8" s="874"/>
      <c r="C8" s="874"/>
      <c r="D8" s="884" t="s">
        <v>437</v>
      </c>
      <c r="E8" s="885"/>
      <c r="F8" s="877" t="s">
        <v>253</v>
      </c>
      <c r="G8" s="878"/>
      <c r="H8" s="169"/>
      <c r="I8" s="879"/>
      <c r="J8" s="879"/>
      <c r="K8" s="879"/>
      <c r="L8" s="880"/>
      <c r="M8" s="881" t="s">
        <v>257</v>
      </c>
      <c r="N8" s="881"/>
      <c r="O8" s="51">
        <v>0</v>
      </c>
      <c r="P8" s="138"/>
      <c r="Q8" s="862" t="s">
        <v>303</v>
      </c>
      <c r="R8" s="863"/>
      <c r="S8" s="863"/>
      <c r="T8" s="863"/>
      <c r="U8" s="863"/>
      <c r="V8" s="863"/>
      <c r="W8" s="864"/>
      <c r="Y8" s="157" t="s">
        <v>230</v>
      </c>
      <c r="Z8" s="161">
        <f>SUMIF($G$16:$G$41,"COURT",$K$16:$K$41)</f>
        <v>0</v>
      </c>
      <c r="AA8" s="161">
        <f>SUMIF($G$16:$G$41,"COURT",$S$16:$S$41)</f>
        <v>0</v>
      </c>
    </row>
    <row r="9" spans="1:28" s="53" customFormat="1" ht="18" customHeight="1" thickBot="1" x14ac:dyDescent="0.3">
      <c r="A9" s="868" t="s">
        <v>435</v>
      </c>
      <c r="B9" s="869"/>
      <c r="C9" s="869"/>
      <c r="D9" s="884" t="s">
        <v>442</v>
      </c>
      <c r="E9" s="885"/>
      <c r="F9" s="844" t="s">
        <v>244</v>
      </c>
      <c r="G9" s="845"/>
      <c r="H9" s="167"/>
      <c r="I9" s="846"/>
      <c r="J9" s="846"/>
      <c r="K9" s="846"/>
      <c r="L9" s="847"/>
      <c r="M9" s="872" t="s">
        <v>22</v>
      </c>
      <c r="N9" s="872"/>
      <c r="O9" s="54"/>
      <c r="P9" s="138"/>
      <c r="Q9" s="865"/>
      <c r="R9" s="866"/>
      <c r="S9" s="866"/>
      <c r="T9" s="866"/>
      <c r="U9" s="866"/>
      <c r="V9" s="866"/>
      <c r="W9" s="867"/>
      <c r="Y9" s="84" t="s">
        <v>446</v>
      </c>
      <c r="Z9" s="161">
        <f>SUMIF($G$16:$G$41,"CNTY or CTY",$K$16:$K$41)</f>
        <v>0</v>
      </c>
      <c r="AA9" s="161">
        <f>SUMIF($G$16:$G$41,"CNTY or CTY",$S$16:$S$41)</f>
        <v>0</v>
      </c>
    </row>
    <row r="10" spans="1:28" s="53" customFormat="1" ht="16.5" customHeight="1" thickBot="1" x14ac:dyDescent="0.3">
      <c r="A10" s="840" t="s">
        <v>276</v>
      </c>
      <c r="B10" s="841"/>
      <c r="C10" s="841"/>
      <c r="D10" s="1066">
        <f>O6+O10</f>
        <v>0</v>
      </c>
      <c r="E10" s="1067"/>
      <c r="F10" s="844" t="s">
        <v>20</v>
      </c>
      <c r="G10" s="845"/>
      <c r="H10" s="167"/>
      <c r="I10" s="846"/>
      <c r="J10" s="846"/>
      <c r="K10" s="846"/>
      <c r="L10" s="847"/>
      <c r="M10" s="848" t="s">
        <v>233</v>
      </c>
      <c r="N10" s="848"/>
      <c r="O10" s="194">
        <f>O8+O9*10</f>
        <v>0</v>
      </c>
      <c r="P10" s="218"/>
      <c r="Q10" s="849" t="s">
        <v>239</v>
      </c>
      <c r="R10" s="850"/>
      <c r="S10" s="850"/>
      <c r="T10" s="850"/>
      <c r="U10" s="850"/>
      <c r="V10" s="850"/>
      <c r="W10" s="851"/>
      <c r="Y10" s="158" t="s">
        <v>246</v>
      </c>
      <c r="Z10" s="134">
        <f>SUM(Z5:Z9)</f>
        <v>79</v>
      </c>
      <c r="AA10" s="134">
        <f>SUM(AA5:AA9)</f>
        <v>0</v>
      </c>
    </row>
    <row r="11" spans="1:28" s="53" customFormat="1" ht="16.5" customHeight="1" thickBot="1" x14ac:dyDescent="0.3">
      <c r="A11" s="852" t="s">
        <v>277</v>
      </c>
      <c r="B11" s="853"/>
      <c r="C11" s="853"/>
      <c r="D11" s="854">
        <f>ROUNDUP(D10/10,0)</f>
        <v>0</v>
      </c>
      <c r="E11" s="855"/>
      <c r="F11" s="856" t="s">
        <v>21</v>
      </c>
      <c r="G11" s="857"/>
      <c r="H11" s="168"/>
      <c r="I11" s="858"/>
      <c r="J11" s="858"/>
      <c r="K11" s="858"/>
      <c r="L11" s="859"/>
      <c r="M11" s="860" t="s">
        <v>568</v>
      </c>
      <c r="N11" s="1239"/>
      <c r="O11" s="632">
        <f>'1-DUI (Reduce Base)'!P11</f>
        <v>5</v>
      </c>
      <c r="P11" s="218"/>
      <c r="Q11" s="837" t="s">
        <v>430</v>
      </c>
      <c r="R11" s="838"/>
      <c r="S11" s="838"/>
      <c r="T11" s="838"/>
      <c r="U11" s="838"/>
      <c r="V11" s="838"/>
      <c r="W11" s="839"/>
      <c r="Z11" s="242">
        <f>Z10-K43</f>
        <v>0</v>
      </c>
      <c r="AA11" s="242">
        <f>AA10-S43</f>
        <v>0</v>
      </c>
    </row>
    <row r="12" spans="1:28" s="53" customFormat="1" ht="15.75" customHeight="1" thickBot="1" x14ac:dyDescent="0.3">
      <c r="A12" s="193"/>
      <c r="B12" s="193"/>
      <c r="C12" s="173"/>
      <c r="D12" s="173"/>
      <c r="E12" s="173"/>
      <c r="F12" s="60"/>
      <c r="G12" s="55"/>
      <c r="H12" s="56"/>
      <c r="I12" s="57"/>
      <c r="J12" s="57"/>
      <c r="K12" s="57"/>
      <c r="L12" s="57"/>
      <c r="O12" s="52"/>
      <c r="P12" s="52"/>
      <c r="Q12" s="52"/>
      <c r="R12" s="52"/>
      <c r="S12" s="52"/>
      <c r="T12" s="52"/>
      <c r="U12" s="58"/>
      <c r="V12" s="58"/>
      <c r="W12" s="56"/>
      <c r="AA12" s="59"/>
    </row>
    <row r="13" spans="1:28" s="98" customFormat="1" ht="18.75" customHeight="1" thickBot="1" x14ac:dyDescent="0.3">
      <c r="A13" s="174"/>
      <c r="B13" s="174"/>
      <c r="C13" s="174"/>
      <c r="D13" s="174"/>
      <c r="E13" s="174"/>
      <c r="F13" s="96"/>
      <c r="G13" s="97"/>
      <c r="I13" s="821" t="s">
        <v>297</v>
      </c>
      <c r="J13" s="822"/>
      <c r="K13" s="823"/>
      <c r="L13" s="99"/>
      <c r="M13" s="1155" t="s">
        <v>229</v>
      </c>
      <c r="N13" s="1156"/>
      <c r="O13" s="1157"/>
      <c r="P13" s="100"/>
      <c r="Q13" s="824" t="s">
        <v>295</v>
      </c>
      <c r="R13" s="825"/>
      <c r="S13" s="826"/>
      <c r="T13" s="207"/>
      <c r="U13" s="143"/>
      <c r="V13" s="143"/>
      <c r="W13" s="144"/>
      <c r="X13" s="97"/>
      <c r="Y13" s="97"/>
      <c r="Z13" s="97"/>
      <c r="AA13" s="97"/>
      <c r="AB13" s="97"/>
    </row>
    <row r="14" spans="1:28" ht="44.25" customHeight="1" thickBot="1" x14ac:dyDescent="0.3">
      <c r="A14" s="101">
        <v>0.02</v>
      </c>
      <c r="B14" s="101" t="s">
        <v>58</v>
      </c>
      <c r="C14" s="827" t="s">
        <v>226</v>
      </c>
      <c r="D14" s="828"/>
      <c r="E14" s="828"/>
      <c r="F14" s="829"/>
      <c r="G14" s="102" t="s">
        <v>249</v>
      </c>
      <c r="H14" s="103" t="s">
        <v>0</v>
      </c>
      <c r="I14" s="833" t="s">
        <v>298</v>
      </c>
      <c r="J14" s="835" t="s">
        <v>6</v>
      </c>
      <c r="K14" s="215" t="s">
        <v>299</v>
      </c>
      <c r="L14" s="61"/>
      <c r="M14" s="1122" t="s">
        <v>260</v>
      </c>
      <c r="N14" s="1123"/>
      <c r="O14" s="109" t="s">
        <v>248</v>
      </c>
      <c r="P14" s="110"/>
      <c r="Q14" s="564" t="s">
        <v>428</v>
      </c>
      <c r="R14" s="835" t="s">
        <v>6</v>
      </c>
      <c r="S14" s="215" t="s">
        <v>299</v>
      </c>
      <c r="T14" s="209"/>
      <c r="U14" s="189" t="s">
        <v>256</v>
      </c>
      <c r="V14" s="1148" t="s">
        <v>61</v>
      </c>
      <c r="W14" s="1150" t="s">
        <v>384</v>
      </c>
    </row>
    <row r="15" spans="1:28" ht="30.75" customHeight="1" thickBot="1" x14ac:dyDescent="0.3">
      <c r="A15" s="104"/>
      <c r="B15" s="104"/>
      <c r="C15" s="830"/>
      <c r="D15" s="831"/>
      <c r="E15" s="831"/>
      <c r="F15" s="832"/>
      <c r="G15" s="105"/>
      <c r="H15" s="105"/>
      <c r="I15" s="834"/>
      <c r="J15" s="836"/>
      <c r="K15" s="222" t="s">
        <v>42</v>
      </c>
      <c r="L15" s="62"/>
      <c r="M15" s="1120"/>
      <c r="N15" s="1121"/>
      <c r="O15" s="261" t="s">
        <v>43</v>
      </c>
      <c r="P15" s="110"/>
      <c r="Q15" s="224" t="e">
        <f>(Q35-Q31)/(I35-I31)</f>
        <v>#DIV/0!</v>
      </c>
      <c r="R15" s="836"/>
      <c r="S15" s="222" t="s">
        <v>44</v>
      </c>
      <c r="T15" s="209"/>
      <c r="U15" s="262" t="s">
        <v>300</v>
      </c>
      <c r="V15" s="1149"/>
      <c r="W15" s="1151"/>
    </row>
    <row r="16" spans="1:28" s="68" customFormat="1" ht="15.75" hidden="1" customHeight="1" thickTop="1" x14ac:dyDescent="0.25">
      <c r="A16" s="63" t="s">
        <v>8</v>
      </c>
      <c r="B16" s="177"/>
      <c r="C16" s="1105"/>
      <c r="D16" s="1105"/>
      <c r="E16" s="1105"/>
      <c r="F16" s="1105"/>
      <c r="G16" s="64"/>
      <c r="H16" s="65"/>
      <c r="I16" s="139"/>
      <c r="J16" s="147"/>
      <c r="K16" s="180"/>
      <c r="L16" s="149"/>
      <c r="M16" s="1135"/>
      <c r="N16" s="1136"/>
      <c r="O16" s="172"/>
      <c r="P16" s="66"/>
      <c r="Q16" s="145"/>
      <c r="R16" s="147"/>
      <c r="S16" s="151"/>
      <c r="T16" s="210"/>
      <c r="U16" s="145"/>
      <c r="V16" s="145"/>
      <c r="W16" s="94"/>
      <c r="X16" s="114"/>
      <c r="Y16" s="114"/>
      <c r="Z16" s="114"/>
      <c r="AA16" s="114"/>
      <c r="AB16" s="114"/>
    </row>
    <row r="17" spans="1:28" s="68" customFormat="1" ht="15.75" hidden="1" customHeight="1" thickBot="1" x14ac:dyDescent="0.3">
      <c r="A17" s="63" t="s">
        <v>8</v>
      </c>
      <c r="B17" s="238"/>
      <c r="C17" s="804"/>
      <c r="D17" s="805"/>
      <c r="E17" s="805"/>
      <c r="F17" s="945"/>
      <c r="G17" s="70"/>
      <c r="H17" s="71"/>
      <c r="I17" s="141"/>
      <c r="J17" s="147"/>
      <c r="K17" s="152"/>
      <c r="L17" s="149"/>
      <c r="M17" s="804"/>
      <c r="N17" s="1078"/>
      <c r="O17" s="252"/>
      <c r="P17" s="66"/>
      <c r="Q17" s="145"/>
      <c r="R17" s="147"/>
      <c r="S17" s="152"/>
      <c r="T17" s="210"/>
      <c r="U17" s="145"/>
      <c r="V17" s="145"/>
      <c r="W17" s="67"/>
      <c r="X17" s="114"/>
      <c r="Y17" s="114"/>
      <c r="Z17" s="114"/>
      <c r="AA17" s="114"/>
      <c r="AB17" s="114"/>
    </row>
    <row r="18" spans="1:28" s="68" customFormat="1" ht="15.75" customHeight="1" thickTop="1" x14ac:dyDescent="0.25">
      <c r="A18" s="63" t="s">
        <v>8</v>
      </c>
      <c r="B18" s="1249" t="s">
        <v>241</v>
      </c>
      <c r="C18" s="1105" t="s">
        <v>320</v>
      </c>
      <c r="D18" s="1105"/>
      <c r="E18" s="1105"/>
      <c r="F18" s="1105"/>
      <c r="G18" s="572" t="str">
        <f>IF(AND($D$9="Yes",$D$8="NA-City Arrest"), "CITY","COUNTY")</f>
        <v>COUNTY</v>
      </c>
      <c r="H18" s="71" t="s">
        <v>325</v>
      </c>
      <c r="I18" s="141">
        <f>$D$10*70%</f>
        <v>0</v>
      </c>
      <c r="J18" s="147">
        <f>IF(A18="Y",I18* 2%,0)</f>
        <v>0</v>
      </c>
      <c r="K18" s="152">
        <f>I18-J18</f>
        <v>0</v>
      </c>
      <c r="L18" s="149"/>
      <c r="M18" s="804"/>
      <c r="N18" s="1078"/>
      <c r="O18" s="172"/>
      <c r="P18" s="66"/>
      <c r="Q18" s="145">
        <f t="shared" ref="Q18:Q30" si="0">IF($Q$43=0,,I18*$Q$15)</f>
        <v>0</v>
      </c>
      <c r="R18" s="147">
        <f t="shared" ref="R18:R34" si="1">IF(A18="Y", Q18*2%,)</f>
        <v>0</v>
      </c>
      <c r="S18" s="152">
        <f t="shared" ref="S18:S40" si="2">Q18-R18</f>
        <v>0</v>
      </c>
      <c r="T18" s="210"/>
      <c r="U18" s="145">
        <f t="shared" ref="U18:U34" si="3">IF($U$15="BASE-UP   (B-A)", O18-K18,O18-S18)</f>
        <v>0</v>
      </c>
      <c r="V18" s="548"/>
      <c r="W18" s="504"/>
      <c r="X18" s="114"/>
      <c r="Y18" s="114"/>
      <c r="Z18" s="114"/>
      <c r="AA18" s="114"/>
      <c r="AB18" s="114"/>
    </row>
    <row r="19" spans="1:28" s="68" customFormat="1" ht="15.75" customHeight="1" x14ac:dyDescent="0.25">
      <c r="A19" s="63" t="s">
        <v>8</v>
      </c>
      <c r="B19" s="1249"/>
      <c r="C19" s="1105" t="s">
        <v>321</v>
      </c>
      <c r="D19" s="1105"/>
      <c r="E19" s="1105"/>
      <c r="F19" s="1105"/>
      <c r="G19" s="572" t="str">
        <f>IF(AND($D$9="Yes",$D$8="NA-City Arrest"), "CITY","COUNTY")</f>
        <v>COUNTY</v>
      </c>
      <c r="H19" s="71" t="s">
        <v>324</v>
      </c>
      <c r="I19" s="141">
        <f>$D$10*15%</f>
        <v>0</v>
      </c>
      <c r="J19" s="147">
        <f>IF(A19="Y",I19* 2%,0)</f>
        <v>0</v>
      </c>
      <c r="K19" s="152">
        <f>I19-J19</f>
        <v>0</v>
      </c>
      <c r="L19" s="149"/>
      <c r="M19" s="804"/>
      <c r="N19" s="1078"/>
      <c r="O19" s="72"/>
      <c r="P19" s="66"/>
      <c r="Q19" s="145">
        <f t="shared" si="0"/>
        <v>0</v>
      </c>
      <c r="R19" s="147">
        <f t="shared" si="1"/>
        <v>0</v>
      </c>
      <c r="S19" s="152">
        <f t="shared" si="2"/>
        <v>0</v>
      </c>
      <c r="T19" s="210"/>
      <c r="U19" s="145">
        <f t="shared" si="3"/>
        <v>0</v>
      </c>
      <c r="V19" s="548"/>
      <c r="W19" s="504"/>
      <c r="X19" s="114"/>
      <c r="Y19" s="114"/>
      <c r="Z19" s="114"/>
      <c r="AA19" s="114"/>
      <c r="AB19" s="114"/>
    </row>
    <row r="20" spans="1:28" s="68" customFormat="1" ht="15.75" customHeight="1" x14ac:dyDescent="0.25">
      <c r="A20" s="63" t="s">
        <v>8</v>
      </c>
      <c r="B20" s="820"/>
      <c r="C20" s="1105" t="s">
        <v>322</v>
      </c>
      <c r="D20" s="1105"/>
      <c r="E20" s="1105"/>
      <c r="F20" s="1105"/>
      <c r="G20" s="572" t="str">
        <f>IF($D$8="Yes", "COUNTY", "CITY")</f>
        <v>CITY</v>
      </c>
      <c r="H20" s="71" t="s">
        <v>323</v>
      </c>
      <c r="I20" s="141">
        <f>$D$10*15%</f>
        <v>0</v>
      </c>
      <c r="J20" s="147">
        <f t="shared" ref="J20:J34" si="4">IF(A20="Y",I20* 2%,0)</f>
        <v>0</v>
      </c>
      <c r="K20" s="152">
        <f t="shared" ref="K20:K33" si="5">I20-J20</f>
        <v>0</v>
      </c>
      <c r="L20" s="149"/>
      <c r="M20" s="804"/>
      <c r="N20" s="1078"/>
      <c r="O20" s="72"/>
      <c r="P20" s="66"/>
      <c r="Q20" s="145">
        <f t="shared" si="0"/>
        <v>0</v>
      </c>
      <c r="R20" s="147">
        <f t="shared" si="1"/>
        <v>0</v>
      </c>
      <c r="S20" s="152">
        <f t="shared" si="2"/>
        <v>0</v>
      </c>
      <c r="T20" s="210"/>
      <c r="U20" s="145">
        <f t="shared" si="3"/>
        <v>0</v>
      </c>
      <c r="V20" s="548"/>
      <c r="W20" s="504"/>
      <c r="X20" s="114"/>
      <c r="Y20" s="114"/>
      <c r="Z20" s="114"/>
      <c r="AA20" s="114"/>
      <c r="AB20" s="114"/>
    </row>
    <row r="21" spans="1:28" s="68" customFormat="1" ht="15.75" customHeight="1" x14ac:dyDescent="0.25">
      <c r="A21" s="63" t="s">
        <v>8</v>
      </c>
      <c r="B21" s="69">
        <v>7</v>
      </c>
      <c r="C21" s="812" t="s">
        <v>546</v>
      </c>
      <c r="D21" s="812"/>
      <c r="E21" s="812"/>
      <c r="F21" s="812"/>
      <c r="G21" s="566" t="s">
        <v>31</v>
      </c>
      <c r="H21" s="71" t="s">
        <v>26</v>
      </c>
      <c r="I21" s="140">
        <f>$D$11*B21</f>
        <v>0</v>
      </c>
      <c r="J21" s="147">
        <f t="shared" si="4"/>
        <v>0</v>
      </c>
      <c r="K21" s="152">
        <f t="shared" si="5"/>
        <v>0</v>
      </c>
      <c r="L21" s="149"/>
      <c r="M21" s="804"/>
      <c r="N21" s="1078"/>
      <c r="O21" s="74"/>
      <c r="P21" s="75"/>
      <c r="Q21" s="145">
        <f t="shared" si="0"/>
        <v>0</v>
      </c>
      <c r="R21" s="147">
        <f t="shared" si="1"/>
        <v>0</v>
      </c>
      <c r="S21" s="152">
        <f t="shared" si="2"/>
        <v>0</v>
      </c>
      <c r="T21" s="210"/>
      <c r="U21" s="145">
        <f t="shared" si="3"/>
        <v>0</v>
      </c>
      <c r="V21" s="548"/>
      <c r="W21" s="455"/>
      <c r="X21" s="114"/>
      <c r="Y21" s="114"/>
      <c r="Z21" s="114"/>
      <c r="AA21" s="114"/>
      <c r="AB21" s="114"/>
    </row>
    <row r="22" spans="1:28" s="68" customFormat="1" ht="15.75" customHeight="1" x14ac:dyDescent="0.25">
      <c r="A22" s="63" t="s">
        <v>8</v>
      </c>
      <c r="B22" s="69">
        <v>3</v>
      </c>
      <c r="C22" s="812" t="s">
        <v>547</v>
      </c>
      <c r="D22" s="812"/>
      <c r="E22" s="812"/>
      <c r="F22" s="812"/>
      <c r="G22" s="566" t="s">
        <v>32</v>
      </c>
      <c r="H22" s="71" t="s">
        <v>27</v>
      </c>
      <c r="I22" s="140">
        <f t="shared" ref="I22:I33" si="6">$D$11*B22</f>
        <v>0</v>
      </c>
      <c r="J22" s="147">
        <f t="shared" si="4"/>
        <v>0</v>
      </c>
      <c r="K22" s="152">
        <f t="shared" si="5"/>
        <v>0</v>
      </c>
      <c r="L22" s="149"/>
      <c r="M22" s="804"/>
      <c r="N22" s="1078"/>
      <c r="O22" s="72"/>
      <c r="P22" s="66"/>
      <c r="Q22" s="145">
        <f t="shared" si="0"/>
        <v>0</v>
      </c>
      <c r="R22" s="147">
        <f t="shared" si="1"/>
        <v>0</v>
      </c>
      <c r="S22" s="152">
        <f t="shared" si="2"/>
        <v>0</v>
      </c>
      <c r="T22" s="210"/>
      <c r="U22" s="145">
        <f t="shared" si="3"/>
        <v>0</v>
      </c>
      <c r="V22" s="548"/>
      <c r="W22" s="455"/>
      <c r="X22" s="114"/>
      <c r="Y22" s="114"/>
      <c r="Z22" s="114"/>
      <c r="AA22" s="114"/>
      <c r="AB22" s="114"/>
    </row>
    <row r="23" spans="1:28" s="68" customFormat="1" ht="15.75" customHeight="1" x14ac:dyDescent="0.25">
      <c r="A23" s="63" t="s">
        <v>8</v>
      </c>
      <c r="B23" s="69">
        <v>1</v>
      </c>
      <c r="C23" s="804" t="s">
        <v>216</v>
      </c>
      <c r="D23" s="805"/>
      <c r="E23" s="805"/>
      <c r="F23" s="945"/>
      <c r="G23" s="566" t="s">
        <v>32</v>
      </c>
      <c r="H23" s="71" t="s">
        <v>55</v>
      </c>
      <c r="I23" s="140">
        <f t="shared" si="6"/>
        <v>0</v>
      </c>
      <c r="J23" s="147">
        <f t="shared" si="4"/>
        <v>0</v>
      </c>
      <c r="K23" s="152">
        <f t="shared" si="5"/>
        <v>0</v>
      </c>
      <c r="L23" s="149"/>
      <c r="M23" s="804"/>
      <c r="N23" s="1078"/>
      <c r="O23" s="72"/>
      <c r="P23" s="66"/>
      <c r="Q23" s="145">
        <f t="shared" si="0"/>
        <v>0</v>
      </c>
      <c r="R23" s="147">
        <f t="shared" si="1"/>
        <v>0</v>
      </c>
      <c r="S23" s="152">
        <f t="shared" si="2"/>
        <v>0</v>
      </c>
      <c r="T23" s="210"/>
      <c r="U23" s="145">
        <f t="shared" si="3"/>
        <v>0</v>
      </c>
      <c r="V23" s="548"/>
      <c r="W23" s="455"/>
      <c r="X23" s="114"/>
      <c r="Y23" s="114"/>
      <c r="Z23" s="114"/>
      <c r="AA23" s="114"/>
      <c r="AB23" s="114"/>
    </row>
    <row r="24" spans="1:28" s="68" customFormat="1" ht="15.75" customHeight="1" x14ac:dyDescent="0.25">
      <c r="A24" s="63" t="s">
        <v>8</v>
      </c>
      <c r="B24" s="69">
        <v>4</v>
      </c>
      <c r="C24" s="804" t="s">
        <v>466</v>
      </c>
      <c r="D24" s="805"/>
      <c r="E24" s="805"/>
      <c r="F24" s="945"/>
      <c r="G24" s="566" t="s">
        <v>31</v>
      </c>
      <c r="H24" s="71" t="s">
        <v>72</v>
      </c>
      <c r="I24" s="140">
        <f t="shared" si="6"/>
        <v>0</v>
      </c>
      <c r="J24" s="147">
        <f t="shared" si="4"/>
        <v>0</v>
      </c>
      <c r="K24" s="152">
        <f t="shared" si="5"/>
        <v>0</v>
      </c>
      <c r="L24" s="149"/>
      <c r="M24" s="804"/>
      <c r="N24" s="1078"/>
      <c r="O24" s="72"/>
      <c r="P24" s="66"/>
      <c r="Q24" s="145">
        <f t="shared" si="0"/>
        <v>0</v>
      </c>
      <c r="R24" s="147">
        <f t="shared" si="1"/>
        <v>0</v>
      </c>
      <c r="S24" s="152">
        <f t="shared" si="2"/>
        <v>0</v>
      </c>
      <c r="T24" s="210"/>
      <c r="U24" s="145">
        <f t="shared" si="3"/>
        <v>0</v>
      </c>
      <c r="V24" s="548"/>
      <c r="W24" s="455"/>
      <c r="X24" s="114"/>
      <c r="Y24" s="114"/>
      <c r="Z24" s="114"/>
      <c r="AA24" s="114"/>
      <c r="AB24" s="114"/>
    </row>
    <row r="25" spans="1:28" s="68" customFormat="1" ht="15.75" customHeight="1" x14ac:dyDescent="0.25">
      <c r="A25" s="63" t="s">
        <v>8</v>
      </c>
      <c r="B25" s="634">
        <f>'1-DUI (Reduce Base)'!$B$25</f>
        <v>0</v>
      </c>
      <c r="C25" s="812" t="s">
        <v>217</v>
      </c>
      <c r="D25" s="812"/>
      <c r="E25" s="813" t="str">
        <f>IF(SUM(B25:B29)=O11,"GC 76000 PA ($" &amp;O11 &amp; " for every 10) breakdown per local board of supervisor resolution (BOS).","ERROR! GC 76000 PA total is not $" &amp;O11&amp; ". Check Court's board resolution.")</f>
        <v>ERROR! GC 76000 PA total is not $5. Check Court's board resolution.</v>
      </c>
      <c r="F25" s="1143"/>
      <c r="G25" s="566" t="s">
        <v>32</v>
      </c>
      <c r="H25" s="71" t="s">
        <v>64</v>
      </c>
      <c r="I25" s="140">
        <f t="shared" si="6"/>
        <v>0</v>
      </c>
      <c r="J25" s="147">
        <f t="shared" si="4"/>
        <v>0</v>
      </c>
      <c r="K25" s="152">
        <f t="shared" si="5"/>
        <v>0</v>
      </c>
      <c r="L25" s="149"/>
      <c r="M25" s="804"/>
      <c r="N25" s="1078"/>
      <c r="O25" s="72"/>
      <c r="P25" s="66"/>
      <c r="Q25" s="145">
        <f t="shared" si="0"/>
        <v>0</v>
      </c>
      <c r="R25" s="147">
        <f t="shared" si="1"/>
        <v>0</v>
      </c>
      <c r="S25" s="152">
        <f t="shared" si="2"/>
        <v>0</v>
      </c>
      <c r="T25" s="210"/>
      <c r="U25" s="145">
        <f t="shared" si="3"/>
        <v>0</v>
      </c>
      <c r="V25" s="548"/>
      <c r="W25" s="455"/>
      <c r="X25" s="114"/>
      <c r="Y25" s="114"/>
      <c r="Z25" s="114"/>
      <c r="AA25" s="114"/>
      <c r="AB25" s="114"/>
    </row>
    <row r="26" spans="1:28" s="68" customFormat="1" ht="15.75" customHeight="1" x14ac:dyDescent="0.25">
      <c r="A26" s="63" t="s">
        <v>8</v>
      </c>
      <c r="B26" s="634">
        <f>'1-DUI (Reduce Base)'!$B$26</f>
        <v>1</v>
      </c>
      <c r="C26" s="812" t="s">
        <v>218</v>
      </c>
      <c r="D26" s="812"/>
      <c r="E26" s="815"/>
      <c r="F26" s="1144"/>
      <c r="G26" s="566" t="s">
        <v>32</v>
      </c>
      <c r="H26" s="71" t="s">
        <v>35</v>
      </c>
      <c r="I26" s="140">
        <f t="shared" si="6"/>
        <v>0</v>
      </c>
      <c r="J26" s="147">
        <f t="shared" si="4"/>
        <v>0</v>
      </c>
      <c r="K26" s="152">
        <f t="shared" si="5"/>
        <v>0</v>
      </c>
      <c r="L26" s="149"/>
      <c r="M26" s="804"/>
      <c r="N26" s="1078"/>
      <c r="O26" s="72"/>
      <c r="P26" s="66"/>
      <c r="Q26" s="145">
        <f t="shared" si="0"/>
        <v>0</v>
      </c>
      <c r="R26" s="147">
        <f t="shared" si="1"/>
        <v>0</v>
      </c>
      <c r="S26" s="152">
        <f t="shared" si="2"/>
        <v>0</v>
      </c>
      <c r="T26" s="210"/>
      <c r="U26" s="145">
        <f t="shared" si="3"/>
        <v>0</v>
      </c>
      <c r="V26" s="548"/>
      <c r="W26" s="455"/>
      <c r="X26" s="114"/>
      <c r="Y26" s="114"/>
      <c r="Z26" s="114"/>
      <c r="AA26" s="114"/>
      <c r="AB26" s="114"/>
    </row>
    <row r="27" spans="1:28" s="68" customFormat="1" ht="15.75" customHeight="1" x14ac:dyDescent="0.25">
      <c r="A27" s="63" t="s">
        <v>8</v>
      </c>
      <c r="B27" s="634">
        <f>'1-DUI (Reduce Base)'!$B$27</f>
        <v>1</v>
      </c>
      <c r="C27" s="812" t="s">
        <v>219</v>
      </c>
      <c r="D27" s="812"/>
      <c r="E27" s="815"/>
      <c r="F27" s="1144"/>
      <c r="G27" s="566" t="s">
        <v>32</v>
      </c>
      <c r="H27" s="71" t="s">
        <v>65</v>
      </c>
      <c r="I27" s="140">
        <f t="shared" si="6"/>
        <v>0</v>
      </c>
      <c r="J27" s="147">
        <f t="shared" si="4"/>
        <v>0</v>
      </c>
      <c r="K27" s="152">
        <f t="shared" si="5"/>
        <v>0</v>
      </c>
      <c r="L27" s="149"/>
      <c r="M27" s="804"/>
      <c r="N27" s="1078"/>
      <c r="O27" s="72"/>
      <c r="P27" s="66"/>
      <c r="Q27" s="145">
        <f t="shared" si="0"/>
        <v>0</v>
      </c>
      <c r="R27" s="147">
        <f t="shared" si="1"/>
        <v>0</v>
      </c>
      <c r="S27" s="152">
        <f t="shared" si="2"/>
        <v>0</v>
      </c>
      <c r="T27" s="210"/>
      <c r="U27" s="145">
        <f t="shared" si="3"/>
        <v>0</v>
      </c>
      <c r="V27" s="548"/>
      <c r="W27" s="455"/>
      <c r="X27" s="114"/>
      <c r="Y27" s="114"/>
      <c r="Z27" s="114"/>
      <c r="AA27" s="114"/>
      <c r="AB27" s="114"/>
    </row>
    <row r="28" spans="1:28" s="68" customFormat="1" ht="15.75" customHeight="1" x14ac:dyDescent="0.25">
      <c r="A28" s="63" t="s">
        <v>8</v>
      </c>
      <c r="B28" s="634">
        <f>'1-DUI (Reduce Base)'!$B$28</f>
        <v>0.5</v>
      </c>
      <c r="C28" s="812" t="s">
        <v>401</v>
      </c>
      <c r="D28" s="812"/>
      <c r="E28" s="815"/>
      <c r="F28" s="1144"/>
      <c r="G28" s="566" t="s">
        <v>32</v>
      </c>
      <c r="H28" s="71" t="s">
        <v>65</v>
      </c>
      <c r="I28" s="140">
        <f>$D$11*B28</f>
        <v>0</v>
      </c>
      <c r="J28" s="147">
        <f>IF(A28="Y",I28* 2%,0)</f>
        <v>0</v>
      </c>
      <c r="K28" s="152">
        <f>I28-J28</f>
        <v>0</v>
      </c>
      <c r="L28" s="149"/>
      <c r="M28" s="804"/>
      <c r="N28" s="1078"/>
      <c r="O28" s="72"/>
      <c r="P28" s="66"/>
      <c r="Q28" s="145">
        <f t="shared" si="0"/>
        <v>0</v>
      </c>
      <c r="R28" s="147">
        <f>IF(A28="Y", Q28*2%,)</f>
        <v>0</v>
      </c>
      <c r="S28" s="152">
        <f>Q28-R28</f>
        <v>0</v>
      </c>
      <c r="T28" s="210"/>
      <c r="U28" s="145">
        <f>IF($U$15="BASE-UP   (B-A)", O28-K28,O28-S28)</f>
        <v>0</v>
      </c>
      <c r="V28" s="548"/>
      <c r="W28" s="455"/>
      <c r="X28" s="114"/>
      <c r="Y28" s="114"/>
      <c r="Z28" s="114"/>
      <c r="AA28" s="114"/>
      <c r="AB28" s="114"/>
    </row>
    <row r="29" spans="1:28" s="68" customFormat="1" ht="15.75" customHeight="1" x14ac:dyDescent="0.25">
      <c r="A29" s="63" t="s">
        <v>8</v>
      </c>
      <c r="B29" s="634">
        <f>'1-DUI (Reduce Base)'!$B$29</f>
        <v>1</v>
      </c>
      <c r="C29" s="812" t="s">
        <v>254</v>
      </c>
      <c r="D29" s="812"/>
      <c r="E29" s="817"/>
      <c r="F29" s="1145"/>
      <c r="G29" s="566" t="s">
        <v>32</v>
      </c>
      <c r="H29" s="71"/>
      <c r="I29" s="140">
        <f t="shared" si="6"/>
        <v>0</v>
      </c>
      <c r="J29" s="147">
        <f t="shared" si="4"/>
        <v>0</v>
      </c>
      <c r="K29" s="152">
        <f t="shared" si="5"/>
        <v>0</v>
      </c>
      <c r="L29" s="149"/>
      <c r="M29" s="804"/>
      <c r="N29" s="1078"/>
      <c r="O29" s="72"/>
      <c r="P29" s="66"/>
      <c r="Q29" s="145">
        <f t="shared" si="0"/>
        <v>0</v>
      </c>
      <c r="R29" s="147">
        <f t="shared" si="1"/>
        <v>0</v>
      </c>
      <c r="S29" s="152">
        <f t="shared" si="2"/>
        <v>0</v>
      </c>
      <c r="T29" s="210"/>
      <c r="U29" s="145">
        <f t="shared" si="3"/>
        <v>0</v>
      </c>
      <c r="V29" s="548"/>
      <c r="W29" s="455"/>
      <c r="X29" s="114"/>
      <c r="Y29" s="114"/>
      <c r="Z29" s="114"/>
      <c r="AA29" s="114"/>
      <c r="AB29" s="114"/>
    </row>
    <row r="30" spans="1:28" s="68" customFormat="1" ht="15.75" customHeight="1" x14ac:dyDescent="0.25">
      <c r="A30" s="63" t="s">
        <v>8</v>
      </c>
      <c r="B30" s="634">
        <f>'1-DUI (Reduce Base)'!$B$30</f>
        <v>2</v>
      </c>
      <c r="C30" s="804" t="s">
        <v>286</v>
      </c>
      <c r="D30" s="805"/>
      <c r="E30" s="805"/>
      <c r="F30" s="945"/>
      <c r="G30" s="566" t="s">
        <v>32</v>
      </c>
      <c r="H30" s="71" t="s">
        <v>36</v>
      </c>
      <c r="I30" s="140">
        <f t="shared" si="6"/>
        <v>0</v>
      </c>
      <c r="J30" s="147">
        <f t="shared" si="4"/>
        <v>0</v>
      </c>
      <c r="K30" s="152">
        <f t="shared" si="5"/>
        <v>0</v>
      </c>
      <c r="L30" s="149"/>
      <c r="M30" s="804"/>
      <c r="N30" s="1078"/>
      <c r="O30" s="72"/>
      <c r="P30" s="66"/>
      <c r="Q30" s="145">
        <f t="shared" si="0"/>
        <v>0</v>
      </c>
      <c r="R30" s="147">
        <f t="shared" si="1"/>
        <v>0</v>
      </c>
      <c r="S30" s="152">
        <f t="shared" si="2"/>
        <v>0</v>
      </c>
      <c r="T30" s="210"/>
      <c r="U30" s="145">
        <f t="shared" si="3"/>
        <v>0</v>
      </c>
      <c r="V30" s="548"/>
      <c r="W30" s="455"/>
      <c r="X30" s="114"/>
      <c r="Y30" s="114"/>
      <c r="Z30" s="114"/>
      <c r="AA30" s="114"/>
      <c r="AB30" s="114"/>
    </row>
    <row r="31" spans="1:28" s="68" customFormat="1" ht="15" customHeight="1" x14ac:dyDescent="0.25">
      <c r="A31" s="63" t="s">
        <v>8</v>
      </c>
      <c r="B31" s="69"/>
      <c r="C31" s="804" t="s">
        <v>385</v>
      </c>
      <c r="D31" s="805"/>
      <c r="E31" s="805"/>
      <c r="F31" s="945"/>
      <c r="G31" s="566" t="s">
        <v>31</v>
      </c>
      <c r="H31" s="81" t="s">
        <v>39</v>
      </c>
      <c r="I31" s="186">
        <v>4</v>
      </c>
      <c r="J31" s="147">
        <f>IF(A31="Y", I31*2%,0)</f>
        <v>0.08</v>
      </c>
      <c r="K31" s="152">
        <f>I31-J31</f>
        <v>3.92</v>
      </c>
      <c r="L31" s="149"/>
      <c r="M31" s="804"/>
      <c r="N31" s="1078"/>
      <c r="O31" s="72"/>
      <c r="P31" s="66"/>
      <c r="Q31" s="140">
        <f>IF($Q$43=0,,I31)</f>
        <v>0</v>
      </c>
      <c r="R31" s="147">
        <f>IF(A31="Y", Q31*2%,)</f>
        <v>0</v>
      </c>
      <c r="S31" s="152">
        <f>Q31-R31</f>
        <v>0</v>
      </c>
      <c r="T31" s="210"/>
      <c r="U31" s="145">
        <f>IF($U$15="BASE-UP   (B-A)", O31-K31,O31-S31)</f>
        <v>-3.92</v>
      </c>
      <c r="V31" s="548"/>
      <c r="W31" s="455"/>
      <c r="X31" s="114"/>
      <c r="Y31" s="114"/>
      <c r="Z31" s="114"/>
      <c r="AA31" s="114"/>
      <c r="AB31" s="114"/>
    </row>
    <row r="32" spans="1:28" s="68" customFormat="1" ht="15.75" customHeight="1" x14ac:dyDescent="0.25">
      <c r="A32" s="63" t="s">
        <v>8</v>
      </c>
      <c r="B32" s="634">
        <f>'1-DUI (Reduce Base)'!$B$32</f>
        <v>2</v>
      </c>
      <c r="C32" s="804" t="s">
        <v>555</v>
      </c>
      <c r="D32" s="805"/>
      <c r="E32" s="945"/>
      <c r="F32" s="1008" t="s">
        <v>281</v>
      </c>
      <c r="G32" s="566" t="s">
        <v>31</v>
      </c>
      <c r="H32" s="71" t="s">
        <v>37</v>
      </c>
      <c r="I32" s="140">
        <f t="shared" si="6"/>
        <v>0</v>
      </c>
      <c r="J32" s="147">
        <f t="shared" si="4"/>
        <v>0</v>
      </c>
      <c r="K32" s="152">
        <f t="shared" si="5"/>
        <v>0</v>
      </c>
      <c r="L32" s="149"/>
      <c r="M32" s="804"/>
      <c r="N32" s="1078"/>
      <c r="O32" s="72"/>
      <c r="P32" s="66"/>
      <c r="Q32" s="145">
        <f>IF($Q$43=0,,I32*$Q$15)</f>
        <v>0</v>
      </c>
      <c r="R32" s="147">
        <f t="shared" si="1"/>
        <v>0</v>
      </c>
      <c r="S32" s="152">
        <f t="shared" si="2"/>
        <v>0</v>
      </c>
      <c r="T32" s="210"/>
      <c r="U32" s="145">
        <f t="shared" si="3"/>
        <v>0</v>
      </c>
      <c r="V32" s="548"/>
      <c r="W32" s="455"/>
      <c r="X32" s="114"/>
      <c r="Y32" s="114"/>
      <c r="Z32" s="114"/>
      <c r="AA32" s="114"/>
      <c r="AB32" s="114"/>
    </row>
    <row r="33" spans="1:28" s="68" customFormat="1" ht="15.75" customHeight="1" x14ac:dyDescent="0.25">
      <c r="A33" s="63" t="s">
        <v>8</v>
      </c>
      <c r="B33" s="164">
        <f>5-B32</f>
        <v>3</v>
      </c>
      <c r="C33" s="804" t="s">
        <v>556</v>
      </c>
      <c r="D33" s="805"/>
      <c r="E33" s="945"/>
      <c r="F33" s="1009"/>
      <c r="G33" s="566" t="s">
        <v>31</v>
      </c>
      <c r="H33" s="71" t="s">
        <v>197</v>
      </c>
      <c r="I33" s="140">
        <f t="shared" si="6"/>
        <v>0</v>
      </c>
      <c r="J33" s="147">
        <f t="shared" si="4"/>
        <v>0</v>
      </c>
      <c r="K33" s="152">
        <f t="shared" si="5"/>
        <v>0</v>
      </c>
      <c r="L33" s="149"/>
      <c r="M33" s="804"/>
      <c r="N33" s="1078"/>
      <c r="O33" s="72"/>
      <c r="P33" s="66"/>
      <c r="Q33" s="145">
        <f>IF($Q$43=0,,I33*$Q$15)</f>
        <v>0</v>
      </c>
      <c r="R33" s="147">
        <f t="shared" si="1"/>
        <v>0</v>
      </c>
      <c r="S33" s="152">
        <f t="shared" si="2"/>
        <v>0</v>
      </c>
      <c r="T33" s="210"/>
      <c r="U33" s="145">
        <f t="shared" si="3"/>
        <v>0</v>
      </c>
      <c r="V33" s="548"/>
      <c r="W33" s="455"/>
      <c r="X33" s="114"/>
      <c r="Y33" s="114"/>
      <c r="Z33" s="114"/>
      <c r="AA33" s="114"/>
      <c r="AB33" s="114"/>
    </row>
    <row r="34" spans="1:28" s="68" customFormat="1" ht="15.75" customHeight="1" x14ac:dyDescent="0.25">
      <c r="A34" s="63" t="s">
        <v>7</v>
      </c>
      <c r="B34" s="69"/>
      <c r="C34" s="804" t="s">
        <v>220</v>
      </c>
      <c r="D34" s="805"/>
      <c r="E34" s="805"/>
      <c r="F34" s="945"/>
      <c r="G34" s="566" t="s">
        <v>31</v>
      </c>
      <c r="H34" s="71" t="s">
        <v>10</v>
      </c>
      <c r="I34" s="140">
        <f>$D$10*20%</f>
        <v>0</v>
      </c>
      <c r="J34" s="147">
        <f t="shared" si="4"/>
        <v>0</v>
      </c>
      <c r="K34" s="152">
        <f>I34-J34</f>
        <v>0</v>
      </c>
      <c r="L34" s="149"/>
      <c r="M34" s="804"/>
      <c r="N34" s="1078"/>
      <c r="O34" s="72"/>
      <c r="P34" s="66"/>
      <c r="Q34" s="145">
        <f>IF($Q$43=0,,I34*$Q$15)</f>
        <v>0</v>
      </c>
      <c r="R34" s="147">
        <f t="shared" si="1"/>
        <v>0</v>
      </c>
      <c r="S34" s="152">
        <f t="shared" si="2"/>
        <v>0</v>
      </c>
      <c r="T34" s="210"/>
      <c r="U34" s="145">
        <f t="shared" si="3"/>
        <v>0</v>
      </c>
      <c r="V34" s="548"/>
      <c r="W34" s="455"/>
      <c r="X34" s="114"/>
      <c r="Y34" s="114"/>
      <c r="Z34" s="114"/>
      <c r="AA34" s="114"/>
      <c r="AB34" s="114"/>
    </row>
    <row r="35" spans="1:28" s="80" customFormat="1" ht="15.75" customHeight="1" x14ac:dyDescent="0.25">
      <c r="A35" s="63"/>
      <c r="B35" s="76"/>
      <c r="C35" s="810" t="s">
        <v>221</v>
      </c>
      <c r="D35" s="811"/>
      <c r="E35" s="811"/>
      <c r="F35" s="946"/>
      <c r="G35" s="573"/>
      <c r="H35" s="78"/>
      <c r="I35" s="142">
        <f>SUM(I16:I34)</f>
        <v>4</v>
      </c>
      <c r="J35" s="147"/>
      <c r="K35" s="153">
        <f>SUM(K16:K34)</f>
        <v>3.92</v>
      </c>
      <c r="L35" s="150"/>
      <c r="M35" s="804"/>
      <c r="N35" s="1078"/>
      <c r="O35" s="166">
        <f>SUM(O16:O34)</f>
        <v>0</v>
      </c>
      <c r="P35" s="111"/>
      <c r="Q35" s="142">
        <f>IF($Q$43=0,,Q43-SUM(Q36:Q40))</f>
        <v>0</v>
      </c>
      <c r="R35" s="147"/>
      <c r="S35" s="153">
        <f>SUM(S16:S34)</f>
        <v>0</v>
      </c>
      <c r="T35" s="211"/>
      <c r="U35" s="145">
        <f>SUM(U16:U34)</f>
        <v>-3.92</v>
      </c>
      <c r="V35" s="548"/>
      <c r="W35" s="456"/>
      <c r="X35" s="129"/>
      <c r="Y35" s="129"/>
      <c r="Z35" s="129"/>
      <c r="AA35" s="129"/>
      <c r="AB35" s="129"/>
    </row>
    <row r="36" spans="1:28" s="68" customFormat="1" ht="15" customHeight="1" x14ac:dyDescent="0.25">
      <c r="A36" s="63" t="s">
        <v>7</v>
      </c>
      <c r="B36" s="69"/>
      <c r="C36" s="804" t="s">
        <v>419</v>
      </c>
      <c r="D36" s="805"/>
      <c r="E36" s="805"/>
      <c r="F36" s="945"/>
      <c r="G36" s="566" t="s">
        <v>31</v>
      </c>
      <c r="H36" s="81"/>
      <c r="I36" s="186">
        <v>40</v>
      </c>
      <c r="J36" s="147">
        <f>IF(A36="Y", I36*2%,0)</f>
        <v>0</v>
      </c>
      <c r="K36" s="152">
        <f>I36-J36</f>
        <v>40</v>
      </c>
      <c r="L36" s="149"/>
      <c r="M36" s="449"/>
      <c r="N36" s="450"/>
      <c r="O36" s="72"/>
      <c r="P36" s="66"/>
      <c r="Q36" s="140">
        <f>IF($Q$43=0,,I36)</f>
        <v>0</v>
      </c>
      <c r="R36" s="147">
        <f>IF(A36="Y", Q36*2%,)</f>
        <v>0</v>
      </c>
      <c r="S36" s="152">
        <f>Q36-R36</f>
        <v>0</v>
      </c>
      <c r="T36" s="210"/>
      <c r="U36" s="145">
        <f t="shared" ref="U36:U41" si="7">IF($U$15="BASE-UP   (B-A)", O36-K36,O36-S36)</f>
        <v>-40</v>
      </c>
      <c r="V36" s="548"/>
      <c r="W36" s="455"/>
      <c r="X36" s="114"/>
      <c r="Y36" s="114"/>
      <c r="Z36" s="114"/>
      <c r="AA36" s="114"/>
      <c r="AB36" s="114"/>
    </row>
    <row r="37" spans="1:28" s="68" customFormat="1" ht="15.75" customHeight="1" x14ac:dyDescent="0.25">
      <c r="A37" s="63" t="s">
        <v>7</v>
      </c>
      <c r="B37" s="69"/>
      <c r="C37" s="806" t="s">
        <v>259</v>
      </c>
      <c r="D37" s="807"/>
      <c r="E37" s="807"/>
      <c r="F37" s="944"/>
      <c r="G37" s="574" t="s">
        <v>31</v>
      </c>
      <c r="H37" s="82" t="s">
        <v>197</v>
      </c>
      <c r="I37" s="186">
        <v>35</v>
      </c>
      <c r="J37" s="147">
        <f>IF(A37="Y", I37*2%,0)</f>
        <v>0</v>
      </c>
      <c r="K37" s="152">
        <f>I37-J37</f>
        <v>35</v>
      </c>
      <c r="L37" s="149"/>
      <c r="M37" s="804"/>
      <c r="N37" s="1078"/>
      <c r="O37" s="72"/>
      <c r="P37" s="66"/>
      <c r="Q37" s="140">
        <f>IF($Q$43=0,,I37)</f>
        <v>0</v>
      </c>
      <c r="R37" s="147">
        <f>IF(A37="Y", Q37*2%,)</f>
        <v>0</v>
      </c>
      <c r="S37" s="152">
        <f t="shared" si="2"/>
        <v>0</v>
      </c>
      <c r="T37" s="210"/>
      <c r="U37" s="145">
        <f t="shared" si="7"/>
        <v>-35</v>
      </c>
      <c r="V37" s="548"/>
      <c r="W37" s="455"/>
      <c r="X37" s="114"/>
      <c r="Y37" s="114"/>
      <c r="Z37" s="114"/>
      <c r="AA37" s="114"/>
      <c r="AB37" s="114"/>
    </row>
    <row r="38" spans="1:28" s="68" customFormat="1" ht="15.75" customHeight="1" x14ac:dyDescent="0.25">
      <c r="A38" s="63" t="s">
        <v>7</v>
      </c>
      <c r="B38" s="83"/>
      <c r="C38" s="806" t="s">
        <v>421</v>
      </c>
      <c r="D38" s="807"/>
      <c r="E38" s="807"/>
      <c r="F38" s="944"/>
      <c r="G38" s="574" t="s">
        <v>230</v>
      </c>
      <c r="H38" s="82" t="s">
        <v>24</v>
      </c>
      <c r="I38" s="186"/>
      <c r="J38" s="147">
        <f>IF(A38="Y", I38*2%,0)</f>
        <v>0</v>
      </c>
      <c r="K38" s="152">
        <f>I38-J38</f>
        <v>0</v>
      </c>
      <c r="L38" s="149"/>
      <c r="M38" s="804"/>
      <c r="N38" s="1078"/>
      <c r="O38" s="72"/>
      <c r="P38" s="66"/>
      <c r="Q38" s="140">
        <f>IF($Q$43=0,,I38)</f>
        <v>0</v>
      </c>
      <c r="R38" s="147">
        <f>IF(A38="Y", Q38*2%,)</f>
        <v>0</v>
      </c>
      <c r="S38" s="152">
        <f t="shared" si="2"/>
        <v>0</v>
      </c>
      <c r="T38" s="210"/>
      <c r="U38" s="145">
        <f t="shared" si="7"/>
        <v>0</v>
      </c>
      <c r="V38" s="548"/>
      <c r="W38" s="455"/>
      <c r="X38" s="114"/>
      <c r="Y38" s="114"/>
      <c r="Z38" s="114"/>
      <c r="AA38" s="114"/>
      <c r="AB38" s="114"/>
    </row>
    <row r="39" spans="1:28" s="68" customFormat="1" ht="48.75" customHeight="1" x14ac:dyDescent="0.25">
      <c r="A39" s="63" t="s">
        <v>7</v>
      </c>
      <c r="B39" s="83"/>
      <c r="C39" s="804" t="s">
        <v>517</v>
      </c>
      <c r="D39" s="805"/>
      <c r="E39" s="805"/>
      <c r="F39" s="945"/>
      <c r="G39" s="574" t="s">
        <v>230</v>
      </c>
      <c r="H39" s="82" t="s">
        <v>82</v>
      </c>
      <c r="I39" s="186"/>
      <c r="J39" s="147">
        <f>IF(A39="Y", I39*2%,0)</f>
        <v>0</v>
      </c>
      <c r="K39" s="152">
        <f>I39-J39</f>
        <v>0</v>
      </c>
      <c r="L39" s="149"/>
      <c r="M39" s="804"/>
      <c r="N39" s="1078"/>
      <c r="O39" s="72"/>
      <c r="P39" s="66"/>
      <c r="Q39" s="140">
        <f>IF($Q$43=0,,I39)</f>
        <v>0</v>
      </c>
      <c r="R39" s="147">
        <f>IF(A39="Y", Q39*2%,)</f>
        <v>0</v>
      </c>
      <c r="S39" s="152">
        <f t="shared" si="2"/>
        <v>0</v>
      </c>
      <c r="T39" s="210"/>
      <c r="U39" s="145">
        <f t="shared" si="7"/>
        <v>0</v>
      </c>
      <c r="V39" s="548"/>
      <c r="W39" s="455"/>
      <c r="X39" s="114"/>
      <c r="Y39" s="114"/>
      <c r="Z39" s="114"/>
      <c r="AA39" s="114"/>
      <c r="AB39" s="114"/>
    </row>
    <row r="40" spans="1:28" s="68" customFormat="1" ht="15.75" customHeight="1" x14ac:dyDescent="0.25">
      <c r="A40" s="63" t="s">
        <v>7</v>
      </c>
      <c r="B40" s="83"/>
      <c r="C40" s="806" t="s">
        <v>225</v>
      </c>
      <c r="D40" s="807"/>
      <c r="E40" s="807"/>
      <c r="F40" s="944"/>
      <c r="G40" s="574" t="s">
        <v>31</v>
      </c>
      <c r="H40" s="82" t="s">
        <v>80</v>
      </c>
      <c r="I40" s="186"/>
      <c r="J40" s="147">
        <f>IF(A40="Y", I40*2%,0)</f>
        <v>0</v>
      </c>
      <c r="K40" s="152">
        <f>I40-J40</f>
        <v>0</v>
      </c>
      <c r="L40" s="149"/>
      <c r="M40" s="804"/>
      <c r="N40" s="1078"/>
      <c r="O40" s="72"/>
      <c r="P40" s="66"/>
      <c r="Q40" s="140">
        <f>IF($Q$43=0,,I40)</f>
        <v>0</v>
      </c>
      <c r="R40" s="147">
        <f>IF(A40="Y", Q40*2%,)</f>
        <v>0</v>
      </c>
      <c r="S40" s="152">
        <f t="shared" si="2"/>
        <v>0</v>
      </c>
      <c r="T40" s="210"/>
      <c r="U40" s="145">
        <f t="shared" si="7"/>
        <v>0</v>
      </c>
      <c r="V40" s="548"/>
      <c r="W40" s="455"/>
      <c r="X40" s="114"/>
      <c r="Y40" s="114"/>
      <c r="Z40" s="114"/>
      <c r="AA40" s="114"/>
      <c r="AB40" s="114"/>
    </row>
    <row r="41" spans="1:28" s="68" customFormat="1" ht="30" customHeight="1" x14ac:dyDescent="0.25">
      <c r="A41" s="83" t="s">
        <v>7</v>
      </c>
      <c r="B41" s="83"/>
      <c r="C41" s="804" t="s">
        <v>492</v>
      </c>
      <c r="D41" s="805"/>
      <c r="E41" s="805"/>
      <c r="F41" s="945"/>
      <c r="G41" s="574" t="s">
        <v>31</v>
      </c>
      <c r="H41" s="85" t="s">
        <v>41</v>
      </c>
      <c r="I41" s="86"/>
      <c r="J41" s="148"/>
      <c r="K41" s="154">
        <f>J42</f>
        <v>0.08</v>
      </c>
      <c r="L41" s="149"/>
      <c r="M41" s="804"/>
      <c r="N41" s="1078"/>
      <c r="O41" s="72"/>
      <c r="P41" s="66"/>
      <c r="Q41" s="93"/>
      <c r="R41" s="148"/>
      <c r="S41" s="154">
        <f>R42</f>
        <v>0</v>
      </c>
      <c r="T41" s="212"/>
      <c r="U41" s="145">
        <f t="shared" si="7"/>
        <v>-0.08</v>
      </c>
      <c r="V41" s="548"/>
      <c r="W41" s="455"/>
      <c r="X41" s="114"/>
      <c r="Y41" s="114"/>
      <c r="Z41" s="114"/>
      <c r="AA41" s="114"/>
      <c r="AB41" s="114"/>
    </row>
    <row r="42" spans="1:28" s="114" customFormat="1" ht="14.5" x14ac:dyDescent="0.25">
      <c r="A42" s="112"/>
      <c r="B42" s="112"/>
      <c r="C42" s="112"/>
      <c r="D42" s="112"/>
      <c r="E42" s="113"/>
      <c r="F42" s="113"/>
      <c r="J42" s="115">
        <f>SUM(J16:J41)</f>
        <v>0.08</v>
      </c>
      <c r="K42" s="155"/>
      <c r="O42" s="116"/>
      <c r="P42" s="117"/>
      <c r="R42" s="115">
        <f>SUM(R16:R41)</f>
        <v>0</v>
      </c>
      <c r="S42" s="155"/>
      <c r="T42" s="213"/>
      <c r="U42" s="165"/>
      <c r="V42" s="165"/>
      <c r="W42" s="118"/>
    </row>
    <row r="43" spans="1:28" s="95" customFormat="1" ht="16" thickBot="1" x14ac:dyDescent="0.3">
      <c r="A43" s="130"/>
      <c r="B43" s="130"/>
      <c r="C43" s="130"/>
      <c r="D43" s="130"/>
      <c r="E43" s="119"/>
      <c r="F43" s="131" t="s">
        <v>81</v>
      </c>
      <c r="G43" s="132"/>
      <c r="H43" s="133" t="s">
        <v>1</v>
      </c>
      <c r="I43" s="134">
        <f>SUM(I35:I42)</f>
        <v>79</v>
      </c>
      <c r="J43" s="135"/>
      <c r="K43" s="156">
        <f>SUM(K35:K42)</f>
        <v>79</v>
      </c>
      <c r="L43" s="136"/>
      <c r="M43" s="130" t="s">
        <v>1</v>
      </c>
      <c r="N43" s="130"/>
      <c r="O43" s="137">
        <f>SUM(O35:O42)</f>
        <v>0</v>
      </c>
      <c r="P43" s="136"/>
      <c r="Q43" s="188"/>
      <c r="R43" s="135"/>
      <c r="S43" s="156">
        <f>SUM(S35:S42)</f>
        <v>0</v>
      </c>
      <c r="T43" s="214"/>
      <c r="U43" s="175">
        <f>SUM(U35:U42)</f>
        <v>-79</v>
      </c>
      <c r="V43" s="530"/>
      <c r="W43" s="138"/>
    </row>
    <row r="44" spans="1:28" s="50" customFormat="1" ht="15.75" customHeight="1" thickTop="1" x14ac:dyDescent="0.25">
      <c r="A44" s="1140" t="s">
        <v>61</v>
      </c>
      <c r="B44" s="1140"/>
      <c r="C44" s="1140"/>
      <c r="D44" s="192"/>
      <c r="E44" s="121"/>
      <c r="F44" s="121"/>
      <c r="K44" s="123"/>
      <c r="L44" s="122"/>
      <c r="U44" s="124"/>
      <c r="V44" s="124"/>
      <c r="W44" s="125"/>
    </row>
    <row r="45" spans="1:28" s="127" customFormat="1" ht="18" customHeight="1" x14ac:dyDescent="0.25">
      <c r="A45" s="624">
        <v>1</v>
      </c>
      <c r="B45" s="1137"/>
      <c r="C45" s="1138"/>
      <c r="D45" s="1138"/>
      <c r="E45" s="1138"/>
      <c r="F45" s="1138"/>
      <c r="G45" s="1138"/>
      <c r="H45" s="1138"/>
      <c r="I45" s="1138"/>
      <c r="J45" s="1138"/>
      <c r="K45" s="1138"/>
      <c r="L45" s="1138"/>
      <c r="M45" s="1138"/>
      <c r="N45" s="1138"/>
      <c r="O45" s="1138"/>
      <c r="P45" s="1138"/>
      <c r="Q45" s="1138"/>
      <c r="R45" s="1138"/>
      <c r="S45" s="1138"/>
      <c r="T45" s="1138"/>
      <c r="U45" s="1138"/>
      <c r="V45" s="1138"/>
      <c r="W45" s="1139"/>
    </row>
    <row r="46" spans="1:28" s="127" customFormat="1" ht="18" customHeight="1" x14ac:dyDescent="0.25">
      <c r="A46" s="624">
        <v>2</v>
      </c>
      <c r="B46" s="1137"/>
      <c r="C46" s="1138"/>
      <c r="D46" s="1138"/>
      <c r="E46" s="1138"/>
      <c r="F46" s="1138"/>
      <c r="G46" s="1138"/>
      <c r="H46" s="1138"/>
      <c r="I46" s="1138"/>
      <c r="J46" s="1138"/>
      <c r="K46" s="1138"/>
      <c r="L46" s="1138"/>
      <c r="M46" s="1138"/>
      <c r="N46" s="1138"/>
      <c r="O46" s="1138"/>
      <c r="P46" s="1138"/>
      <c r="Q46" s="1138"/>
      <c r="R46" s="1138"/>
      <c r="S46" s="1138"/>
      <c r="T46" s="1138"/>
      <c r="U46" s="1138"/>
      <c r="V46" s="1138"/>
      <c r="W46" s="1139"/>
    </row>
    <row r="47" spans="1:28" s="127" customFormat="1" ht="18" customHeight="1" x14ac:dyDescent="0.25">
      <c r="A47" s="624">
        <v>3</v>
      </c>
      <c r="B47" s="1137"/>
      <c r="C47" s="1138"/>
      <c r="D47" s="1138"/>
      <c r="E47" s="1138"/>
      <c r="F47" s="1138"/>
      <c r="G47" s="1138"/>
      <c r="H47" s="1138"/>
      <c r="I47" s="1138"/>
      <c r="J47" s="1138"/>
      <c r="K47" s="1138"/>
      <c r="L47" s="1138"/>
      <c r="M47" s="1138"/>
      <c r="N47" s="1138"/>
      <c r="O47" s="1138"/>
      <c r="P47" s="1138"/>
      <c r="Q47" s="1138"/>
      <c r="R47" s="1138"/>
      <c r="S47" s="1138"/>
      <c r="T47" s="1138"/>
      <c r="U47" s="1138"/>
      <c r="V47" s="1138"/>
      <c r="W47" s="1139"/>
    </row>
    <row r="48" spans="1:28" s="50" customFormat="1" ht="20.25" customHeight="1" x14ac:dyDescent="0.25">
      <c r="A48" s="624">
        <v>4</v>
      </c>
      <c r="B48" s="1137"/>
      <c r="C48" s="1138"/>
      <c r="D48" s="1138"/>
      <c r="E48" s="1138"/>
      <c r="F48" s="1138"/>
      <c r="G48" s="1138"/>
      <c r="H48" s="1138"/>
      <c r="I48" s="1138"/>
      <c r="J48" s="1138"/>
      <c r="K48" s="1138"/>
      <c r="L48" s="1138"/>
      <c r="M48" s="1138"/>
      <c r="N48" s="1138"/>
      <c r="O48" s="1138"/>
      <c r="P48" s="1138"/>
      <c r="Q48" s="1138"/>
      <c r="R48" s="1138"/>
      <c r="S48" s="1138"/>
      <c r="T48" s="1138"/>
      <c r="U48" s="1138"/>
      <c r="V48" s="1138"/>
      <c r="W48" s="1139"/>
    </row>
  </sheetData>
  <sheetProtection insertRows="0"/>
  <mergeCells count="120">
    <mergeCell ref="B47:W47"/>
    <mergeCell ref="C39:F39"/>
    <mergeCell ref="M39:N39"/>
    <mergeCell ref="C40:F40"/>
    <mergeCell ref="M40:N40"/>
    <mergeCell ref="C41:F41"/>
    <mergeCell ref="M41:N41"/>
    <mergeCell ref="C36:F36"/>
    <mergeCell ref="A44:C44"/>
    <mergeCell ref="B46:W46"/>
    <mergeCell ref="B45:W45"/>
    <mergeCell ref="C37:F37"/>
    <mergeCell ref="M37:N37"/>
    <mergeCell ref="C38:F38"/>
    <mergeCell ref="M38:N38"/>
    <mergeCell ref="C34:F34"/>
    <mergeCell ref="M34:N34"/>
    <mergeCell ref="C35:F35"/>
    <mergeCell ref="M35:N35"/>
    <mergeCell ref="C31:F31"/>
    <mergeCell ref="M31:N31"/>
    <mergeCell ref="M29:N29"/>
    <mergeCell ref="C30:F30"/>
    <mergeCell ref="M30:N30"/>
    <mergeCell ref="C32:E32"/>
    <mergeCell ref="F32:F33"/>
    <mergeCell ref="M32:N32"/>
    <mergeCell ref="C33:E33"/>
    <mergeCell ref="M33:N33"/>
    <mergeCell ref="C24:F24"/>
    <mergeCell ref="M24:N24"/>
    <mergeCell ref="C25:D25"/>
    <mergeCell ref="E25:F29"/>
    <mergeCell ref="M25:N25"/>
    <mergeCell ref="C26:D26"/>
    <mergeCell ref="M26:N26"/>
    <mergeCell ref="C27:D27"/>
    <mergeCell ref="M27:N27"/>
    <mergeCell ref="C29:D29"/>
    <mergeCell ref="C28:D28"/>
    <mergeCell ref="M28:N28"/>
    <mergeCell ref="C21:F21"/>
    <mergeCell ref="M21:N21"/>
    <mergeCell ref="C22:F22"/>
    <mergeCell ref="M22:N22"/>
    <mergeCell ref="C23:F23"/>
    <mergeCell ref="M23:N23"/>
    <mergeCell ref="C16:F16"/>
    <mergeCell ref="M16:N16"/>
    <mergeCell ref="C17:F17"/>
    <mergeCell ref="M17:N17"/>
    <mergeCell ref="B18:B20"/>
    <mergeCell ref="C18:F18"/>
    <mergeCell ref="M18:N18"/>
    <mergeCell ref="C19:F19"/>
    <mergeCell ref="M19:N19"/>
    <mergeCell ref="C20:F20"/>
    <mergeCell ref="C14:F15"/>
    <mergeCell ref="I14:I15"/>
    <mergeCell ref="J14:J15"/>
    <mergeCell ref="M14:N14"/>
    <mergeCell ref="M20:N20"/>
    <mergeCell ref="R14:R15"/>
    <mergeCell ref="M15:N15"/>
    <mergeCell ref="A11:C11"/>
    <mergeCell ref="D11:E11"/>
    <mergeCell ref="F11:G11"/>
    <mergeCell ref="I11:L11"/>
    <mergeCell ref="Q11:W11"/>
    <mergeCell ref="I13:K13"/>
    <mergeCell ref="M13:O13"/>
    <mergeCell ref="Q13:S13"/>
    <mergeCell ref="V14:V15"/>
    <mergeCell ref="W14:W15"/>
    <mergeCell ref="M11:N11"/>
    <mergeCell ref="D10:E10"/>
    <mergeCell ref="F10:G10"/>
    <mergeCell ref="I10:L10"/>
    <mergeCell ref="M10:N10"/>
    <mergeCell ref="Q10:W10"/>
    <mergeCell ref="Q8:W9"/>
    <mergeCell ref="A9:C9"/>
    <mergeCell ref="D9:E9"/>
    <mergeCell ref="F9:G9"/>
    <mergeCell ref="I9:L9"/>
    <mergeCell ref="M9:N9"/>
    <mergeCell ref="A1:K1"/>
    <mergeCell ref="Q3:W3"/>
    <mergeCell ref="A4:C4"/>
    <mergeCell ref="D4:E4"/>
    <mergeCell ref="F4:G4"/>
    <mergeCell ref="I4:L4"/>
    <mergeCell ref="M4:N4"/>
    <mergeCell ref="Q4:W4"/>
    <mergeCell ref="L1:U1"/>
    <mergeCell ref="M3:N3"/>
    <mergeCell ref="B48:W48"/>
    <mergeCell ref="A6:C6"/>
    <mergeCell ref="D6:E6"/>
    <mergeCell ref="F6:G6"/>
    <mergeCell ref="I6:L6"/>
    <mergeCell ref="M6:N6"/>
    <mergeCell ref="Q6:W6"/>
    <mergeCell ref="A5:C5"/>
    <mergeCell ref="D5:E5"/>
    <mergeCell ref="F5:G5"/>
    <mergeCell ref="I5:L5"/>
    <mergeCell ref="M5:N5"/>
    <mergeCell ref="Q5:W5"/>
    <mergeCell ref="D7:E7"/>
    <mergeCell ref="F7:G7"/>
    <mergeCell ref="I7:L7"/>
    <mergeCell ref="Q7:W7"/>
    <mergeCell ref="A8:C8"/>
    <mergeCell ref="D8:E8"/>
    <mergeCell ref="F8:G8"/>
    <mergeCell ref="I8:L8"/>
    <mergeCell ref="M8:N8"/>
    <mergeCell ref="A7:C7"/>
    <mergeCell ref="A10:C10"/>
  </mergeCells>
  <conditionalFormatting sqref="E25">
    <cfRule type="cellIs" dxfId="51" priority="1" operator="notEqual">
      <formula>"GC 76000 PA ($" &amp;O11 &amp;" for every 10) breakdown per local board of supervisor resolution (BOS)."</formula>
    </cfRule>
  </conditionalFormatting>
  <conditionalFormatting sqref="I16:I20">
    <cfRule type="cellIs" dxfId="50" priority="13" stopIfTrue="1" operator="equal">
      <formula>0</formula>
    </cfRule>
  </conditionalFormatting>
  <conditionalFormatting sqref="I18:K30 J31:K31 I32:K35 J36:K41">
    <cfRule type="cellIs" dxfId="49" priority="10" operator="equal">
      <formula>0</formula>
    </cfRule>
  </conditionalFormatting>
  <conditionalFormatting sqref="M16:O41">
    <cfRule type="expression" dxfId="48" priority="11">
      <formula>MOD(ROW(),2)=0</formula>
    </cfRule>
  </conditionalFormatting>
  <conditionalFormatting sqref="Q16:S41">
    <cfRule type="cellIs" dxfId="47" priority="15" stopIfTrue="1" operator="equal">
      <formula>0</formula>
    </cfRule>
  </conditionalFormatting>
  <conditionalFormatting sqref="U12:V13 U44:V44 U49:V65532">
    <cfRule type="cellIs" dxfId="46" priority="14" stopIfTrue="1" operator="notEqual">
      <formula>0</formula>
    </cfRule>
  </conditionalFormatting>
  <conditionalFormatting sqref="V18:V41">
    <cfRule type="cellIs" dxfId="45" priority="2" operator="greaterThan">
      <formula>0</formula>
    </cfRule>
  </conditionalFormatting>
  <dataValidations count="3">
    <dataValidation type="list" allowBlank="1" showInputMessage="1" showErrorMessage="1" sqref="U15" xr:uid="{00000000-0002-0000-2300-000000000000}">
      <formula1>Distribution_Method</formula1>
    </dataValidation>
    <dataValidation type="list" allowBlank="1" showInputMessage="1" showErrorMessage="1" sqref="D8:E8" xr:uid="{00000000-0002-0000-2300-000001000000}">
      <formula1>Yes_No_NA_City</formula1>
    </dataValidation>
    <dataValidation type="list" allowBlank="1" showInputMessage="1" showErrorMessage="1" sqref="D9:E9" xr:uid="{00000000-0002-0000-2300-000002000000}">
      <formula1>Yes_No_NA</formula1>
    </dataValidation>
  </dataValidations>
  <printOptions horizontalCentered="1"/>
  <pageMargins left="0.25" right="0.25" top="0.75" bottom="0.5" header="0.25" footer="0.25"/>
  <pageSetup scale="66" orientation="landscape" r:id="rId1"/>
  <headerFooter alignWithMargins="0">
    <oddHeader>&amp;CSUPERIOR OF COURT OF _________ COUNTY
Revenue Calculation and Distribution Worksheet</oddHeader>
    <oddFooter>&amp;L&amp;F&amp;R&amp;P of &amp;N</oddFooter>
  </headerFooter>
  <ignoredErrors>
    <ignoredError sqref="I18:I20" unlockedFormula="1"/>
    <ignoredError sqref="J31 K35 Q31 S35 U35"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80225" r:id="rId4" name="Button 1">
              <controlPr defaultSize="0" print="0" autoFill="0" autoPict="0" macro="mcr_GoToSummary">
                <anchor moveWithCells="1">
                  <from>
                    <xdr:col>0</xdr:col>
                    <xdr:colOff>88900</xdr:colOff>
                    <xdr:row>0</xdr:row>
                    <xdr:rowOff>0</xdr:rowOff>
                  </from>
                  <to>
                    <xdr:col>2</xdr:col>
                    <xdr:colOff>1028700</xdr:colOff>
                    <xdr:row>1</xdr:row>
                    <xdr:rowOff>31750</xdr:rowOff>
                  </to>
                </anchor>
              </controlPr>
            </control>
          </mc:Choice>
        </mc:AlternateContent>
        <mc:AlternateContent xmlns:mc="http://schemas.openxmlformats.org/markup-compatibility/2006">
          <mc:Choice Requires="x14">
            <control shapeId="180226" r:id="rId5" name="Button 2">
              <controlPr defaultSize="0" print="0" autoFill="0" autoPict="0" macro="[0]!mcrDisableTwoPercentUnprotect">
                <anchor moveWithCells="1">
                  <from>
                    <xdr:col>0</xdr:col>
                    <xdr:colOff>12700</xdr:colOff>
                    <xdr:row>13</xdr:row>
                    <xdr:rowOff>527050</xdr:rowOff>
                  </from>
                  <to>
                    <xdr:col>0</xdr:col>
                    <xdr:colOff>279400</xdr:colOff>
                    <xdr:row>14</xdr:row>
                    <xdr:rowOff>222250</xdr:rowOff>
                  </to>
                </anchor>
              </controlPr>
            </control>
          </mc:Choice>
        </mc:AlternateContent>
        <mc:AlternateContent xmlns:mc="http://schemas.openxmlformats.org/markup-compatibility/2006">
          <mc:Choice Requires="x14">
            <control shapeId="180227" r:id="rId6" name="Button 3">
              <controlPr defaultSize="0" print="0" autoFill="0" autoPict="0" macro="[0]!mcrEnableTwoPercentUnprotect">
                <anchor moveWithCells="1">
                  <from>
                    <xdr:col>0</xdr:col>
                    <xdr:colOff>0</xdr:colOff>
                    <xdr:row>13</xdr:row>
                    <xdr:rowOff>222250</xdr:rowOff>
                  </from>
                  <to>
                    <xdr:col>0</xdr:col>
                    <xdr:colOff>266700</xdr:colOff>
                    <xdr:row>13</xdr:row>
                    <xdr:rowOff>552450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1"/>
  <sheetViews>
    <sheetView zoomScaleNormal="100" zoomScaleSheetLayoutView="90" workbookViewId="0">
      <selection activeCell="V27" sqref="V27"/>
    </sheetView>
  </sheetViews>
  <sheetFormatPr defaultColWidth="9.1796875" defaultRowHeight="14.5" x14ac:dyDescent="0.25"/>
  <cols>
    <col min="1" max="1" width="31.81640625" style="600" customWidth="1"/>
    <col min="2" max="16384" width="9.1796875" style="600"/>
  </cols>
  <sheetData>
    <row r="1" spans="1:17" s="599" customFormat="1" ht="73" x14ac:dyDescent="0.25">
      <c r="A1" s="780" t="s">
        <v>521</v>
      </c>
      <c r="B1" s="780"/>
      <c r="C1" s="780"/>
      <c r="D1" s="780"/>
      <c r="E1" s="780"/>
      <c r="F1" s="780"/>
      <c r="G1" s="780"/>
      <c r="H1" s="780"/>
      <c r="I1" s="780"/>
      <c r="J1" s="780"/>
      <c r="K1" s="780"/>
      <c r="L1" s="780"/>
      <c r="M1" s="780"/>
      <c r="N1" s="780"/>
      <c r="O1" s="780"/>
      <c r="P1" s="780"/>
      <c r="Q1" s="780"/>
    </row>
    <row r="2" spans="1:17" s="599" customFormat="1" ht="94.5" customHeight="1" x14ac:dyDescent="0.25">
      <c r="A2" s="781" t="s">
        <v>543</v>
      </c>
      <c r="B2" s="781"/>
      <c r="C2" s="781"/>
      <c r="D2" s="781"/>
      <c r="E2" s="781"/>
      <c r="F2" s="781"/>
      <c r="G2" s="781"/>
      <c r="H2" s="781"/>
      <c r="I2" s="781"/>
      <c r="J2" s="781"/>
      <c r="K2" s="781"/>
      <c r="L2" s="781"/>
      <c r="M2" s="781"/>
      <c r="N2" s="781"/>
      <c r="O2" s="781"/>
      <c r="P2" s="781"/>
      <c r="Q2" s="781"/>
    </row>
    <row r="3" spans="1:17" s="616" customFormat="1" ht="78.75" customHeight="1" x14ac:dyDescent="0.25">
      <c r="A3" s="782" t="s">
        <v>557</v>
      </c>
      <c r="B3" s="783"/>
      <c r="C3" s="783"/>
      <c r="D3" s="783"/>
      <c r="E3" s="783"/>
      <c r="F3" s="783"/>
      <c r="G3" s="783"/>
      <c r="H3" s="783"/>
      <c r="I3" s="783"/>
      <c r="J3" s="783"/>
      <c r="K3" s="783"/>
      <c r="L3" s="783"/>
      <c r="M3" s="783"/>
      <c r="N3" s="783"/>
      <c r="O3" s="783"/>
      <c r="P3" s="783"/>
      <c r="Q3" s="783"/>
    </row>
    <row r="4" spans="1:17" ht="31.5" customHeight="1" x14ac:dyDescent="0.25">
      <c r="A4" s="601"/>
      <c r="B4" s="601"/>
      <c r="C4" s="601"/>
      <c r="D4" s="601"/>
      <c r="E4" s="601"/>
      <c r="F4" s="601"/>
      <c r="G4" s="601"/>
      <c r="H4" s="601"/>
      <c r="I4" s="601"/>
      <c r="J4" s="601"/>
      <c r="K4" s="601"/>
      <c r="L4" s="601"/>
      <c r="M4" s="601"/>
      <c r="N4" s="601"/>
      <c r="O4" s="601"/>
      <c r="P4" s="601"/>
      <c r="Q4" s="601"/>
    </row>
    <row r="5" spans="1:17" s="599" customFormat="1" ht="183" customHeight="1" x14ac:dyDescent="0.25">
      <c r="A5" s="784" t="s">
        <v>545</v>
      </c>
      <c r="B5" s="784"/>
      <c r="C5" s="784"/>
      <c r="D5" s="784"/>
      <c r="E5" s="784"/>
      <c r="F5" s="784"/>
      <c r="G5" s="784"/>
      <c r="H5" s="784"/>
      <c r="I5" s="784"/>
      <c r="J5" s="784"/>
      <c r="K5" s="784"/>
      <c r="L5" s="784"/>
      <c r="M5" s="784"/>
      <c r="N5" s="784"/>
      <c r="O5" s="784"/>
      <c r="P5" s="784"/>
      <c r="Q5" s="784"/>
    </row>
    <row r="6" spans="1:17" x14ac:dyDescent="0.25">
      <c r="A6" s="601"/>
      <c r="B6" s="601"/>
      <c r="C6" s="601"/>
      <c r="D6" s="601"/>
      <c r="E6" s="601"/>
      <c r="F6" s="601"/>
      <c r="G6" s="601"/>
      <c r="H6" s="601"/>
      <c r="I6" s="601"/>
      <c r="J6" s="601"/>
      <c r="K6" s="601"/>
      <c r="L6" s="601"/>
      <c r="M6" s="601"/>
      <c r="N6" s="601"/>
      <c r="O6" s="601"/>
      <c r="P6" s="601"/>
      <c r="Q6" s="601"/>
    </row>
    <row r="7" spans="1:17" x14ac:dyDescent="0.25">
      <c r="A7" s="601"/>
      <c r="B7" s="601"/>
      <c r="C7" s="601"/>
      <c r="D7" s="601"/>
      <c r="E7" s="601"/>
      <c r="F7" s="601"/>
      <c r="G7" s="601"/>
      <c r="H7" s="601"/>
      <c r="I7" s="601"/>
      <c r="J7" s="601"/>
      <c r="K7" s="601"/>
      <c r="L7" s="601"/>
      <c r="M7" s="601"/>
      <c r="N7" s="601"/>
      <c r="O7" s="601"/>
      <c r="P7" s="601"/>
      <c r="Q7" s="601"/>
    </row>
    <row r="8" spans="1:17" ht="36" customHeight="1" x14ac:dyDescent="0.25">
      <c r="A8" s="785" t="s">
        <v>544</v>
      </c>
      <c r="B8" s="785"/>
      <c r="C8" s="785"/>
      <c r="D8" s="785"/>
      <c r="E8" s="785"/>
      <c r="F8" s="785"/>
      <c r="G8" s="785"/>
      <c r="H8" s="785"/>
      <c r="I8" s="785"/>
      <c r="J8" s="785"/>
      <c r="K8" s="785"/>
      <c r="L8" s="785"/>
      <c r="M8" s="785"/>
      <c r="N8" s="785"/>
      <c r="O8" s="785"/>
      <c r="P8" s="785"/>
      <c r="Q8" s="785"/>
    </row>
    <row r="9" spans="1:17" x14ac:dyDescent="0.25">
      <c r="A9" s="601"/>
      <c r="B9" s="601"/>
      <c r="C9" s="601"/>
      <c r="D9" s="601"/>
      <c r="E9" s="601"/>
      <c r="F9" s="601"/>
      <c r="G9" s="601"/>
      <c r="H9" s="601"/>
      <c r="I9" s="601"/>
      <c r="J9" s="601"/>
      <c r="K9" s="601"/>
      <c r="L9" s="601"/>
      <c r="M9" s="601"/>
      <c r="N9" s="601"/>
      <c r="O9" s="601"/>
      <c r="P9" s="601"/>
      <c r="Q9" s="601"/>
    </row>
    <row r="10" spans="1:17" x14ac:dyDescent="0.25">
      <c r="A10" s="601"/>
      <c r="B10" s="601"/>
      <c r="C10" s="601"/>
      <c r="D10" s="601"/>
      <c r="E10" s="601"/>
      <c r="F10" s="601"/>
      <c r="G10" s="601"/>
      <c r="H10" s="601"/>
      <c r="I10" s="601"/>
      <c r="J10" s="601"/>
      <c r="K10" s="601"/>
      <c r="L10" s="601"/>
      <c r="M10" s="601"/>
      <c r="N10" s="601"/>
      <c r="O10" s="601"/>
      <c r="P10" s="601"/>
      <c r="Q10" s="601"/>
    </row>
    <row r="11" spans="1:17" x14ac:dyDescent="0.25">
      <c r="A11" s="601"/>
      <c r="B11" s="601"/>
      <c r="C11" s="601"/>
      <c r="D11" s="601"/>
      <c r="E11" s="601"/>
      <c r="F11" s="601"/>
      <c r="G11" s="601"/>
      <c r="H11" s="601"/>
      <c r="I11" s="601"/>
      <c r="J11" s="617"/>
      <c r="K11" s="601"/>
      <c r="L11" s="601"/>
      <c r="M11" s="601"/>
      <c r="N11" s="601"/>
      <c r="O11" s="601"/>
      <c r="P11" s="601"/>
      <c r="Q11" s="601"/>
    </row>
  </sheetData>
  <mergeCells count="5">
    <mergeCell ref="A1:Q1"/>
    <mergeCell ref="A2:Q2"/>
    <mergeCell ref="A3:Q3"/>
    <mergeCell ref="A5:Q5"/>
    <mergeCell ref="A8:Q8"/>
  </mergeCells>
  <pageMargins left="0.7" right="0.7" top="0.75" bottom="0.75" header="0.3" footer="0.3"/>
  <pageSetup scale="51" orientation="portrait"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42">
    <tabColor theme="6"/>
    <pageSetUpPr fitToPage="1"/>
  </sheetPr>
  <dimension ref="A1:AB32"/>
  <sheetViews>
    <sheetView zoomScale="80" zoomScaleNormal="80" workbookViewId="0">
      <pane ySplit="1" topLeftCell="A2" activePane="bottomLeft" state="frozen"/>
      <selection pane="bottomLeft" sqref="A1:K1"/>
    </sheetView>
  </sheetViews>
  <sheetFormatPr defaultColWidth="9.1796875" defaultRowHeight="18.5" x14ac:dyDescent="0.25"/>
  <cols>
    <col min="1" max="1" width="4.26953125" style="439" customWidth="1"/>
    <col min="2" max="2" width="4.7265625" style="439" customWidth="1"/>
    <col min="3" max="3" width="12.81640625" style="439" customWidth="1"/>
    <col min="4" max="4" width="12" style="439" customWidth="1"/>
    <col min="5" max="5" width="10" style="440" customWidth="1"/>
    <col min="6" max="6" width="16" style="432" customWidth="1"/>
    <col min="7" max="7" width="11.7265625" style="370" customWidth="1"/>
    <col min="8" max="8" width="29.453125" style="370" hidden="1" customWidth="1"/>
    <col min="9" max="9" width="8.1796875" style="370" customWidth="1"/>
    <col min="10" max="10" width="6" style="370" customWidth="1"/>
    <col min="11" max="11" width="11.54296875" style="441" customWidth="1"/>
    <col min="12" max="12" width="1.7265625" style="442" customWidth="1"/>
    <col min="13" max="13" width="15.26953125" style="370" customWidth="1"/>
    <col min="14" max="14" width="1.54296875" style="370" customWidth="1"/>
    <col min="15" max="15" width="11" style="370" customWidth="1"/>
    <col min="16" max="16" width="1.81640625" style="442" customWidth="1"/>
    <col min="17" max="17" width="9" style="442" hidden="1" customWidth="1"/>
    <col min="18" max="18" width="5.7265625" style="442" hidden="1" customWidth="1"/>
    <col min="19" max="19" width="10.7265625" style="442" hidden="1" customWidth="1"/>
    <col min="20" max="20" width="1.81640625" style="310" customWidth="1"/>
    <col min="21" max="21" width="12.453125" style="443" customWidth="1"/>
    <col min="22" max="22" width="5.453125" style="443" customWidth="1"/>
    <col min="23" max="23" width="18.7265625" style="444" customWidth="1"/>
    <col min="24" max="24" width="2.1796875" style="310" customWidth="1"/>
    <col min="25" max="25" width="11.453125" style="310" customWidth="1"/>
    <col min="26" max="26" width="11.1796875" style="310" customWidth="1"/>
    <col min="27" max="28" width="9.1796875" style="310"/>
    <col min="29" max="16384" width="9.1796875" style="370"/>
  </cols>
  <sheetData>
    <row r="1" spans="1:28" ht="20.25" customHeight="1" thickBot="1" x14ac:dyDescent="0.3">
      <c r="A1" s="1337" t="s">
        <v>107</v>
      </c>
      <c r="B1" s="1338"/>
      <c r="C1" s="1338"/>
      <c r="D1" s="1338"/>
      <c r="E1" s="1338"/>
      <c r="F1" s="1338"/>
      <c r="G1" s="1338"/>
      <c r="H1" s="1338"/>
      <c r="I1" s="1338"/>
      <c r="J1" s="1338"/>
      <c r="K1" s="1338"/>
      <c r="L1" s="1342"/>
      <c r="M1" s="1342"/>
      <c r="N1" s="1342"/>
      <c r="O1" s="1342"/>
      <c r="P1" s="1342"/>
      <c r="Q1" s="1342"/>
      <c r="R1" s="1342"/>
      <c r="S1" s="1342"/>
      <c r="T1" s="1342"/>
      <c r="U1" s="1342"/>
      <c r="V1" s="595" t="s">
        <v>486</v>
      </c>
      <c r="W1" s="612" t="str">
        <f>'Cover Page'!A3</f>
        <v>January 2014</v>
      </c>
    </row>
    <row r="2" spans="1:28" s="310" customFormat="1" ht="6" customHeight="1" thickBot="1" x14ac:dyDescent="0.3">
      <c r="A2" s="311"/>
      <c r="B2" s="311"/>
      <c r="C2" s="311"/>
      <c r="D2" s="311"/>
      <c r="E2" s="311"/>
      <c r="F2" s="311"/>
      <c r="G2" s="311"/>
      <c r="H2" s="311"/>
      <c r="I2" s="311"/>
      <c r="J2" s="312"/>
      <c r="K2" s="312"/>
      <c r="L2" s="312"/>
      <c r="M2" s="312"/>
      <c r="N2" s="312"/>
      <c r="O2" s="313"/>
      <c r="P2" s="313"/>
      <c r="Q2" s="313"/>
      <c r="R2" s="313"/>
      <c r="S2" s="313"/>
      <c r="T2" s="313"/>
      <c r="U2" s="313"/>
      <c r="V2" s="313"/>
      <c r="W2" s="313"/>
    </row>
    <row r="3" spans="1:28" s="310" customFormat="1" ht="19.5" thickTop="1" thickBot="1" x14ac:dyDescent="0.3">
      <c r="A3" s="1339" t="s">
        <v>234</v>
      </c>
      <c r="B3" s="1340"/>
      <c r="C3" s="1340"/>
      <c r="D3" s="1340"/>
      <c r="E3" s="1340"/>
      <c r="F3" s="1340"/>
      <c r="G3" s="1340"/>
      <c r="H3" s="1340"/>
      <c r="I3" s="1340"/>
      <c r="J3" s="1340"/>
      <c r="K3" s="1340"/>
      <c r="L3" s="1340"/>
      <c r="M3" s="1340"/>
      <c r="N3" s="1340"/>
      <c r="O3" s="1341"/>
      <c r="P3" s="314"/>
      <c r="Q3" s="1343" t="s">
        <v>261</v>
      </c>
      <c r="R3" s="1344"/>
      <c r="S3" s="1344"/>
      <c r="T3" s="1344"/>
      <c r="U3" s="1344"/>
      <c r="V3" s="1344"/>
      <c r="W3" s="1345"/>
      <c r="Y3" s="315" t="s">
        <v>250</v>
      </c>
      <c r="Z3" s="316"/>
    </row>
    <row r="4" spans="1:28" s="320" customFormat="1" ht="15.5" x14ac:dyDescent="0.25">
      <c r="A4" s="1346" t="s">
        <v>231</v>
      </c>
      <c r="B4" s="1347"/>
      <c r="C4" s="1347"/>
      <c r="D4" s="1348">
        <f>L1</f>
        <v>0</v>
      </c>
      <c r="E4" s="1349"/>
      <c r="F4" s="1332" t="s">
        <v>28</v>
      </c>
      <c r="G4" s="1333"/>
      <c r="H4" s="317"/>
      <c r="I4" s="1334"/>
      <c r="J4" s="1334"/>
      <c r="K4" s="1334"/>
      <c r="L4" s="1335"/>
      <c r="M4" s="1350" t="s">
        <v>257</v>
      </c>
      <c r="N4" s="1350"/>
      <c r="O4" s="318" t="s">
        <v>342</v>
      </c>
      <c r="P4" s="319"/>
      <c r="Q4" s="1351" t="s">
        <v>236</v>
      </c>
      <c r="R4" s="1352"/>
      <c r="S4" s="1352"/>
      <c r="T4" s="1352"/>
      <c r="U4" s="1352"/>
      <c r="V4" s="1352"/>
      <c r="W4" s="1353"/>
      <c r="Y4" s="321" t="s">
        <v>308</v>
      </c>
      <c r="Z4" s="322" t="s">
        <v>309</v>
      </c>
      <c r="AA4" s="322" t="s">
        <v>310</v>
      </c>
    </row>
    <row r="5" spans="1:28" s="320" customFormat="1" ht="15.5" x14ac:dyDescent="0.25">
      <c r="A5" s="1328" t="s">
        <v>4</v>
      </c>
      <c r="B5" s="1329"/>
      <c r="C5" s="1329"/>
      <c r="D5" s="1330"/>
      <c r="E5" s="1331"/>
      <c r="F5" s="1308" t="s">
        <v>244</v>
      </c>
      <c r="G5" s="1309"/>
      <c r="H5" s="323"/>
      <c r="I5" s="1310"/>
      <c r="J5" s="1310"/>
      <c r="K5" s="1310"/>
      <c r="L5" s="1311"/>
      <c r="M5" s="1293" t="s">
        <v>22</v>
      </c>
      <c r="N5" s="1293"/>
      <c r="O5" s="324" t="s">
        <v>342</v>
      </c>
      <c r="P5" s="319"/>
      <c r="Q5" s="1322" t="s">
        <v>343</v>
      </c>
      <c r="R5" s="1323"/>
      <c r="S5" s="1323"/>
      <c r="T5" s="1323"/>
      <c r="U5" s="1323"/>
      <c r="V5" s="1323"/>
      <c r="W5" s="1324"/>
      <c r="Y5" s="325" t="s">
        <v>31</v>
      </c>
      <c r="Z5" s="326">
        <f>SUMIF($G$16:$G$21,"STATE",$K$16:$K$21)</f>
        <v>18.399999999999999</v>
      </c>
      <c r="AA5" s="326">
        <f>SUMIF($G$16:$G$21,"STATE",$S$16:$S$21)</f>
        <v>0</v>
      </c>
    </row>
    <row r="6" spans="1:28" s="320" customFormat="1" ht="16" thickBot="1" x14ac:dyDescent="0.3">
      <c r="A6" s="1328" t="s">
        <v>12</v>
      </c>
      <c r="B6" s="1329"/>
      <c r="C6" s="1329"/>
      <c r="D6" s="1330"/>
      <c r="E6" s="1331"/>
      <c r="F6" s="1308" t="s">
        <v>20</v>
      </c>
      <c r="G6" s="1309"/>
      <c r="H6" s="323"/>
      <c r="I6" s="1310" t="s">
        <v>317</v>
      </c>
      <c r="J6" s="1310"/>
      <c r="K6" s="1310"/>
      <c r="L6" s="1311"/>
      <c r="M6" s="1285" t="s">
        <v>233</v>
      </c>
      <c r="N6" s="1285"/>
      <c r="O6" s="327"/>
      <c r="P6" s="319"/>
      <c r="Q6" s="1325"/>
      <c r="R6" s="1326"/>
      <c r="S6" s="1326"/>
      <c r="T6" s="1326"/>
      <c r="U6" s="1326"/>
      <c r="V6" s="1326"/>
      <c r="W6" s="1327"/>
      <c r="Y6" s="325" t="s">
        <v>32</v>
      </c>
      <c r="Z6" s="326">
        <f>SUMIF($G$16:$G$21,"COUNTY",$K$16:$K$21)</f>
        <v>6.6000000000000005</v>
      </c>
      <c r="AA6" s="326">
        <f>SUMIF($G$16:$G$21,"COUNTY",$S$16:$S$21)</f>
        <v>0</v>
      </c>
    </row>
    <row r="7" spans="1:28" s="320" customFormat="1" ht="16.5" customHeight="1" thickBot="1" x14ac:dyDescent="0.3">
      <c r="A7" s="1328" t="s">
        <v>5</v>
      </c>
      <c r="B7" s="1329"/>
      <c r="C7" s="1329"/>
      <c r="D7" s="1336"/>
      <c r="E7" s="1331"/>
      <c r="F7" s="1304" t="s">
        <v>21</v>
      </c>
      <c r="G7" s="1305"/>
      <c r="H7" s="328"/>
      <c r="I7" s="1306" t="s">
        <v>344</v>
      </c>
      <c r="J7" s="1306"/>
      <c r="K7" s="1306"/>
      <c r="L7" s="1307"/>
      <c r="M7" s="329"/>
      <c r="N7" s="330"/>
      <c r="O7" s="331"/>
      <c r="P7" s="319"/>
      <c r="Q7" s="1294" t="s">
        <v>345</v>
      </c>
      <c r="R7" s="1295"/>
      <c r="S7" s="1295"/>
      <c r="T7" s="1295"/>
      <c r="U7" s="1295"/>
      <c r="V7" s="1295"/>
      <c r="W7" s="1296"/>
      <c r="Y7" s="325" t="s">
        <v>52</v>
      </c>
      <c r="Z7" s="326">
        <f>SUMIF($G$16:$G$21,"CITY",$K$16:$K$21)</f>
        <v>0</v>
      </c>
      <c r="AA7" s="326">
        <f>SUMIF($G$16:$G$21,"CITY",$S$16:$S$21)</f>
        <v>0</v>
      </c>
    </row>
    <row r="8" spans="1:28" s="320" customFormat="1" ht="15.75" customHeight="1" x14ac:dyDescent="0.25">
      <c r="A8" s="1320" t="s">
        <v>444</v>
      </c>
      <c r="B8" s="1321"/>
      <c r="C8" s="1321"/>
      <c r="D8" s="1163" t="s">
        <v>436</v>
      </c>
      <c r="E8" s="1184"/>
      <c r="F8" s="1332" t="s">
        <v>253</v>
      </c>
      <c r="G8" s="1333"/>
      <c r="H8" s="317"/>
      <c r="I8" s="1334"/>
      <c r="J8" s="1334"/>
      <c r="K8" s="1334"/>
      <c r="L8" s="1335"/>
      <c r="M8" s="1292" t="s">
        <v>257</v>
      </c>
      <c r="N8" s="1292"/>
      <c r="O8" s="332" t="s">
        <v>342</v>
      </c>
      <c r="P8" s="333"/>
      <c r="Q8" s="1297"/>
      <c r="R8" s="1298"/>
      <c r="S8" s="1298"/>
      <c r="T8" s="1298"/>
      <c r="U8" s="1298"/>
      <c r="V8" s="1298"/>
      <c r="W8" s="1299"/>
      <c r="Y8" s="325" t="s">
        <v>230</v>
      </c>
      <c r="Z8" s="326">
        <f>SUMIF($G$16:$G$21,"COURT",$K$16:$K$21)</f>
        <v>0</v>
      </c>
      <c r="AA8" s="326">
        <f>SUMIF($G$16:$G$21,"COURT",$S$16:$S$21)</f>
        <v>0</v>
      </c>
    </row>
    <row r="9" spans="1:28" s="320" customFormat="1" ht="18" customHeight="1" x14ac:dyDescent="0.25">
      <c r="A9" s="1314" t="s">
        <v>85</v>
      </c>
      <c r="B9" s="1315"/>
      <c r="C9" s="1315"/>
      <c r="D9" s="1312" t="str">
        <f>IF(D8="Yes", "No", "Yes")</f>
        <v>No</v>
      </c>
      <c r="E9" s="1313"/>
      <c r="F9" s="1308" t="s">
        <v>244</v>
      </c>
      <c r="G9" s="1309"/>
      <c r="H9" s="323"/>
      <c r="I9" s="1310"/>
      <c r="J9" s="1310"/>
      <c r="K9" s="1310"/>
      <c r="L9" s="1311"/>
      <c r="M9" s="1293" t="s">
        <v>22</v>
      </c>
      <c r="N9" s="1293"/>
      <c r="O9" s="324" t="s">
        <v>342</v>
      </c>
      <c r="P9" s="333"/>
      <c r="Q9" s="1286" t="s">
        <v>431</v>
      </c>
      <c r="R9" s="1287"/>
      <c r="S9" s="1287"/>
      <c r="T9" s="1287"/>
      <c r="U9" s="1287"/>
      <c r="V9" s="1287"/>
      <c r="W9" s="1288"/>
      <c r="Y9" s="84" t="s">
        <v>446</v>
      </c>
      <c r="Z9" s="161">
        <f>SUMIF($G$16:$G$21,"CNTY or CTY",$K$16:$K$21)</f>
        <v>0</v>
      </c>
      <c r="AA9" s="161">
        <f>SUMIF($G$16:$G$21,"CNTY or CTY",$S$16:$S$21)</f>
        <v>0</v>
      </c>
    </row>
    <row r="10" spans="1:28" s="320" customFormat="1" ht="16.5" customHeight="1" thickBot="1" x14ac:dyDescent="0.3">
      <c r="A10" s="1316" t="s">
        <v>346</v>
      </c>
      <c r="B10" s="1317"/>
      <c r="C10" s="1317"/>
      <c r="D10" s="1318">
        <v>1</v>
      </c>
      <c r="E10" s="1319"/>
      <c r="F10" s="1308" t="s">
        <v>20</v>
      </c>
      <c r="G10" s="1309"/>
      <c r="H10" s="323"/>
      <c r="I10" s="1310"/>
      <c r="J10" s="1310"/>
      <c r="K10" s="1310"/>
      <c r="L10" s="1311"/>
      <c r="M10" s="1285" t="s">
        <v>233</v>
      </c>
      <c r="N10" s="1285"/>
      <c r="O10" s="327"/>
      <c r="P10" s="334"/>
      <c r="Q10" s="1289"/>
      <c r="R10" s="1290"/>
      <c r="S10" s="1290"/>
      <c r="T10" s="1290"/>
      <c r="U10" s="1290"/>
      <c r="V10" s="1290"/>
      <c r="W10" s="1291"/>
      <c r="Y10" s="335" t="s">
        <v>246</v>
      </c>
      <c r="Z10" s="336">
        <f>SUM(Z5:Z9)</f>
        <v>25</v>
      </c>
      <c r="AA10" s="336">
        <f>SUM(AA5:AA9)</f>
        <v>0</v>
      </c>
    </row>
    <row r="11" spans="1:28" s="320" customFormat="1" ht="16.5" customHeight="1" thickTop="1" thickBot="1" x14ac:dyDescent="0.3">
      <c r="A11" s="1301"/>
      <c r="B11" s="1301"/>
      <c r="C11" s="1301"/>
      <c r="D11" s="1302"/>
      <c r="E11" s="1303"/>
      <c r="F11" s="1304" t="s">
        <v>21</v>
      </c>
      <c r="G11" s="1305"/>
      <c r="H11" s="328"/>
      <c r="I11" s="1306"/>
      <c r="J11" s="1306"/>
      <c r="K11" s="1306"/>
      <c r="L11" s="1307"/>
      <c r="M11" s="337"/>
      <c r="N11" s="338"/>
      <c r="O11" s="339"/>
      <c r="P11" s="340"/>
      <c r="Q11" s="1300"/>
      <c r="R11" s="1300"/>
      <c r="S11" s="1300"/>
      <c r="T11" s="1300"/>
      <c r="U11" s="1300"/>
      <c r="V11" s="1300"/>
      <c r="W11" s="1300"/>
      <c r="Z11" s="341">
        <f>Z10-K23</f>
        <v>0</v>
      </c>
      <c r="AA11" s="341">
        <f>AA10-S23</f>
        <v>0</v>
      </c>
    </row>
    <row r="12" spans="1:28" s="320" customFormat="1" ht="15.75" customHeight="1" thickBot="1" x14ac:dyDescent="0.3">
      <c r="A12" s="342"/>
      <c r="B12" s="342"/>
      <c r="C12" s="343"/>
      <c r="D12" s="343"/>
      <c r="E12" s="343"/>
      <c r="F12" s="348"/>
      <c r="G12" s="349"/>
      <c r="H12" s="346"/>
      <c r="I12" s="350"/>
      <c r="J12" s="350"/>
      <c r="K12" s="350"/>
      <c r="L12" s="350"/>
      <c r="O12" s="344"/>
      <c r="P12" s="344"/>
      <c r="Q12" s="344"/>
      <c r="R12" s="344"/>
      <c r="S12" s="344"/>
      <c r="T12" s="344"/>
      <c r="U12" s="345"/>
      <c r="V12" s="345"/>
      <c r="W12" s="346"/>
      <c r="AA12" s="347"/>
    </row>
    <row r="13" spans="1:28" s="354" customFormat="1" ht="18.75" customHeight="1" thickBot="1" x14ac:dyDescent="0.3">
      <c r="A13" s="351"/>
      <c r="B13" s="351"/>
      <c r="C13" s="351"/>
      <c r="D13" s="351"/>
      <c r="E13" s="351"/>
      <c r="F13" s="352"/>
      <c r="G13" s="353"/>
      <c r="I13" s="1251" t="s">
        <v>347</v>
      </c>
      <c r="J13" s="1252"/>
      <c r="K13" s="1253"/>
      <c r="L13" s="355"/>
      <c r="M13" s="1279" t="s">
        <v>229</v>
      </c>
      <c r="N13" s="1280"/>
      <c r="O13" s="1281"/>
      <c r="P13" s="356"/>
      <c r="Q13" s="1282" t="s">
        <v>295</v>
      </c>
      <c r="R13" s="1283"/>
      <c r="S13" s="1284"/>
      <c r="T13" s="357"/>
      <c r="U13" s="358"/>
      <c r="V13" s="358"/>
      <c r="W13" s="359"/>
      <c r="X13" s="353"/>
      <c r="Y13" s="353"/>
      <c r="Z13" s="353"/>
      <c r="AA13" s="353"/>
      <c r="AB13" s="353"/>
    </row>
    <row r="14" spans="1:28" ht="44.25" customHeight="1" thickBot="1" x14ac:dyDescent="0.3">
      <c r="A14" s="360">
        <v>0.02</v>
      </c>
      <c r="B14" s="360" t="s">
        <v>58</v>
      </c>
      <c r="C14" s="1267" t="s">
        <v>226</v>
      </c>
      <c r="D14" s="1268"/>
      <c r="E14" s="1268"/>
      <c r="F14" s="1269"/>
      <c r="G14" s="361" t="s">
        <v>249</v>
      </c>
      <c r="H14" s="362" t="s">
        <v>0</v>
      </c>
      <c r="I14" s="1273" t="s">
        <v>315</v>
      </c>
      <c r="J14" s="1265" t="s">
        <v>6</v>
      </c>
      <c r="K14" s="363" t="s">
        <v>299</v>
      </c>
      <c r="L14" s="364"/>
      <c r="M14" s="1275" t="s">
        <v>260</v>
      </c>
      <c r="N14" s="1276"/>
      <c r="O14" s="365" t="s">
        <v>248</v>
      </c>
      <c r="P14" s="366"/>
      <c r="Q14" s="367" t="s">
        <v>296</v>
      </c>
      <c r="R14" s="1265" t="s">
        <v>6</v>
      </c>
      <c r="S14" s="363" t="s">
        <v>299</v>
      </c>
      <c r="T14" s="368"/>
      <c r="U14" s="369" t="s">
        <v>256</v>
      </c>
      <c r="V14" s="1148" t="s">
        <v>61</v>
      </c>
      <c r="W14" s="1150" t="s">
        <v>384</v>
      </c>
    </row>
    <row r="15" spans="1:28" ht="30.75" customHeight="1" thickBot="1" x14ac:dyDescent="0.3">
      <c r="A15" s="371"/>
      <c r="B15" s="371"/>
      <c r="C15" s="1270"/>
      <c r="D15" s="1271"/>
      <c r="E15" s="1271"/>
      <c r="F15" s="1272"/>
      <c r="G15" s="372"/>
      <c r="H15" s="372"/>
      <c r="I15" s="1274"/>
      <c r="J15" s="1266"/>
      <c r="K15" s="373" t="s">
        <v>42</v>
      </c>
      <c r="L15" s="374"/>
      <c r="M15" s="1277"/>
      <c r="N15" s="1278"/>
      <c r="O15" s="375" t="s">
        <v>43</v>
      </c>
      <c r="P15" s="366"/>
      <c r="Q15" s="376" t="e">
        <f>#REF!/#REF!</f>
        <v>#REF!</v>
      </c>
      <c r="R15" s="1266"/>
      <c r="S15" s="373" t="s">
        <v>44</v>
      </c>
      <c r="T15" s="368"/>
      <c r="U15" s="377" t="s">
        <v>300</v>
      </c>
      <c r="V15" s="1149"/>
      <c r="W15" s="1151"/>
    </row>
    <row r="16" spans="1:28" s="393" customFormat="1" ht="15.75" hidden="1" customHeight="1" thickTop="1" x14ac:dyDescent="0.25">
      <c r="A16" s="378" t="s">
        <v>7</v>
      </c>
      <c r="B16" s="379"/>
      <c r="C16" s="1257"/>
      <c r="D16" s="1257"/>
      <c r="E16" s="1257"/>
      <c r="F16" s="1257"/>
      <c r="G16" s="380"/>
      <c r="H16" s="381"/>
      <c r="I16" s="382"/>
      <c r="J16" s="383"/>
      <c r="K16" s="384"/>
      <c r="L16" s="385"/>
      <c r="M16" s="1263"/>
      <c r="N16" s="1264"/>
      <c r="O16" s="386"/>
      <c r="P16" s="387"/>
      <c r="Q16" s="388"/>
      <c r="R16" s="383"/>
      <c r="S16" s="389"/>
      <c r="T16" s="390"/>
      <c r="U16" s="388"/>
      <c r="V16" s="388"/>
      <c r="W16" s="391"/>
      <c r="X16" s="392"/>
      <c r="Y16" s="392"/>
      <c r="Z16" s="392"/>
      <c r="AA16" s="392"/>
      <c r="AB16" s="392"/>
    </row>
    <row r="17" spans="1:28" s="393" customFormat="1" ht="15.75" hidden="1" customHeight="1" thickBot="1" x14ac:dyDescent="0.3">
      <c r="A17" s="378" t="s">
        <v>7</v>
      </c>
      <c r="B17" s="394"/>
      <c r="C17" s="1258"/>
      <c r="D17" s="1261"/>
      <c r="E17" s="1261"/>
      <c r="F17" s="1262"/>
      <c r="G17" s="395"/>
      <c r="H17" s="396"/>
      <c r="I17" s="397"/>
      <c r="J17" s="383"/>
      <c r="K17" s="398"/>
      <c r="L17" s="385"/>
      <c r="M17" s="1258"/>
      <c r="N17" s="1259"/>
      <c r="O17" s="399"/>
      <c r="P17" s="387"/>
      <c r="Q17" s="388"/>
      <c r="R17" s="383"/>
      <c r="S17" s="398"/>
      <c r="T17" s="390"/>
      <c r="U17" s="388"/>
      <c r="V17" s="388"/>
      <c r="W17" s="400"/>
      <c r="X17" s="392"/>
      <c r="Y17" s="392"/>
      <c r="Z17" s="392"/>
      <c r="AA17" s="392"/>
      <c r="AB17" s="392"/>
    </row>
    <row r="18" spans="1:28" s="393" customFormat="1" ht="15.75" customHeight="1" thickTop="1" x14ac:dyDescent="0.25">
      <c r="A18" s="378" t="s">
        <v>7</v>
      </c>
      <c r="B18" s="1255" t="s">
        <v>342</v>
      </c>
      <c r="C18" s="1257" t="s">
        <v>348</v>
      </c>
      <c r="D18" s="1257"/>
      <c r="E18" s="1257"/>
      <c r="F18" s="1257"/>
      <c r="G18" s="571" t="str">
        <f>IF($D$8="Yes", "COUNTY","CITY")</f>
        <v>COUNTY</v>
      </c>
      <c r="H18" s="396" t="s">
        <v>25</v>
      </c>
      <c r="I18" s="397">
        <f>IF($D$10&gt;0,10*33%, 0)</f>
        <v>3.3000000000000003</v>
      </c>
      <c r="J18" s="383">
        <f>IF(A18="Y",I18* 2%,0)</f>
        <v>0</v>
      </c>
      <c r="K18" s="398">
        <f>I18-J18</f>
        <v>3.3000000000000003</v>
      </c>
      <c r="L18" s="385"/>
      <c r="M18" s="1258"/>
      <c r="N18" s="1259"/>
      <c r="O18" s="386"/>
      <c r="P18" s="387"/>
      <c r="Q18" s="388">
        <f>IF($Q$23=0,,I18*$Q$15)</f>
        <v>0</v>
      </c>
      <c r="R18" s="383">
        <f>IF(A18="Y", Q18*2%,)</f>
        <v>0</v>
      </c>
      <c r="S18" s="401">
        <f>Q18-R18</f>
        <v>0</v>
      </c>
      <c r="T18" s="402"/>
      <c r="U18" s="388">
        <f>IF($U$15="BASE-UP   (B-A)", O18-K18,O18-S18)</f>
        <v>-3.3000000000000003</v>
      </c>
      <c r="V18" s="552"/>
      <c r="W18" s="403"/>
      <c r="X18" s="392"/>
      <c r="Y18" s="392"/>
      <c r="Z18" s="392"/>
      <c r="AA18" s="392"/>
      <c r="AB18" s="392"/>
    </row>
    <row r="19" spans="1:28" s="393" customFormat="1" ht="15.75" customHeight="1" x14ac:dyDescent="0.25">
      <c r="A19" s="378" t="s">
        <v>7</v>
      </c>
      <c r="B19" s="1255"/>
      <c r="C19" s="1257" t="s">
        <v>349</v>
      </c>
      <c r="D19" s="1257"/>
      <c r="E19" s="1257"/>
      <c r="F19" s="1257"/>
      <c r="G19" s="571" t="s">
        <v>31</v>
      </c>
      <c r="H19" s="396" t="s">
        <v>26</v>
      </c>
      <c r="I19" s="397">
        <f>IF($D$10&gt;0,10*34%, 0)</f>
        <v>3.4000000000000004</v>
      </c>
      <c r="J19" s="383">
        <f>IF(A19="Y",I19* 2%,0)</f>
        <v>0</v>
      </c>
      <c r="K19" s="398">
        <f>I19-J19</f>
        <v>3.4000000000000004</v>
      </c>
      <c r="L19" s="385"/>
      <c r="M19" s="1258"/>
      <c r="N19" s="1259"/>
      <c r="O19" s="404"/>
      <c r="P19" s="387"/>
      <c r="Q19" s="388">
        <f>IF($Q$23=0,,I19*$Q$15)</f>
        <v>0</v>
      </c>
      <c r="R19" s="383">
        <f>IF(A19="Y", Q19*2%,)</f>
        <v>0</v>
      </c>
      <c r="S19" s="401">
        <f>Q19-R19</f>
        <v>0</v>
      </c>
      <c r="T19" s="402"/>
      <c r="U19" s="388">
        <f>IF($U$15="BASE-UP   (B-A)", O19-K19,O19-S19)</f>
        <v>-3.4000000000000004</v>
      </c>
      <c r="V19" s="552"/>
      <c r="W19" s="403"/>
      <c r="X19" s="392"/>
      <c r="Y19" s="392"/>
      <c r="Z19" s="392"/>
      <c r="AA19" s="392"/>
      <c r="AB19" s="392"/>
    </row>
    <row r="20" spans="1:28" s="393" customFormat="1" ht="15.75" customHeight="1" x14ac:dyDescent="0.25">
      <c r="A20" s="378" t="s">
        <v>7</v>
      </c>
      <c r="B20" s="1255"/>
      <c r="C20" s="1257" t="s">
        <v>348</v>
      </c>
      <c r="D20" s="1257"/>
      <c r="E20" s="1257"/>
      <c r="F20" s="1257"/>
      <c r="G20" s="571" t="s">
        <v>32</v>
      </c>
      <c r="H20" s="396" t="s">
        <v>27</v>
      </c>
      <c r="I20" s="397">
        <f>IF($D$10&gt;0,10*33%, 0)</f>
        <v>3.3000000000000003</v>
      </c>
      <c r="J20" s="383">
        <f>IF(A20="Y",I20* 2%,0)</f>
        <v>0</v>
      </c>
      <c r="K20" s="398">
        <f>I20-J20</f>
        <v>3.3000000000000003</v>
      </c>
      <c r="L20" s="385"/>
      <c r="M20" s="1258"/>
      <c r="N20" s="1259"/>
      <c r="O20" s="404"/>
      <c r="P20" s="387"/>
      <c r="Q20" s="388">
        <f>IF($Q$23=0,,I20*$Q$15)</f>
        <v>0</v>
      </c>
      <c r="R20" s="383">
        <f>IF(A20="Y", Q20*2%,)</f>
        <v>0</v>
      </c>
      <c r="S20" s="401">
        <f>Q20-R20</f>
        <v>0</v>
      </c>
      <c r="T20" s="402"/>
      <c r="U20" s="388">
        <f>IF($U$15="BASE-UP   (B-A)", O20-K20,O20-S20)</f>
        <v>-3.3000000000000003</v>
      </c>
      <c r="V20" s="552"/>
      <c r="W20" s="403"/>
      <c r="X20" s="392"/>
      <c r="Y20" s="392"/>
      <c r="Z20" s="392"/>
      <c r="AA20" s="392"/>
      <c r="AB20" s="392"/>
    </row>
    <row r="21" spans="1:28" s="393" customFormat="1" ht="15.75" customHeight="1" x14ac:dyDescent="0.25">
      <c r="A21" s="378" t="s">
        <v>7</v>
      </c>
      <c r="B21" s="1256"/>
      <c r="C21" s="1260" t="s">
        <v>453</v>
      </c>
      <c r="D21" s="1260"/>
      <c r="E21" s="1260"/>
      <c r="F21" s="1260"/>
      <c r="G21" s="570" t="s">
        <v>31</v>
      </c>
      <c r="H21" s="396" t="s">
        <v>197</v>
      </c>
      <c r="I21" s="405">
        <f>($D$10*25)-SUM(I18:I20)</f>
        <v>14.999999999999998</v>
      </c>
      <c r="J21" s="383">
        <f>IF(A21="Y",I21* 2%,0)</f>
        <v>0</v>
      </c>
      <c r="K21" s="398">
        <f>I21-J21</f>
        <v>14.999999999999998</v>
      </c>
      <c r="L21" s="385"/>
      <c r="M21" s="1258"/>
      <c r="N21" s="1259"/>
      <c r="O21" s="406"/>
      <c r="P21" s="407"/>
      <c r="Q21" s="388">
        <f>IF($Q$23=0,,I21*$Q$15)</f>
        <v>0</v>
      </c>
      <c r="R21" s="383">
        <f>IF(A21="Y", Q21*2%,)</f>
        <v>0</v>
      </c>
      <c r="S21" s="401">
        <f>Q21-R21</f>
        <v>0</v>
      </c>
      <c r="T21" s="402"/>
      <c r="U21" s="388">
        <f>IF($U$15="BASE-UP   (B-A)", O21-K21,O21-S21)</f>
        <v>-14.999999999999998</v>
      </c>
      <c r="V21" s="552"/>
      <c r="W21" s="400"/>
      <c r="X21" s="392"/>
      <c r="Y21" s="392"/>
      <c r="Z21" s="392"/>
      <c r="AA21" s="392"/>
      <c r="AB21" s="392"/>
    </row>
    <row r="22" spans="1:28" s="392" customFormat="1" ht="14.5" x14ac:dyDescent="0.25">
      <c r="A22" s="408"/>
      <c r="B22" s="408"/>
      <c r="C22" s="408"/>
      <c r="D22" s="408"/>
      <c r="E22" s="409"/>
      <c r="F22" s="409"/>
      <c r="J22" s="410">
        <f>SUM(J16:J21)</f>
        <v>0</v>
      </c>
      <c r="K22" s="411"/>
      <c r="O22" s="412"/>
      <c r="P22" s="413"/>
      <c r="R22" s="410">
        <f>SUM(R16:R21)</f>
        <v>0</v>
      </c>
      <c r="S22" s="414"/>
      <c r="U22" s="415"/>
      <c r="V22" s="415"/>
      <c r="W22" s="416"/>
    </row>
    <row r="23" spans="1:28" s="430" customFormat="1" ht="16" thickBot="1" x14ac:dyDescent="0.3">
      <c r="A23" s="417"/>
      <c r="B23" s="417"/>
      <c r="C23" s="417"/>
      <c r="D23" s="417"/>
      <c r="E23" s="418"/>
      <c r="F23" s="419" t="s">
        <v>81</v>
      </c>
      <c r="G23" s="420"/>
      <c r="H23" s="421" t="s">
        <v>1</v>
      </c>
      <c r="I23" s="336">
        <f>SUM(I18:I22)</f>
        <v>25</v>
      </c>
      <c r="J23" s="422"/>
      <c r="K23" s="423">
        <f>SUM(K18:K22)</f>
        <v>25</v>
      </c>
      <c r="L23" s="424"/>
      <c r="M23" s="417" t="s">
        <v>1</v>
      </c>
      <c r="N23" s="417"/>
      <c r="O23" s="425">
        <f>SUM(O18:O22)</f>
        <v>0</v>
      </c>
      <c r="P23" s="424"/>
      <c r="Q23" s="426"/>
      <c r="R23" s="422"/>
      <c r="S23" s="427">
        <f>SUM(S22:S22)</f>
        <v>0</v>
      </c>
      <c r="T23" s="422"/>
      <c r="U23" s="428">
        <f>SUM(U18:U22)</f>
        <v>-25</v>
      </c>
      <c r="V23" s="544"/>
      <c r="W23" s="429"/>
    </row>
    <row r="24" spans="1:28" s="310" customFormat="1" ht="15.75" customHeight="1" thickTop="1" x14ac:dyDescent="0.25">
      <c r="A24" s="1254" t="s">
        <v>61</v>
      </c>
      <c r="B24" s="1254"/>
      <c r="C24" s="1254"/>
      <c r="D24" s="431"/>
      <c r="E24" s="432"/>
      <c r="F24" s="432"/>
      <c r="K24" s="433"/>
      <c r="L24" s="434"/>
      <c r="U24" s="435"/>
      <c r="V24" s="435"/>
      <c r="W24" s="436"/>
    </row>
    <row r="25" spans="1:28" s="437" customFormat="1" ht="18" customHeight="1" x14ac:dyDescent="0.25">
      <c r="A25" s="624">
        <v>1</v>
      </c>
      <c r="B25" s="1250"/>
      <c r="C25" s="1250"/>
      <c r="D25" s="1250"/>
      <c r="E25" s="1250"/>
      <c r="F25" s="1250"/>
      <c r="G25" s="1250"/>
      <c r="H25" s="1250"/>
      <c r="I25" s="1250"/>
      <c r="J25" s="1250"/>
      <c r="K25" s="1250"/>
      <c r="L25" s="1250"/>
      <c r="M25" s="1250"/>
      <c r="N25" s="1250"/>
      <c r="O25" s="1250"/>
      <c r="P25" s="1250"/>
      <c r="Q25" s="1250"/>
      <c r="R25" s="1250"/>
      <c r="S25" s="1250"/>
      <c r="T25" s="1250"/>
      <c r="U25" s="1250"/>
      <c r="V25" s="1250"/>
      <c r="W25" s="1250"/>
    </row>
    <row r="26" spans="1:28" s="437" customFormat="1" ht="18" customHeight="1" x14ac:dyDescent="0.25">
      <c r="A26" s="624">
        <v>2</v>
      </c>
      <c r="B26" s="1250"/>
      <c r="C26" s="1250"/>
      <c r="D26" s="1250"/>
      <c r="E26" s="1250"/>
      <c r="F26" s="1250"/>
      <c r="G26" s="1250"/>
      <c r="H26" s="1250"/>
      <c r="I26" s="1250"/>
      <c r="J26" s="1250"/>
      <c r="K26" s="1250"/>
      <c r="L26" s="1250"/>
      <c r="M26" s="1250"/>
      <c r="N26" s="1250"/>
      <c r="O26" s="1250"/>
      <c r="P26" s="1250"/>
      <c r="Q26" s="1250"/>
      <c r="R26" s="1250"/>
      <c r="S26" s="1250"/>
      <c r="T26" s="1250"/>
      <c r="U26" s="1250"/>
      <c r="V26" s="1250"/>
      <c r="W26" s="1250"/>
    </row>
    <row r="27" spans="1:28" s="437" customFormat="1" ht="18" customHeight="1" x14ac:dyDescent="0.25">
      <c r="A27" s="624">
        <v>3</v>
      </c>
      <c r="B27" s="1250"/>
      <c r="C27" s="1250"/>
      <c r="D27" s="1250"/>
      <c r="E27" s="1250"/>
      <c r="F27" s="1250"/>
      <c r="G27" s="1250"/>
      <c r="H27" s="1250"/>
      <c r="I27" s="1250"/>
      <c r="J27" s="1250"/>
      <c r="K27" s="1250"/>
      <c r="L27" s="1250"/>
      <c r="M27" s="1250"/>
      <c r="N27" s="1250"/>
      <c r="O27" s="1250"/>
      <c r="P27" s="1250"/>
      <c r="Q27" s="1250"/>
      <c r="R27" s="1250"/>
      <c r="S27" s="1250"/>
      <c r="T27" s="1250"/>
      <c r="U27" s="1250"/>
      <c r="V27" s="1250"/>
      <c r="W27" s="1250"/>
    </row>
    <row r="28" spans="1:28" s="310" customFormat="1" ht="21" customHeight="1" x14ac:dyDescent="0.25">
      <c r="A28" s="624">
        <v>4</v>
      </c>
      <c r="B28" s="1250"/>
      <c r="C28" s="1250"/>
      <c r="D28" s="1250"/>
      <c r="E28" s="1250"/>
      <c r="F28" s="1250"/>
      <c r="G28" s="1250"/>
      <c r="H28" s="1250"/>
      <c r="I28" s="1250"/>
      <c r="J28" s="1250"/>
      <c r="K28" s="1250"/>
      <c r="L28" s="1250"/>
      <c r="M28" s="1250"/>
      <c r="N28" s="1250"/>
      <c r="O28" s="1250"/>
      <c r="P28" s="1250"/>
      <c r="Q28" s="1250"/>
      <c r="R28" s="1250"/>
      <c r="S28" s="1250"/>
      <c r="T28" s="1250"/>
      <c r="U28" s="1250"/>
      <c r="V28" s="1250"/>
      <c r="W28" s="1250"/>
    </row>
    <row r="29" spans="1:28" x14ac:dyDescent="0.25">
      <c r="A29" s="316"/>
      <c r="B29" s="316"/>
      <c r="C29" s="316"/>
      <c r="D29" s="316"/>
      <c r="E29" s="432"/>
      <c r="G29" s="310"/>
      <c r="H29" s="310"/>
      <c r="I29" s="310"/>
      <c r="J29" s="310"/>
      <c r="K29" s="438"/>
      <c r="L29" s="310"/>
      <c r="M29" s="310"/>
      <c r="N29" s="310"/>
      <c r="O29" s="310"/>
      <c r="P29" s="310"/>
      <c r="Q29" s="310"/>
      <c r="R29" s="310"/>
      <c r="S29" s="310"/>
      <c r="U29" s="435"/>
      <c r="V29" s="435"/>
      <c r="W29" s="436"/>
    </row>
    <row r="30" spans="1:28" x14ac:dyDescent="0.25">
      <c r="A30" s="316"/>
      <c r="B30" s="316"/>
      <c r="C30" s="316"/>
      <c r="D30" s="316"/>
      <c r="E30" s="432"/>
      <c r="G30" s="310"/>
      <c r="H30" s="310"/>
      <c r="I30" s="310"/>
      <c r="J30" s="310"/>
      <c r="K30" s="438"/>
      <c r="L30" s="310"/>
      <c r="M30" s="310"/>
      <c r="N30" s="310"/>
      <c r="O30" s="310"/>
      <c r="P30" s="310"/>
      <c r="Q30" s="310"/>
      <c r="R30" s="310"/>
      <c r="S30" s="310"/>
      <c r="U30" s="435"/>
      <c r="V30" s="435"/>
      <c r="W30" s="436"/>
    </row>
    <row r="31" spans="1:28" x14ac:dyDescent="0.25">
      <c r="A31" s="316"/>
      <c r="B31" s="316"/>
      <c r="C31" s="316"/>
      <c r="D31" s="316"/>
      <c r="E31" s="432"/>
      <c r="G31" s="310"/>
      <c r="H31" s="310"/>
      <c r="I31" s="310"/>
      <c r="J31" s="310"/>
      <c r="K31" s="438"/>
      <c r="L31" s="310"/>
      <c r="M31" s="310"/>
      <c r="N31" s="310"/>
      <c r="O31" s="310"/>
      <c r="P31" s="310"/>
      <c r="Q31" s="310"/>
      <c r="R31" s="310"/>
      <c r="S31" s="310"/>
      <c r="U31" s="435"/>
      <c r="V31" s="435"/>
      <c r="W31" s="436"/>
    </row>
    <row r="32" spans="1:28" x14ac:dyDescent="0.25">
      <c r="A32" s="316"/>
      <c r="B32" s="316"/>
      <c r="C32" s="316"/>
      <c r="D32" s="316"/>
      <c r="E32" s="432"/>
      <c r="G32" s="310"/>
      <c r="H32" s="310"/>
      <c r="I32" s="310"/>
      <c r="J32" s="310"/>
      <c r="K32" s="438"/>
      <c r="L32" s="310"/>
      <c r="M32" s="310"/>
      <c r="N32" s="310"/>
      <c r="O32" s="310"/>
      <c r="P32" s="310"/>
      <c r="Q32" s="310"/>
      <c r="R32" s="310"/>
      <c r="S32" s="310"/>
      <c r="U32" s="435"/>
      <c r="V32" s="435"/>
      <c r="W32" s="436"/>
    </row>
  </sheetData>
  <sheetProtection insertRows="0"/>
  <mergeCells count="76">
    <mergeCell ref="D5:E5"/>
    <mergeCell ref="F5:G5"/>
    <mergeCell ref="I5:L5"/>
    <mergeCell ref="A1:K1"/>
    <mergeCell ref="A3:O3"/>
    <mergeCell ref="L1:U1"/>
    <mergeCell ref="Q3:W3"/>
    <mergeCell ref="A4:C4"/>
    <mergeCell ref="D4:E4"/>
    <mergeCell ref="F4:G4"/>
    <mergeCell ref="I4:L4"/>
    <mergeCell ref="M4:N4"/>
    <mergeCell ref="Q4:W4"/>
    <mergeCell ref="A8:C8"/>
    <mergeCell ref="Q5:W6"/>
    <mergeCell ref="A6:C6"/>
    <mergeCell ref="D6:E6"/>
    <mergeCell ref="F6:G6"/>
    <mergeCell ref="M5:N5"/>
    <mergeCell ref="M6:N6"/>
    <mergeCell ref="D8:E8"/>
    <mergeCell ref="F8:G8"/>
    <mergeCell ref="I8:L8"/>
    <mergeCell ref="I6:L6"/>
    <mergeCell ref="A7:C7"/>
    <mergeCell ref="D7:E7"/>
    <mergeCell ref="F7:G7"/>
    <mergeCell ref="I7:L7"/>
    <mergeCell ref="A5:C5"/>
    <mergeCell ref="A11:C11"/>
    <mergeCell ref="D11:E11"/>
    <mergeCell ref="F11:G11"/>
    <mergeCell ref="I11:L11"/>
    <mergeCell ref="F9:G9"/>
    <mergeCell ref="I9:L9"/>
    <mergeCell ref="D9:E9"/>
    <mergeCell ref="A9:C9"/>
    <mergeCell ref="A10:C10"/>
    <mergeCell ref="D10:E10"/>
    <mergeCell ref="F10:G10"/>
    <mergeCell ref="I10:L10"/>
    <mergeCell ref="M13:O13"/>
    <mergeCell ref="Q13:S13"/>
    <mergeCell ref="M10:N10"/>
    <mergeCell ref="Q9:W10"/>
    <mergeCell ref="M8:N8"/>
    <mergeCell ref="M9:N9"/>
    <mergeCell ref="Q7:W8"/>
    <mergeCell ref="Q11:W11"/>
    <mergeCell ref="M17:N17"/>
    <mergeCell ref="C16:F16"/>
    <mergeCell ref="M16:N16"/>
    <mergeCell ref="V14:V15"/>
    <mergeCell ref="W14:W15"/>
    <mergeCell ref="R14:R15"/>
    <mergeCell ref="C14:F15"/>
    <mergeCell ref="I14:I15"/>
    <mergeCell ref="J14:J15"/>
    <mergeCell ref="M14:N14"/>
    <mergeCell ref="M15:N15"/>
    <mergeCell ref="B28:W28"/>
    <mergeCell ref="I13:K13"/>
    <mergeCell ref="A24:C24"/>
    <mergeCell ref="B26:W26"/>
    <mergeCell ref="B27:W27"/>
    <mergeCell ref="B18:B21"/>
    <mergeCell ref="C18:F18"/>
    <mergeCell ref="M18:N18"/>
    <mergeCell ref="C19:F19"/>
    <mergeCell ref="M19:N19"/>
    <mergeCell ref="C20:F20"/>
    <mergeCell ref="M20:N20"/>
    <mergeCell ref="C21:F21"/>
    <mergeCell ref="M21:N21"/>
    <mergeCell ref="B25:W25"/>
    <mergeCell ref="C17:F17"/>
  </mergeCells>
  <conditionalFormatting sqref="I16:I20">
    <cfRule type="cellIs" dxfId="44" priority="4" stopIfTrue="1" operator="equal">
      <formula>0</formula>
    </cfRule>
  </conditionalFormatting>
  <conditionalFormatting sqref="I18:K21">
    <cfRule type="cellIs" dxfId="43" priority="2" operator="equal">
      <formula>0</formula>
    </cfRule>
  </conditionalFormatting>
  <conditionalFormatting sqref="M16:O21">
    <cfRule type="expression" dxfId="42" priority="3">
      <formula>MOD(ROW(),2)=0</formula>
    </cfRule>
  </conditionalFormatting>
  <conditionalFormatting sqref="Q16:S21">
    <cfRule type="cellIs" dxfId="41" priority="6" stopIfTrue="1" operator="equal">
      <formula>0</formula>
    </cfRule>
  </conditionalFormatting>
  <conditionalFormatting sqref="U12:V13 U24:V24 U29:V65516">
    <cfRule type="cellIs" dxfId="40" priority="5" stopIfTrue="1" operator="notEqual">
      <formula>0</formula>
    </cfRule>
  </conditionalFormatting>
  <conditionalFormatting sqref="V18:V21">
    <cfRule type="cellIs" dxfId="39" priority="1" operator="greaterThan">
      <formula>0</formula>
    </cfRule>
  </conditionalFormatting>
  <dataValidations count="2">
    <dataValidation type="list" allowBlank="1" showInputMessage="1" showErrorMessage="1" sqref="U15" xr:uid="{00000000-0002-0000-2400-000000000000}">
      <formula1>Distribution_Method</formula1>
    </dataValidation>
    <dataValidation type="list" allowBlank="1" showInputMessage="1" showErrorMessage="1" sqref="D8:E8" xr:uid="{00000000-0002-0000-2400-000001000000}">
      <formula1>Yes_No</formula1>
    </dataValidation>
  </dataValidations>
  <printOptions horizontalCentered="1"/>
  <pageMargins left="0.25" right="0.25" top="0.75" bottom="0.5" header="0.25" footer="0.25"/>
  <pageSetup scale="81" orientation="landscape" r:id="rId1"/>
  <headerFooter alignWithMargins="0">
    <oddHeader>&amp;CSUPERIOR OF COURT OF _________ COUNTY
Revenue Calculation and Distribution Worksheet</oddHeader>
    <oddFooter>&amp;L&amp;F&amp;R&amp;P of &amp;N</oddFooter>
  </headerFooter>
  <ignoredErrors>
    <ignoredError sqref="I18 I20" unlockedFormula="1"/>
    <ignoredError sqref="I19" formula="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88417" r:id="rId4" name="Button 1">
              <controlPr defaultSize="0" print="0" autoFill="0" autoPict="0" macro="mcr_GoToSummary">
                <anchor moveWithCells="1">
                  <from>
                    <xdr:col>0</xdr:col>
                    <xdr:colOff>88900</xdr:colOff>
                    <xdr:row>0</xdr:row>
                    <xdr:rowOff>0</xdr:rowOff>
                  </from>
                  <to>
                    <xdr:col>3</xdr:col>
                    <xdr:colOff>171450</xdr:colOff>
                    <xdr:row>1</xdr:row>
                    <xdr:rowOff>31750</xdr:rowOff>
                  </to>
                </anchor>
              </controlPr>
            </control>
          </mc:Choice>
        </mc:AlternateContent>
        <mc:AlternateContent xmlns:mc="http://schemas.openxmlformats.org/markup-compatibility/2006">
          <mc:Choice Requires="x14">
            <control shapeId="188418" r:id="rId5" name="Button 2">
              <controlPr defaultSize="0" print="0" autoFill="0" autoPict="0" macro="[0]!mcrDisableTwoPercentUnprotect">
                <anchor moveWithCells="1">
                  <from>
                    <xdr:col>0</xdr:col>
                    <xdr:colOff>12700</xdr:colOff>
                    <xdr:row>13</xdr:row>
                    <xdr:rowOff>527050</xdr:rowOff>
                  </from>
                  <to>
                    <xdr:col>0</xdr:col>
                    <xdr:colOff>279400</xdr:colOff>
                    <xdr:row>14</xdr:row>
                    <xdr:rowOff>222250</xdr:rowOff>
                  </to>
                </anchor>
              </controlPr>
            </control>
          </mc:Choice>
        </mc:AlternateContent>
        <mc:AlternateContent xmlns:mc="http://schemas.openxmlformats.org/markup-compatibility/2006">
          <mc:Choice Requires="x14">
            <control shapeId="188419" r:id="rId6" name="Button 3">
              <controlPr defaultSize="0" print="0" autoFill="0" autoPict="0" macro="[0]!mcrEnableTwoPercentUnprotect">
                <anchor moveWithCells="1">
                  <from>
                    <xdr:col>0</xdr:col>
                    <xdr:colOff>0</xdr:colOff>
                    <xdr:row>13</xdr:row>
                    <xdr:rowOff>222250</xdr:rowOff>
                  </from>
                  <to>
                    <xdr:col>0</xdr:col>
                    <xdr:colOff>266700</xdr:colOff>
                    <xdr:row>13</xdr:row>
                    <xdr:rowOff>552450</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9">
    <tabColor theme="6"/>
    <pageSetUpPr fitToPage="1"/>
  </sheetPr>
  <dimension ref="A1:AB48"/>
  <sheetViews>
    <sheetView zoomScale="80" zoomScaleNormal="80" workbookViewId="0">
      <pane ySplit="1" topLeftCell="A2" activePane="bottomLeft" state="frozen"/>
      <selection pane="bottomLeft" sqref="A1:K1"/>
    </sheetView>
  </sheetViews>
  <sheetFormatPr defaultColWidth="9.1796875" defaultRowHeight="18.5" x14ac:dyDescent="0.25"/>
  <cols>
    <col min="1" max="1" width="4.26953125" style="87" customWidth="1"/>
    <col min="2" max="2" width="4.7265625" style="87" customWidth="1"/>
    <col min="3" max="3" width="13.54296875" style="87" customWidth="1"/>
    <col min="4" max="4" width="12" style="87" customWidth="1"/>
    <col min="5" max="5" width="10.81640625" style="88" customWidth="1"/>
    <col min="6" max="6" width="19" style="121" customWidth="1"/>
    <col min="7" max="7" width="9.1796875" style="46" customWidth="1"/>
    <col min="8" max="8" width="29.453125" style="46" hidden="1" customWidth="1"/>
    <col min="9" max="9" width="9" style="46" customWidth="1"/>
    <col min="10" max="10" width="6" style="46" customWidth="1"/>
    <col min="11" max="11" width="11.1796875" style="92" customWidth="1"/>
    <col min="12" max="12" width="1.7265625" style="89" customWidth="1"/>
    <col min="13" max="13" width="15.26953125" style="46" customWidth="1"/>
    <col min="14" max="14" width="1.54296875" style="46" customWidth="1"/>
    <col min="15" max="15" width="11" style="46" customWidth="1"/>
    <col min="16" max="16" width="1.81640625" style="89" customWidth="1"/>
    <col min="17" max="17" width="10.81640625" style="89" customWidth="1"/>
    <col min="18" max="18" width="5.7265625" style="89" customWidth="1"/>
    <col min="19" max="19" width="10.7265625" style="89" customWidth="1"/>
    <col min="20" max="20" width="1.81640625" style="50" customWidth="1"/>
    <col min="21" max="21" width="12.453125" style="90" customWidth="1"/>
    <col min="22" max="22" width="5.26953125" style="90" customWidth="1"/>
    <col min="23" max="23" width="18.7265625" style="91" customWidth="1"/>
    <col min="24" max="24" width="2.1796875" style="50" customWidth="1"/>
    <col min="25" max="25" width="11.26953125" style="50" customWidth="1"/>
    <col min="26" max="26" width="11.1796875" style="50" customWidth="1"/>
    <col min="27" max="28" width="9.1796875" style="50"/>
    <col min="29" max="16384" width="9.1796875" style="46"/>
  </cols>
  <sheetData>
    <row r="1" spans="1:28" ht="20.25" customHeight="1" thickBot="1" x14ac:dyDescent="0.3">
      <c r="A1" s="1081" t="s">
        <v>108</v>
      </c>
      <c r="B1" s="1082"/>
      <c r="C1" s="1082"/>
      <c r="D1" s="1082"/>
      <c r="E1" s="1082"/>
      <c r="F1" s="1082"/>
      <c r="G1" s="1082"/>
      <c r="H1" s="1082"/>
      <c r="I1" s="1082"/>
      <c r="J1" s="1082"/>
      <c r="K1" s="1082"/>
      <c r="L1" s="1079"/>
      <c r="M1" s="1079"/>
      <c r="N1" s="1079"/>
      <c r="O1" s="1079"/>
      <c r="P1" s="1079"/>
      <c r="Q1" s="1079"/>
      <c r="R1" s="1079"/>
      <c r="S1" s="1079"/>
      <c r="T1" s="1079"/>
      <c r="U1" s="1079"/>
      <c r="V1" s="592" t="s">
        <v>485</v>
      </c>
      <c r="W1" s="612" t="str">
        <f>'Cover Page'!A3</f>
        <v>January 2014</v>
      </c>
    </row>
    <row r="2" spans="1:28" s="50" customFormat="1" ht="6" customHeight="1" thickBot="1" x14ac:dyDescent="0.3">
      <c r="A2" s="47"/>
      <c r="B2" s="47"/>
      <c r="C2" s="47"/>
      <c r="D2" s="47"/>
      <c r="E2" s="47"/>
      <c r="F2" s="47"/>
      <c r="G2" s="47"/>
      <c r="H2" s="47"/>
      <c r="I2" s="47"/>
      <c r="J2" s="48"/>
      <c r="K2" s="48"/>
      <c r="L2" s="48"/>
      <c r="M2" s="48"/>
      <c r="N2" s="48"/>
      <c r="O2" s="49"/>
      <c r="P2" s="49"/>
      <c r="Q2" s="49"/>
      <c r="R2" s="49"/>
      <c r="S2" s="49"/>
      <c r="T2" s="49"/>
      <c r="U2" s="49"/>
      <c r="V2" s="49"/>
      <c r="W2" s="49"/>
    </row>
    <row r="3" spans="1:28" s="50" customFormat="1" ht="19" thickBot="1" x14ac:dyDescent="0.3">
      <c r="A3" s="630" t="s">
        <v>234</v>
      </c>
      <c r="B3" s="631"/>
      <c r="C3" s="631"/>
      <c r="D3" s="631"/>
      <c r="E3" s="631"/>
      <c r="F3" s="631"/>
      <c r="G3" s="631"/>
      <c r="H3" s="631"/>
      <c r="I3" s="631"/>
      <c r="J3" s="631"/>
      <c r="K3" s="631"/>
      <c r="L3" s="631"/>
      <c r="M3" s="1221"/>
      <c r="N3" s="1245"/>
      <c r="O3" s="637"/>
      <c r="P3" s="159"/>
      <c r="Q3" s="901" t="s">
        <v>261</v>
      </c>
      <c r="R3" s="902"/>
      <c r="S3" s="902"/>
      <c r="T3" s="902"/>
      <c r="U3" s="902"/>
      <c r="V3" s="902"/>
      <c r="W3" s="903"/>
      <c r="Y3" s="159" t="s">
        <v>250</v>
      </c>
      <c r="Z3" s="120"/>
    </row>
    <row r="4" spans="1:28" s="53" customFormat="1" ht="15.5" x14ac:dyDescent="0.25">
      <c r="A4" s="904" t="s">
        <v>231</v>
      </c>
      <c r="B4" s="905"/>
      <c r="C4" s="905"/>
      <c r="D4" s="906">
        <f>L1</f>
        <v>0</v>
      </c>
      <c r="E4" s="907"/>
      <c r="F4" s="1173" t="s">
        <v>28</v>
      </c>
      <c r="G4" s="1087"/>
      <c r="H4" s="190"/>
      <c r="I4" s="1170" t="s">
        <v>390</v>
      </c>
      <c r="J4" s="1170"/>
      <c r="K4" s="1170"/>
      <c r="L4" s="1170"/>
      <c r="M4" s="910" t="s">
        <v>257</v>
      </c>
      <c r="N4" s="910"/>
      <c r="O4" s="191"/>
      <c r="P4" s="95"/>
      <c r="Q4" s="911" t="s">
        <v>236</v>
      </c>
      <c r="R4" s="912"/>
      <c r="S4" s="912"/>
      <c r="T4" s="912"/>
      <c r="U4" s="912"/>
      <c r="V4" s="912"/>
      <c r="W4" s="913"/>
      <c r="Y4" s="243" t="s">
        <v>308</v>
      </c>
      <c r="Z4" s="241" t="s">
        <v>309</v>
      </c>
      <c r="AA4" s="241" t="s">
        <v>310</v>
      </c>
    </row>
    <row r="5" spans="1:28" s="53" customFormat="1" ht="15.5" x14ac:dyDescent="0.25">
      <c r="A5" s="882" t="s">
        <v>4</v>
      </c>
      <c r="B5" s="883"/>
      <c r="C5" s="883"/>
      <c r="D5" s="894"/>
      <c r="E5" s="885"/>
      <c r="F5" s="1107" t="s">
        <v>244</v>
      </c>
      <c r="G5" s="1086"/>
      <c r="H5" s="167"/>
      <c r="I5" s="1160" t="s">
        <v>326</v>
      </c>
      <c r="J5" s="1160"/>
      <c r="K5" s="1160"/>
      <c r="L5" s="1160"/>
      <c r="M5" s="872" t="s">
        <v>22</v>
      </c>
      <c r="N5" s="872"/>
      <c r="O5" s="54"/>
      <c r="P5" s="95"/>
      <c r="Q5" s="897" t="s">
        <v>302</v>
      </c>
      <c r="R5" s="898"/>
      <c r="S5" s="898"/>
      <c r="T5" s="898"/>
      <c r="U5" s="898"/>
      <c r="V5" s="898"/>
      <c r="W5" s="899"/>
      <c r="Y5" s="157" t="s">
        <v>31</v>
      </c>
      <c r="Z5" s="161">
        <f>SUMIF($G$16:$G$41,"STATE",$K$16:$K$41)</f>
        <v>91.74</v>
      </c>
      <c r="AA5" s="161">
        <f>SUMIF($G$16:$G$41,"STATE",$S$16:$S$41)</f>
        <v>0</v>
      </c>
    </row>
    <row r="6" spans="1:28" s="53" customFormat="1" ht="16" thickBot="1" x14ac:dyDescent="0.3">
      <c r="A6" s="882" t="s">
        <v>12</v>
      </c>
      <c r="B6" s="883"/>
      <c r="C6" s="883"/>
      <c r="D6" s="894"/>
      <c r="E6" s="900"/>
      <c r="F6" s="1107" t="s">
        <v>20</v>
      </c>
      <c r="G6" s="1086"/>
      <c r="H6" s="167"/>
      <c r="I6" s="1160" t="s">
        <v>317</v>
      </c>
      <c r="J6" s="1160"/>
      <c r="K6" s="1160"/>
      <c r="L6" s="1160"/>
      <c r="M6" s="848" t="s">
        <v>233</v>
      </c>
      <c r="N6" s="848"/>
      <c r="O6" s="194">
        <f>O4+O5*10</f>
        <v>0</v>
      </c>
      <c r="P6" s="95"/>
      <c r="Q6" s="891" t="s">
        <v>573</v>
      </c>
      <c r="R6" s="892"/>
      <c r="S6" s="892"/>
      <c r="T6" s="892"/>
      <c r="U6" s="892"/>
      <c r="V6" s="892"/>
      <c r="W6" s="893"/>
      <c r="Y6" s="157" t="s">
        <v>32</v>
      </c>
      <c r="Z6" s="161">
        <f>SUMIF($G$16:$G$41,"COUNTY",$K$16:$K$41)</f>
        <v>-29.89</v>
      </c>
      <c r="AA6" s="161">
        <f>SUMIF($G$16:$G$41,"COUNTY",$S$16:$S$41)</f>
        <v>0</v>
      </c>
    </row>
    <row r="7" spans="1:28" s="53" customFormat="1" ht="16" thickBot="1" x14ac:dyDescent="0.3">
      <c r="A7" s="882" t="s">
        <v>5</v>
      </c>
      <c r="B7" s="883"/>
      <c r="C7" s="883"/>
      <c r="D7" s="884"/>
      <c r="E7" s="885"/>
      <c r="F7" s="1106" t="s">
        <v>21</v>
      </c>
      <c r="G7" s="1077"/>
      <c r="H7" s="219"/>
      <c r="I7" s="1162" t="s">
        <v>3</v>
      </c>
      <c r="J7" s="1162"/>
      <c r="K7" s="1162"/>
      <c r="L7" s="967"/>
      <c r="M7" s="216"/>
      <c r="N7" s="220"/>
      <c r="O7" s="217"/>
      <c r="P7" s="95"/>
      <c r="Q7" s="888" t="s">
        <v>235</v>
      </c>
      <c r="R7" s="889"/>
      <c r="S7" s="889"/>
      <c r="T7" s="889"/>
      <c r="U7" s="889"/>
      <c r="V7" s="889"/>
      <c r="W7" s="890"/>
      <c r="Y7" s="157" t="s">
        <v>52</v>
      </c>
      <c r="Z7" s="161">
        <f>SUMIF($G$16:$G$41,"CITY",$K$16:$K$41)</f>
        <v>0</v>
      </c>
      <c r="AA7" s="161">
        <f>SUMIF($G$16:$G$41,"CITY",$S$16:$S$41)</f>
        <v>0</v>
      </c>
    </row>
    <row r="8" spans="1:28" s="53" customFormat="1" ht="15.75" customHeight="1" x14ac:dyDescent="0.25">
      <c r="A8" s="873" t="s">
        <v>54</v>
      </c>
      <c r="B8" s="874"/>
      <c r="C8" s="874"/>
      <c r="D8" s="1163">
        <v>1</v>
      </c>
      <c r="E8" s="1184"/>
      <c r="F8" s="904" t="s">
        <v>381</v>
      </c>
      <c r="G8" s="905"/>
      <c r="H8" s="169"/>
      <c r="I8" s="1167"/>
      <c r="J8" s="1167"/>
      <c r="K8" s="1167"/>
      <c r="L8" s="1167"/>
      <c r="M8" s="881" t="s">
        <v>257</v>
      </c>
      <c r="N8" s="881"/>
      <c r="O8" s="51"/>
      <c r="P8" s="138"/>
      <c r="Q8" s="862" t="s">
        <v>303</v>
      </c>
      <c r="R8" s="863"/>
      <c r="S8" s="863"/>
      <c r="T8" s="863"/>
      <c r="U8" s="863"/>
      <c r="V8" s="863"/>
      <c r="W8" s="864"/>
      <c r="Y8" s="157" t="s">
        <v>230</v>
      </c>
      <c r="Z8" s="161">
        <f>SUMIF($G$16:$G$41,"COURT",$K$16:$K$41)</f>
        <v>17.149999999999999</v>
      </c>
      <c r="AA8" s="161">
        <f>SUMIF($G$16:$G$41,"COURT",$S$16:$S$41)</f>
        <v>0</v>
      </c>
    </row>
    <row r="9" spans="1:28" s="53" customFormat="1" ht="18" customHeight="1" thickBot="1" x14ac:dyDescent="0.3">
      <c r="A9" s="868" t="s">
        <v>53</v>
      </c>
      <c r="B9" s="869"/>
      <c r="C9" s="869"/>
      <c r="D9" s="870">
        <f>100%-D8</f>
        <v>0</v>
      </c>
      <c r="E9" s="871"/>
      <c r="F9" s="1107" t="s">
        <v>244</v>
      </c>
      <c r="G9" s="1086"/>
      <c r="H9" s="167"/>
      <c r="I9" s="1160"/>
      <c r="J9" s="1160"/>
      <c r="K9" s="1160"/>
      <c r="L9" s="1160"/>
      <c r="M9" s="872" t="s">
        <v>22</v>
      </c>
      <c r="N9" s="872"/>
      <c r="O9" s="54"/>
      <c r="P9" s="138"/>
      <c r="Q9" s="865"/>
      <c r="R9" s="866"/>
      <c r="S9" s="866"/>
      <c r="T9" s="866"/>
      <c r="U9" s="866"/>
      <c r="V9" s="866"/>
      <c r="W9" s="867"/>
      <c r="Y9" s="84" t="s">
        <v>446</v>
      </c>
      <c r="Z9" s="161">
        <f>SUMIF($G$16:$G$41,"CNTY or CTY",$K$16:$K$41)</f>
        <v>0</v>
      </c>
      <c r="AA9" s="161">
        <f>SUMIF($G$16:$G$41,"CNTY or CTY",$S$16:$S$41)</f>
        <v>0</v>
      </c>
    </row>
    <row r="10" spans="1:28" s="53" customFormat="1" ht="16.5" customHeight="1" thickBot="1" x14ac:dyDescent="0.3">
      <c r="A10" s="840" t="s">
        <v>276</v>
      </c>
      <c r="B10" s="841"/>
      <c r="C10" s="841"/>
      <c r="D10" s="1066">
        <f>O6+O10</f>
        <v>0</v>
      </c>
      <c r="E10" s="1067"/>
      <c r="F10" s="1107" t="s">
        <v>20</v>
      </c>
      <c r="G10" s="1086"/>
      <c r="H10" s="167"/>
      <c r="I10" s="1160"/>
      <c r="J10" s="1160"/>
      <c r="K10" s="1160"/>
      <c r="L10" s="1160"/>
      <c r="M10" s="848" t="s">
        <v>233</v>
      </c>
      <c r="N10" s="848"/>
      <c r="O10" s="194">
        <f>O8+O9*10</f>
        <v>0</v>
      </c>
      <c r="P10" s="218"/>
      <c r="Q10" s="849" t="s">
        <v>239</v>
      </c>
      <c r="R10" s="850"/>
      <c r="S10" s="850"/>
      <c r="T10" s="850"/>
      <c r="U10" s="850"/>
      <c r="V10" s="850"/>
      <c r="W10" s="851"/>
      <c r="Y10" s="158" t="s">
        <v>246</v>
      </c>
      <c r="Z10" s="134">
        <f>SUM(Z5:Z9)</f>
        <v>79</v>
      </c>
      <c r="AA10" s="134">
        <f>SUM(AA5:AA9)</f>
        <v>0</v>
      </c>
    </row>
    <row r="11" spans="1:28" s="53" customFormat="1" ht="16.5" customHeight="1" thickBot="1" x14ac:dyDescent="0.3">
      <c r="A11" s="852" t="s">
        <v>277</v>
      </c>
      <c r="B11" s="853"/>
      <c r="C11" s="853"/>
      <c r="D11" s="854">
        <f>ROUNDUP(D10/10,0)</f>
        <v>0</v>
      </c>
      <c r="E11" s="855"/>
      <c r="F11" s="1153" t="s">
        <v>21</v>
      </c>
      <c r="G11" s="1069"/>
      <c r="H11" s="168"/>
      <c r="I11" s="1154"/>
      <c r="J11" s="1154"/>
      <c r="K11" s="1154"/>
      <c r="L11" s="1354"/>
      <c r="M11" s="860" t="s">
        <v>568</v>
      </c>
      <c r="N11" s="1239"/>
      <c r="O11" s="632">
        <f>'1-DUI (Reduce Base)'!P11</f>
        <v>5</v>
      </c>
      <c r="P11" s="218"/>
      <c r="Q11" s="837" t="s">
        <v>430</v>
      </c>
      <c r="R11" s="838"/>
      <c r="S11" s="838"/>
      <c r="T11" s="838"/>
      <c r="U11" s="838"/>
      <c r="V11" s="838"/>
      <c r="W11" s="839"/>
      <c r="Z11" s="242">
        <f>Z10-K43</f>
        <v>0</v>
      </c>
      <c r="AA11" s="242">
        <f>AA10-S43</f>
        <v>0</v>
      </c>
    </row>
    <row r="12" spans="1:28" s="53" customFormat="1" ht="15.75" customHeight="1" thickBot="1" x14ac:dyDescent="0.3">
      <c r="A12" s="193"/>
      <c r="B12" s="193"/>
      <c r="C12" s="173"/>
      <c r="D12" s="173"/>
      <c r="E12" s="173"/>
      <c r="F12" s="60"/>
      <c r="G12" s="55"/>
      <c r="H12" s="56"/>
      <c r="I12" s="57"/>
      <c r="J12" s="57"/>
      <c r="K12" s="57"/>
      <c r="L12" s="57"/>
      <c r="O12" s="52"/>
      <c r="P12" s="52"/>
      <c r="Q12" s="52"/>
      <c r="R12" s="52"/>
      <c r="S12" s="52"/>
      <c r="T12" s="52"/>
      <c r="U12" s="58"/>
      <c r="V12" s="58"/>
      <c r="W12" s="56"/>
      <c r="AA12" s="59"/>
    </row>
    <row r="13" spans="1:28" s="98" customFormat="1" ht="18.75" customHeight="1" thickBot="1" x14ac:dyDescent="0.3">
      <c r="A13" s="174"/>
      <c r="B13" s="174"/>
      <c r="C13" s="174"/>
      <c r="D13" s="174"/>
      <c r="E13" s="174"/>
      <c r="F13" s="96"/>
      <c r="G13" s="97"/>
      <c r="I13" s="821" t="s">
        <v>297</v>
      </c>
      <c r="J13" s="822"/>
      <c r="K13" s="823"/>
      <c r="L13" s="99"/>
      <c r="M13" s="1155" t="s">
        <v>229</v>
      </c>
      <c r="N13" s="1156"/>
      <c r="O13" s="1157"/>
      <c r="P13" s="100"/>
      <c r="Q13" s="824" t="s">
        <v>295</v>
      </c>
      <c r="R13" s="825"/>
      <c r="S13" s="826"/>
      <c r="T13" s="207"/>
      <c r="U13" s="143"/>
      <c r="V13" s="143"/>
      <c r="W13" s="144"/>
      <c r="X13" s="97"/>
      <c r="Y13" s="97"/>
      <c r="Z13" s="97"/>
      <c r="AA13" s="97"/>
      <c r="AB13" s="97"/>
    </row>
    <row r="14" spans="1:28" ht="44.25" customHeight="1" thickBot="1" x14ac:dyDescent="0.3">
      <c r="A14" s="101">
        <v>0.02</v>
      </c>
      <c r="B14" s="101" t="s">
        <v>58</v>
      </c>
      <c r="C14" s="827" t="s">
        <v>226</v>
      </c>
      <c r="D14" s="828"/>
      <c r="E14" s="828"/>
      <c r="F14" s="829"/>
      <c r="G14" s="102" t="s">
        <v>249</v>
      </c>
      <c r="H14" s="103" t="s">
        <v>0</v>
      </c>
      <c r="I14" s="170" t="s">
        <v>298</v>
      </c>
      <c r="J14" s="835" t="s">
        <v>6</v>
      </c>
      <c r="K14" s="215" t="s">
        <v>299</v>
      </c>
      <c r="L14" s="61"/>
      <c r="M14" s="1122" t="s">
        <v>260</v>
      </c>
      <c r="N14" s="1123"/>
      <c r="O14" s="109" t="s">
        <v>248</v>
      </c>
      <c r="P14" s="110"/>
      <c r="Q14" s="564" t="s">
        <v>428</v>
      </c>
      <c r="R14" s="835" t="s">
        <v>6</v>
      </c>
      <c r="S14" s="215" t="s">
        <v>299</v>
      </c>
      <c r="T14" s="209"/>
      <c r="U14" s="189" t="s">
        <v>256</v>
      </c>
      <c r="V14" s="1148" t="s">
        <v>61</v>
      </c>
      <c r="W14" s="1150" t="s">
        <v>384</v>
      </c>
    </row>
    <row r="15" spans="1:28" ht="30.75" customHeight="1" thickBot="1" x14ac:dyDescent="0.3">
      <c r="A15" s="104"/>
      <c r="B15" s="104"/>
      <c r="C15" s="830"/>
      <c r="D15" s="831"/>
      <c r="E15" s="831"/>
      <c r="F15" s="832"/>
      <c r="G15" s="105"/>
      <c r="H15" s="105"/>
      <c r="I15" s="106"/>
      <c r="J15" s="836"/>
      <c r="K15" s="222" t="s">
        <v>42</v>
      </c>
      <c r="L15" s="62"/>
      <c r="M15" s="1120"/>
      <c r="N15" s="1121"/>
      <c r="O15" s="223" t="s">
        <v>43</v>
      </c>
      <c r="P15" s="110"/>
      <c r="Q15" s="224" t="e">
        <f>(Q35-Q31)/(I35-I31)</f>
        <v>#DIV/0!</v>
      </c>
      <c r="R15" s="836"/>
      <c r="S15" s="222" t="s">
        <v>44</v>
      </c>
      <c r="T15" s="209"/>
      <c r="U15" s="262" t="s">
        <v>300</v>
      </c>
      <c r="V15" s="1149"/>
      <c r="W15" s="1151"/>
    </row>
    <row r="16" spans="1:28" s="68" customFormat="1" ht="15" thickTop="1" x14ac:dyDescent="0.25">
      <c r="A16" s="63" t="s">
        <v>8</v>
      </c>
      <c r="B16" s="1073" t="s">
        <v>241</v>
      </c>
      <c r="C16" s="1146" t="s">
        <v>475</v>
      </c>
      <c r="D16" s="1105"/>
      <c r="E16" s="1105"/>
      <c r="F16" s="1105"/>
      <c r="G16" s="567" t="s">
        <v>230</v>
      </c>
      <c r="H16" s="65" t="s">
        <v>327</v>
      </c>
      <c r="I16" s="139">
        <v>17.5</v>
      </c>
      <c r="J16" s="147">
        <f t="shared" ref="J16:J34" si="0">IF(A16="Y", I16*2%,0)</f>
        <v>0.35000000000000003</v>
      </c>
      <c r="K16" s="180">
        <f t="shared" ref="K16:K34" si="1">I16-J16</f>
        <v>17.149999999999999</v>
      </c>
      <c r="L16" s="149"/>
      <c r="M16" s="466"/>
      <c r="N16" s="467"/>
      <c r="O16" s="172"/>
      <c r="P16" s="66"/>
      <c r="Q16" s="140">
        <f>IF($Q$43=0,,IF($Q$15*$I$16&gt;17.5,$I$16,$Q$15*$I$16))</f>
        <v>0</v>
      </c>
      <c r="R16" s="147">
        <f t="shared" ref="R16:R34" si="2">IF(A16="Y", Q16*2%,)</f>
        <v>0</v>
      </c>
      <c r="S16" s="151">
        <f>Q16-R16</f>
        <v>0</v>
      </c>
      <c r="T16" s="210"/>
      <c r="U16" s="145">
        <f>IF($U$15="BASE-UP   (B-A)", O16-K16,O16-S16)</f>
        <v>-17.149999999999999</v>
      </c>
      <c r="V16" s="549"/>
      <c r="W16" s="625"/>
      <c r="X16" s="114"/>
      <c r="Y16" s="114"/>
      <c r="Z16" s="114"/>
      <c r="AA16" s="114"/>
      <c r="AB16" s="114"/>
    </row>
    <row r="17" spans="1:28" s="68" customFormat="1" ht="14.5" x14ac:dyDescent="0.25">
      <c r="A17" s="63" t="s">
        <v>8</v>
      </c>
      <c r="B17" s="1073"/>
      <c r="C17" s="1147" t="s">
        <v>553</v>
      </c>
      <c r="D17" s="812"/>
      <c r="E17" s="812"/>
      <c r="F17" s="812"/>
      <c r="G17" s="566" t="s">
        <v>31</v>
      </c>
      <c r="H17" s="71" t="s">
        <v>75</v>
      </c>
      <c r="I17" s="141">
        <v>3</v>
      </c>
      <c r="J17" s="147">
        <f t="shared" si="0"/>
        <v>0.06</v>
      </c>
      <c r="K17" s="152">
        <f t="shared" si="1"/>
        <v>2.94</v>
      </c>
      <c r="L17" s="149"/>
      <c r="M17" s="804"/>
      <c r="N17" s="1078"/>
      <c r="O17" s="72"/>
      <c r="P17" s="66"/>
      <c r="Q17" s="140">
        <f>IF($Q$43=0,,IF($Q$15*$I$17&gt;3,$I$17,$Q$15*$I$17))</f>
        <v>0</v>
      </c>
      <c r="R17" s="147">
        <f t="shared" si="2"/>
        <v>0</v>
      </c>
      <c r="S17" s="152">
        <f>Q17-R17</f>
        <v>0</v>
      </c>
      <c r="T17" s="210"/>
      <c r="U17" s="145">
        <f t="shared" ref="U17:U41" si="3">IF($U$15="BASE-UP   (B-A)", O17-K17,O17-S17)</f>
        <v>-2.94</v>
      </c>
      <c r="V17" s="622"/>
      <c r="W17" s="469"/>
      <c r="X17" s="114"/>
      <c r="Y17" s="114"/>
      <c r="Z17" s="114"/>
      <c r="AA17" s="114"/>
      <c r="AB17" s="114"/>
    </row>
    <row r="18" spans="1:28" s="68" customFormat="1" ht="14.5" x14ac:dyDescent="0.25">
      <c r="A18" s="63" t="s">
        <v>8</v>
      </c>
      <c r="B18" s="1073"/>
      <c r="C18" s="1147" t="s">
        <v>554</v>
      </c>
      <c r="D18" s="812"/>
      <c r="E18" s="812"/>
      <c r="F18" s="812"/>
      <c r="G18" s="566" t="s">
        <v>31</v>
      </c>
      <c r="H18" s="71" t="s">
        <v>10</v>
      </c>
      <c r="I18" s="141">
        <v>10</v>
      </c>
      <c r="J18" s="147">
        <f t="shared" si="0"/>
        <v>0.2</v>
      </c>
      <c r="K18" s="152">
        <f t="shared" si="1"/>
        <v>9.8000000000000007</v>
      </c>
      <c r="L18" s="149"/>
      <c r="M18" s="804"/>
      <c r="N18" s="1078"/>
      <c r="O18" s="72"/>
      <c r="P18" s="66"/>
      <c r="Q18" s="140">
        <f>IF($Q$43=0,,IF($Q$15*$I$18&gt;10,$I$18,$Q$15*$I$18))</f>
        <v>0</v>
      </c>
      <c r="R18" s="147">
        <f t="shared" si="2"/>
        <v>0</v>
      </c>
      <c r="S18" s="152">
        <f t="shared" ref="S18:S40" si="4">Q18-R18</f>
        <v>0</v>
      </c>
      <c r="T18" s="210"/>
      <c r="U18" s="145">
        <f t="shared" si="3"/>
        <v>-9.8000000000000007</v>
      </c>
      <c r="V18" s="548"/>
      <c r="W18" s="546"/>
      <c r="X18" s="114"/>
      <c r="Y18" s="114"/>
      <c r="Z18" s="114"/>
      <c r="AA18" s="114"/>
      <c r="AB18" s="114"/>
    </row>
    <row r="19" spans="1:28" s="68" customFormat="1" ht="15.75" customHeight="1" x14ac:dyDescent="0.25">
      <c r="A19" s="63" t="s">
        <v>8</v>
      </c>
      <c r="B19" s="1073"/>
      <c r="C19" s="812" t="s">
        <v>212</v>
      </c>
      <c r="D19" s="812"/>
      <c r="E19" s="812"/>
      <c r="F19" s="812"/>
      <c r="G19" s="566" t="s">
        <v>32</v>
      </c>
      <c r="H19" s="71" t="s">
        <v>27</v>
      </c>
      <c r="I19" s="140">
        <f>(D10-SUM(I16:I18))*D8</f>
        <v>-30.5</v>
      </c>
      <c r="J19" s="147">
        <f t="shared" si="0"/>
        <v>-0.61</v>
      </c>
      <c r="K19" s="152">
        <f t="shared" si="1"/>
        <v>-29.89</v>
      </c>
      <c r="L19" s="149"/>
      <c r="M19" s="804"/>
      <c r="N19" s="1078"/>
      <c r="O19" s="72"/>
      <c r="P19" s="66"/>
      <c r="Q19" s="140">
        <f>IF($Q$43=0,,(($Q$15*$D$10)-SUM($Q$16:$Q$18))*D8)</f>
        <v>0</v>
      </c>
      <c r="R19" s="147">
        <f t="shared" si="2"/>
        <v>0</v>
      </c>
      <c r="S19" s="152">
        <f t="shared" si="4"/>
        <v>0</v>
      </c>
      <c r="T19" s="210"/>
      <c r="U19" s="145">
        <f t="shared" si="3"/>
        <v>29.89</v>
      </c>
      <c r="V19" s="548"/>
      <c r="W19" s="457"/>
      <c r="X19" s="114"/>
      <c r="Y19" s="114"/>
      <c r="Z19" s="114"/>
      <c r="AA19" s="114"/>
      <c r="AB19" s="114"/>
    </row>
    <row r="20" spans="1:28" s="68" customFormat="1" ht="15.75" customHeight="1" x14ac:dyDescent="0.25">
      <c r="A20" s="63" t="s">
        <v>8</v>
      </c>
      <c r="B20" s="1074"/>
      <c r="C20" s="812" t="s">
        <v>213</v>
      </c>
      <c r="D20" s="812"/>
      <c r="E20" s="812"/>
      <c r="F20" s="812"/>
      <c r="G20" s="566" t="s">
        <v>52</v>
      </c>
      <c r="H20" s="71" t="s">
        <v>25</v>
      </c>
      <c r="I20" s="140">
        <f>(D10-SUM(I16:I18))*D9</f>
        <v>0</v>
      </c>
      <c r="J20" s="147">
        <f t="shared" si="0"/>
        <v>0</v>
      </c>
      <c r="K20" s="152">
        <f t="shared" si="1"/>
        <v>0</v>
      </c>
      <c r="L20" s="149"/>
      <c r="M20" s="804"/>
      <c r="N20" s="1078"/>
      <c r="O20" s="72"/>
      <c r="P20" s="66"/>
      <c r="Q20" s="140">
        <f>IF($Q$43=0,,(($Q$15*$D$10)-SUM($Q$16:$Q$18))*D9)</f>
        <v>0</v>
      </c>
      <c r="R20" s="147">
        <f t="shared" si="2"/>
        <v>0</v>
      </c>
      <c r="S20" s="152">
        <f t="shared" si="4"/>
        <v>0</v>
      </c>
      <c r="T20" s="210"/>
      <c r="U20" s="145">
        <f t="shared" si="3"/>
        <v>0</v>
      </c>
      <c r="V20" s="548"/>
      <c r="W20" s="457"/>
      <c r="X20" s="114"/>
      <c r="Y20" s="114"/>
      <c r="Z20" s="114"/>
      <c r="AA20" s="114"/>
      <c r="AB20" s="114"/>
    </row>
    <row r="21" spans="1:28" s="68" customFormat="1" ht="15.75" customHeight="1" x14ac:dyDescent="0.25">
      <c r="A21" s="63" t="s">
        <v>8</v>
      </c>
      <c r="B21" s="69">
        <v>7</v>
      </c>
      <c r="C21" s="812" t="s">
        <v>546</v>
      </c>
      <c r="D21" s="812"/>
      <c r="E21" s="812"/>
      <c r="F21" s="812"/>
      <c r="G21" s="566" t="s">
        <v>31</v>
      </c>
      <c r="H21" s="71" t="s">
        <v>26</v>
      </c>
      <c r="I21" s="140">
        <f>$D$11*B21</f>
        <v>0</v>
      </c>
      <c r="J21" s="147">
        <f t="shared" si="0"/>
        <v>0</v>
      </c>
      <c r="K21" s="152">
        <f t="shared" si="1"/>
        <v>0</v>
      </c>
      <c r="L21" s="149"/>
      <c r="M21" s="804"/>
      <c r="N21" s="1078"/>
      <c r="O21" s="74"/>
      <c r="P21" s="75"/>
      <c r="Q21" s="140">
        <f t="shared" ref="Q21:Q30" si="5">IF($Q$43=0,,$Q$15*I21)</f>
        <v>0</v>
      </c>
      <c r="R21" s="147">
        <f t="shared" si="2"/>
        <v>0</v>
      </c>
      <c r="S21" s="152">
        <f t="shared" si="4"/>
        <v>0</v>
      </c>
      <c r="T21" s="210"/>
      <c r="U21" s="145">
        <f t="shared" si="3"/>
        <v>0</v>
      </c>
      <c r="V21" s="548"/>
      <c r="W21" s="457"/>
      <c r="X21" s="114"/>
      <c r="Y21" s="114"/>
      <c r="Z21" s="114"/>
      <c r="AA21" s="114"/>
      <c r="AB21" s="114"/>
    </row>
    <row r="22" spans="1:28" s="68" customFormat="1" ht="15.75" customHeight="1" x14ac:dyDescent="0.25">
      <c r="A22" s="63" t="s">
        <v>8</v>
      </c>
      <c r="B22" s="69">
        <v>3</v>
      </c>
      <c r="C22" s="812" t="s">
        <v>547</v>
      </c>
      <c r="D22" s="812"/>
      <c r="E22" s="812"/>
      <c r="F22" s="812"/>
      <c r="G22" s="566" t="s">
        <v>32</v>
      </c>
      <c r="H22" s="71" t="s">
        <v>27</v>
      </c>
      <c r="I22" s="140">
        <f t="shared" ref="I22:I33" si="6">$D$11*B22</f>
        <v>0</v>
      </c>
      <c r="J22" s="147">
        <f t="shared" si="0"/>
        <v>0</v>
      </c>
      <c r="K22" s="152">
        <f t="shared" si="1"/>
        <v>0</v>
      </c>
      <c r="L22" s="149"/>
      <c r="M22" s="804"/>
      <c r="N22" s="1078"/>
      <c r="O22" s="72"/>
      <c r="P22" s="66"/>
      <c r="Q22" s="140">
        <f t="shared" si="5"/>
        <v>0</v>
      </c>
      <c r="R22" s="147">
        <f t="shared" si="2"/>
        <v>0</v>
      </c>
      <c r="S22" s="152">
        <f t="shared" si="4"/>
        <v>0</v>
      </c>
      <c r="T22" s="210"/>
      <c r="U22" s="145">
        <f t="shared" si="3"/>
        <v>0</v>
      </c>
      <c r="V22" s="548"/>
      <c r="W22" s="457"/>
      <c r="X22" s="114"/>
      <c r="Y22" s="114"/>
      <c r="Z22" s="114"/>
      <c r="AA22" s="114"/>
      <c r="AB22" s="114"/>
    </row>
    <row r="23" spans="1:28" s="68" customFormat="1" ht="15.75" customHeight="1" x14ac:dyDescent="0.25">
      <c r="A23" s="63" t="s">
        <v>8</v>
      </c>
      <c r="B23" s="69">
        <v>1</v>
      </c>
      <c r="C23" s="804" t="s">
        <v>216</v>
      </c>
      <c r="D23" s="805"/>
      <c r="E23" s="805"/>
      <c r="F23" s="945"/>
      <c r="G23" s="566" t="s">
        <v>32</v>
      </c>
      <c r="H23" s="71" t="s">
        <v>55</v>
      </c>
      <c r="I23" s="140">
        <f t="shared" si="6"/>
        <v>0</v>
      </c>
      <c r="J23" s="147">
        <f t="shared" si="0"/>
        <v>0</v>
      </c>
      <c r="K23" s="152">
        <f t="shared" si="1"/>
        <v>0</v>
      </c>
      <c r="L23" s="149"/>
      <c r="M23" s="804"/>
      <c r="N23" s="1078"/>
      <c r="O23" s="72"/>
      <c r="P23" s="66"/>
      <c r="Q23" s="140">
        <f t="shared" si="5"/>
        <v>0</v>
      </c>
      <c r="R23" s="147">
        <f t="shared" si="2"/>
        <v>0</v>
      </c>
      <c r="S23" s="152">
        <f t="shared" si="4"/>
        <v>0</v>
      </c>
      <c r="T23" s="210"/>
      <c r="U23" s="145">
        <f t="shared" si="3"/>
        <v>0</v>
      </c>
      <c r="V23" s="548"/>
      <c r="W23" s="457"/>
      <c r="X23" s="114"/>
      <c r="Y23" s="114"/>
      <c r="Z23" s="114"/>
      <c r="AA23" s="114"/>
      <c r="AB23" s="114"/>
    </row>
    <row r="24" spans="1:28" s="68" customFormat="1" ht="15.75" customHeight="1" x14ac:dyDescent="0.25">
      <c r="A24" s="63" t="s">
        <v>8</v>
      </c>
      <c r="B24" s="69">
        <v>4</v>
      </c>
      <c r="C24" s="804" t="s">
        <v>466</v>
      </c>
      <c r="D24" s="805"/>
      <c r="E24" s="805"/>
      <c r="F24" s="945"/>
      <c r="G24" s="566" t="s">
        <v>31</v>
      </c>
      <c r="H24" s="71" t="s">
        <v>72</v>
      </c>
      <c r="I24" s="140">
        <f t="shared" si="6"/>
        <v>0</v>
      </c>
      <c r="J24" s="147">
        <f t="shared" si="0"/>
        <v>0</v>
      </c>
      <c r="K24" s="152">
        <f t="shared" si="1"/>
        <v>0</v>
      </c>
      <c r="L24" s="149"/>
      <c r="M24" s="804"/>
      <c r="N24" s="1078"/>
      <c r="O24" s="72"/>
      <c r="P24" s="66"/>
      <c r="Q24" s="140">
        <f t="shared" si="5"/>
        <v>0</v>
      </c>
      <c r="R24" s="147">
        <f t="shared" si="2"/>
        <v>0</v>
      </c>
      <c r="S24" s="152">
        <f t="shared" si="4"/>
        <v>0</v>
      </c>
      <c r="T24" s="210"/>
      <c r="U24" s="145">
        <f t="shared" si="3"/>
        <v>0</v>
      </c>
      <c r="V24" s="548"/>
      <c r="W24" s="457"/>
      <c r="X24" s="114"/>
      <c r="Y24" s="114"/>
      <c r="Z24" s="114"/>
      <c r="AA24" s="114"/>
      <c r="AB24" s="114"/>
    </row>
    <row r="25" spans="1:28" s="68" customFormat="1" ht="15.75" customHeight="1" x14ac:dyDescent="0.25">
      <c r="A25" s="63" t="s">
        <v>8</v>
      </c>
      <c r="B25" s="634">
        <f>'1-DUI (Reduce Base)'!$B$25</f>
        <v>0</v>
      </c>
      <c r="C25" s="812" t="s">
        <v>217</v>
      </c>
      <c r="D25" s="812"/>
      <c r="E25" s="813" t="str">
        <f>IF(SUM(B25:B29)=O11,"GC 76000 PA ($" &amp;O11 &amp; " for every 10) breakdown per local board of supervisor resolution (BOS).","ERROR! GC 76000 PA total is not $" &amp;O11&amp; ". Check Court's board resolution.")</f>
        <v>ERROR! GC 76000 PA total is not $5. Check Court's board resolution.</v>
      </c>
      <c r="F25" s="1143"/>
      <c r="G25" s="566" t="s">
        <v>32</v>
      </c>
      <c r="H25" s="71" t="s">
        <v>64</v>
      </c>
      <c r="I25" s="140">
        <f t="shared" si="6"/>
        <v>0</v>
      </c>
      <c r="J25" s="147">
        <f t="shared" si="0"/>
        <v>0</v>
      </c>
      <c r="K25" s="152">
        <f t="shared" si="1"/>
        <v>0</v>
      </c>
      <c r="L25" s="149"/>
      <c r="M25" s="804"/>
      <c r="N25" s="1078"/>
      <c r="O25" s="72"/>
      <c r="P25" s="66"/>
      <c r="Q25" s="140">
        <f t="shared" si="5"/>
        <v>0</v>
      </c>
      <c r="R25" s="147">
        <f t="shared" si="2"/>
        <v>0</v>
      </c>
      <c r="S25" s="152">
        <f t="shared" si="4"/>
        <v>0</v>
      </c>
      <c r="T25" s="210"/>
      <c r="U25" s="145">
        <f t="shared" si="3"/>
        <v>0</v>
      </c>
      <c r="V25" s="548"/>
      <c r="W25" s="457"/>
      <c r="X25" s="114"/>
      <c r="Y25" s="114"/>
      <c r="Z25" s="114"/>
      <c r="AA25" s="114"/>
      <c r="AB25" s="114"/>
    </row>
    <row r="26" spans="1:28" s="68" customFormat="1" ht="15.75" customHeight="1" x14ac:dyDescent="0.25">
      <c r="A26" s="63" t="s">
        <v>8</v>
      </c>
      <c r="B26" s="634">
        <f>'1-DUI (Reduce Base)'!$B$26</f>
        <v>1</v>
      </c>
      <c r="C26" s="812" t="s">
        <v>218</v>
      </c>
      <c r="D26" s="812"/>
      <c r="E26" s="815"/>
      <c r="F26" s="1144"/>
      <c r="G26" s="566" t="s">
        <v>32</v>
      </c>
      <c r="H26" s="71" t="s">
        <v>35</v>
      </c>
      <c r="I26" s="140">
        <f t="shared" si="6"/>
        <v>0</v>
      </c>
      <c r="J26" s="147">
        <f t="shared" si="0"/>
        <v>0</v>
      </c>
      <c r="K26" s="152">
        <f t="shared" si="1"/>
        <v>0</v>
      </c>
      <c r="L26" s="149"/>
      <c r="M26" s="804"/>
      <c r="N26" s="1078"/>
      <c r="O26" s="72"/>
      <c r="P26" s="66"/>
      <c r="Q26" s="140">
        <f t="shared" si="5"/>
        <v>0</v>
      </c>
      <c r="R26" s="147">
        <f t="shared" si="2"/>
        <v>0</v>
      </c>
      <c r="S26" s="152">
        <f t="shared" si="4"/>
        <v>0</v>
      </c>
      <c r="T26" s="210"/>
      <c r="U26" s="145">
        <f t="shared" si="3"/>
        <v>0</v>
      </c>
      <c r="V26" s="548"/>
      <c r="W26" s="457"/>
      <c r="X26" s="114"/>
      <c r="Y26" s="114"/>
      <c r="Z26" s="114"/>
      <c r="AA26" s="114"/>
      <c r="AB26" s="114"/>
    </row>
    <row r="27" spans="1:28" s="68" customFormat="1" ht="15.75" customHeight="1" x14ac:dyDescent="0.25">
      <c r="A27" s="63" t="s">
        <v>8</v>
      </c>
      <c r="B27" s="634">
        <f>'1-DUI (Reduce Base)'!$B$27</f>
        <v>1</v>
      </c>
      <c r="C27" s="812" t="s">
        <v>219</v>
      </c>
      <c r="D27" s="812"/>
      <c r="E27" s="815"/>
      <c r="F27" s="1144"/>
      <c r="G27" s="566" t="s">
        <v>32</v>
      </c>
      <c r="H27" s="71" t="s">
        <v>65</v>
      </c>
      <c r="I27" s="140">
        <f t="shared" si="6"/>
        <v>0</v>
      </c>
      <c r="J27" s="147">
        <f t="shared" si="0"/>
        <v>0</v>
      </c>
      <c r="K27" s="152">
        <f t="shared" si="1"/>
        <v>0</v>
      </c>
      <c r="L27" s="149"/>
      <c r="M27" s="804"/>
      <c r="N27" s="1078"/>
      <c r="O27" s="72"/>
      <c r="P27" s="66"/>
      <c r="Q27" s="140">
        <f t="shared" si="5"/>
        <v>0</v>
      </c>
      <c r="R27" s="147">
        <f t="shared" si="2"/>
        <v>0</v>
      </c>
      <c r="S27" s="152">
        <f t="shared" si="4"/>
        <v>0</v>
      </c>
      <c r="T27" s="210"/>
      <c r="U27" s="145">
        <f t="shared" si="3"/>
        <v>0</v>
      </c>
      <c r="V27" s="548"/>
      <c r="W27" s="457"/>
      <c r="X27" s="114"/>
      <c r="Y27" s="114"/>
      <c r="Z27" s="114"/>
      <c r="AA27" s="114"/>
      <c r="AB27" s="114"/>
    </row>
    <row r="28" spans="1:28" s="68" customFormat="1" ht="15.75" customHeight="1" x14ac:dyDescent="0.25">
      <c r="A28" s="63" t="s">
        <v>8</v>
      </c>
      <c r="B28" s="634">
        <f>'1-DUI (Reduce Base)'!$B$28</f>
        <v>0.5</v>
      </c>
      <c r="C28" s="812" t="s">
        <v>401</v>
      </c>
      <c r="D28" s="812"/>
      <c r="E28" s="815"/>
      <c r="F28" s="1144"/>
      <c r="G28" s="566" t="s">
        <v>32</v>
      </c>
      <c r="H28" s="71" t="s">
        <v>65</v>
      </c>
      <c r="I28" s="140">
        <f>$D$11*B28</f>
        <v>0</v>
      </c>
      <c r="J28" s="147">
        <f>IF(A28="Y", I28*2%,0)</f>
        <v>0</v>
      </c>
      <c r="K28" s="152">
        <f t="shared" si="1"/>
        <v>0</v>
      </c>
      <c r="L28" s="149"/>
      <c r="M28" s="804"/>
      <c r="N28" s="1078"/>
      <c r="O28" s="72"/>
      <c r="P28" s="66"/>
      <c r="Q28" s="140">
        <f t="shared" si="5"/>
        <v>0</v>
      </c>
      <c r="R28" s="147">
        <f t="shared" si="2"/>
        <v>0</v>
      </c>
      <c r="S28" s="152">
        <f>Q28-R28</f>
        <v>0</v>
      </c>
      <c r="T28" s="210"/>
      <c r="U28" s="145">
        <f>IF($U$15="BASE-UP   (B-A)", O28-K28,O28-S28)</f>
        <v>0</v>
      </c>
      <c r="V28" s="548"/>
      <c r="W28" s="457"/>
      <c r="X28" s="114"/>
      <c r="Y28" s="114"/>
      <c r="Z28" s="114"/>
      <c r="AA28" s="114"/>
      <c r="AB28" s="114"/>
    </row>
    <row r="29" spans="1:28" s="68" customFormat="1" ht="15.75" customHeight="1" x14ac:dyDescent="0.25">
      <c r="A29" s="63" t="s">
        <v>8</v>
      </c>
      <c r="B29" s="634">
        <f>'1-DUI (Reduce Base)'!$B$29</f>
        <v>1</v>
      </c>
      <c r="C29" s="812" t="s">
        <v>254</v>
      </c>
      <c r="D29" s="812"/>
      <c r="E29" s="817"/>
      <c r="F29" s="1145"/>
      <c r="G29" s="566" t="s">
        <v>32</v>
      </c>
      <c r="H29" s="71"/>
      <c r="I29" s="140">
        <f t="shared" si="6"/>
        <v>0</v>
      </c>
      <c r="J29" s="147">
        <f t="shared" si="0"/>
        <v>0</v>
      </c>
      <c r="K29" s="152">
        <f t="shared" si="1"/>
        <v>0</v>
      </c>
      <c r="L29" s="149"/>
      <c r="M29" s="804"/>
      <c r="N29" s="1078"/>
      <c r="O29" s="72"/>
      <c r="P29" s="66"/>
      <c r="Q29" s="140">
        <f t="shared" si="5"/>
        <v>0</v>
      </c>
      <c r="R29" s="147">
        <f t="shared" si="2"/>
        <v>0</v>
      </c>
      <c r="S29" s="152">
        <f t="shared" si="4"/>
        <v>0</v>
      </c>
      <c r="T29" s="210"/>
      <c r="U29" s="145">
        <f t="shared" si="3"/>
        <v>0</v>
      </c>
      <c r="V29" s="548"/>
      <c r="W29" s="457"/>
      <c r="X29" s="114"/>
      <c r="Y29" s="114"/>
      <c r="Z29" s="114"/>
      <c r="AA29" s="114"/>
      <c r="AB29" s="114"/>
    </row>
    <row r="30" spans="1:28" s="68" customFormat="1" ht="15.75" customHeight="1" x14ac:dyDescent="0.25">
      <c r="A30" s="63" t="s">
        <v>8</v>
      </c>
      <c r="B30" s="634">
        <f>'1-DUI (Reduce Base)'!$B$30</f>
        <v>2</v>
      </c>
      <c r="C30" s="804" t="s">
        <v>286</v>
      </c>
      <c r="D30" s="805"/>
      <c r="E30" s="805"/>
      <c r="F30" s="945"/>
      <c r="G30" s="566" t="s">
        <v>32</v>
      </c>
      <c r="H30" s="71" t="s">
        <v>36</v>
      </c>
      <c r="I30" s="140">
        <f t="shared" si="6"/>
        <v>0</v>
      </c>
      <c r="J30" s="147">
        <f t="shared" si="0"/>
        <v>0</v>
      </c>
      <c r="K30" s="152">
        <f t="shared" si="1"/>
        <v>0</v>
      </c>
      <c r="L30" s="149"/>
      <c r="M30" s="804"/>
      <c r="N30" s="1078"/>
      <c r="O30" s="72"/>
      <c r="P30" s="66"/>
      <c r="Q30" s="140">
        <f t="shared" si="5"/>
        <v>0</v>
      </c>
      <c r="R30" s="147">
        <f t="shared" si="2"/>
        <v>0</v>
      </c>
      <c r="S30" s="152">
        <f t="shared" si="4"/>
        <v>0</v>
      </c>
      <c r="T30" s="210"/>
      <c r="U30" s="145">
        <f t="shared" si="3"/>
        <v>0</v>
      </c>
      <c r="V30" s="548"/>
      <c r="W30" s="457"/>
      <c r="X30" s="114"/>
      <c r="Y30" s="114"/>
      <c r="Z30" s="114"/>
      <c r="AA30" s="114"/>
      <c r="AB30" s="114"/>
    </row>
    <row r="31" spans="1:28" s="68" customFormat="1" ht="15.75" customHeight="1" x14ac:dyDescent="0.25">
      <c r="A31" s="63" t="s">
        <v>8</v>
      </c>
      <c r="B31" s="69"/>
      <c r="C31" s="804" t="s">
        <v>385</v>
      </c>
      <c r="D31" s="805"/>
      <c r="E31" s="805"/>
      <c r="F31" s="945"/>
      <c r="G31" s="566" t="s">
        <v>31</v>
      </c>
      <c r="H31" s="81" t="s">
        <v>39</v>
      </c>
      <c r="I31" s="186">
        <v>4</v>
      </c>
      <c r="J31" s="147">
        <f>IF(A31="Y", I31*2%,0)</f>
        <v>0.08</v>
      </c>
      <c r="K31" s="152">
        <f t="shared" si="1"/>
        <v>3.92</v>
      </c>
      <c r="L31" s="149"/>
      <c r="M31" s="804"/>
      <c r="N31" s="1078"/>
      <c r="O31" s="72"/>
      <c r="P31" s="66"/>
      <c r="Q31" s="140">
        <f>IF($Q$43=0,,I31)</f>
        <v>0</v>
      </c>
      <c r="R31" s="147">
        <f t="shared" si="2"/>
        <v>0</v>
      </c>
      <c r="S31" s="152">
        <f>Q31-R31</f>
        <v>0</v>
      </c>
      <c r="T31" s="210"/>
      <c r="U31" s="145">
        <f>IF($U$15="BASE-UP   (B-A)", O31-K31,O31-S31)</f>
        <v>-3.92</v>
      </c>
      <c r="V31" s="548"/>
      <c r="W31" s="457"/>
      <c r="X31" s="114"/>
      <c r="Y31" s="114"/>
      <c r="Z31" s="114"/>
      <c r="AA31" s="114"/>
      <c r="AB31" s="114"/>
    </row>
    <row r="32" spans="1:28" s="68" customFormat="1" ht="15.75" customHeight="1" x14ac:dyDescent="0.25">
      <c r="A32" s="63" t="s">
        <v>8</v>
      </c>
      <c r="B32" s="634">
        <f>'1-DUI (Reduce Base)'!$B$32</f>
        <v>2</v>
      </c>
      <c r="C32" s="804" t="s">
        <v>555</v>
      </c>
      <c r="D32" s="805"/>
      <c r="E32" s="945"/>
      <c r="F32" s="1008" t="s">
        <v>281</v>
      </c>
      <c r="G32" s="566" t="s">
        <v>31</v>
      </c>
      <c r="H32" s="71" t="s">
        <v>37</v>
      </c>
      <c r="I32" s="140">
        <f t="shared" si="6"/>
        <v>0</v>
      </c>
      <c r="J32" s="147">
        <f t="shared" si="0"/>
        <v>0</v>
      </c>
      <c r="K32" s="152">
        <f t="shared" si="1"/>
        <v>0</v>
      </c>
      <c r="L32" s="149"/>
      <c r="M32" s="804"/>
      <c r="N32" s="1078"/>
      <c r="O32" s="72"/>
      <c r="P32" s="66"/>
      <c r="Q32" s="140">
        <f>IF($Q$43=0,,$Q$15*I32)</f>
        <v>0</v>
      </c>
      <c r="R32" s="147">
        <f t="shared" si="2"/>
        <v>0</v>
      </c>
      <c r="S32" s="152">
        <f t="shared" si="4"/>
        <v>0</v>
      </c>
      <c r="T32" s="210"/>
      <c r="U32" s="145">
        <f t="shared" si="3"/>
        <v>0</v>
      </c>
      <c r="V32" s="548"/>
      <c r="W32" s="457"/>
      <c r="X32" s="114"/>
      <c r="Y32" s="114"/>
      <c r="Z32" s="114"/>
      <c r="AA32" s="114"/>
      <c r="AB32" s="114"/>
    </row>
    <row r="33" spans="1:28" s="68" customFormat="1" ht="15.75" customHeight="1" x14ac:dyDescent="0.25">
      <c r="A33" s="63" t="s">
        <v>8</v>
      </c>
      <c r="B33" s="164">
        <f>5-B32</f>
        <v>3</v>
      </c>
      <c r="C33" s="804" t="s">
        <v>556</v>
      </c>
      <c r="D33" s="805"/>
      <c r="E33" s="945"/>
      <c r="F33" s="1009"/>
      <c r="G33" s="566" t="s">
        <v>31</v>
      </c>
      <c r="H33" s="71" t="s">
        <v>197</v>
      </c>
      <c r="I33" s="140">
        <f t="shared" si="6"/>
        <v>0</v>
      </c>
      <c r="J33" s="147">
        <f t="shared" si="0"/>
        <v>0</v>
      </c>
      <c r="K33" s="152">
        <f t="shared" si="1"/>
        <v>0</v>
      </c>
      <c r="L33" s="149"/>
      <c r="M33" s="804"/>
      <c r="N33" s="1078"/>
      <c r="O33" s="72"/>
      <c r="P33" s="66"/>
      <c r="Q33" s="140">
        <f>IF($Q$43=0,,$Q$15*I33)</f>
        <v>0</v>
      </c>
      <c r="R33" s="147">
        <f t="shared" si="2"/>
        <v>0</v>
      </c>
      <c r="S33" s="152">
        <f t="shared" si="4"/>
        <v>0</v>
      </c>
      <c r="T33" s="210"/>
      <c r="U33" s="145">
        <f t="shared" si="3"/>
        <v>0</v>
      </c>
      <c r="V33" s="548"/>
      <c r="W33" s="457"/>
      <c r="X33" s="114"/>
      <c r="Y33" s="114"/>
      <c r="Z33" s="114"/>
      <c r="AA33" s="114"/>
      <c r="AB33" s="114"/>
    </row>
    <row r="34" spans="1:28" s="68" customFormat="1" ht="15.75" customHeight="1" x14ac:dyDescent="0.25">
      <c r="A34" s="63" t="s">
        <v>7</v>
      </c>
      <c r="B34" s="69"/>
      <c r="C34" s="804" t="s">
        <v>220</v>
      </c>
      <c r="D34" s="805"/>
      <c r="E34" s="805"/>
      <c r="F34" s="945"/>
      <c r="G34" s="566" t="s">
        <v>31</v>
      </c>
      <c r="H34" s="71" t="s">
        <v>10</v>
      </c>
      <c r="I34" s="140">
        <f>$D$10*20%</f>
        <v>0</v>
      </c>
      <c r="J34" s="147">
        <f t="shared" si="0"/>
        <v>0</v>
      </c>
      <c r="K34" s="152">
        <f t="shared" si="1"/>
        <v>0</v>
      </c>
      <c r="L34" s="149"/>
      <c r="M34" s="804"/>
      <c r="N34" s="1078"/>
      <c r="O34" s="72"/>
      <c r="P34" s="66"/>
      <c r="Q34" s="140">
        <f>IF($Q$43=0,,$Q$15*I34)</f>
        <v>0</v>
      </c>
      <c r="R34" s="147">
        <f t="shared" si="2"/>
        <v>0</v>
      </c>
      <c r="S34" s="152">
        <f t="shared" si="4"/>
        <v>0</v>
      </c>
      <c r="T34" s="210"/>
      <c r="U34" s="145">
        <f t="shared" si="3"/>
        <v>0</v>
      </c>
      <c r="V34" s="548"/>
      <c r="W34" s="457"/>
      <c r="X34" s="114"/>
      <c r="Y34" s="114"/>
      <c r="Z34" s="114"/>
      <c r="AA34" s="114"/>
      <c r="AB34" s="114"/>
    </row>
    <row r="35" spans="1:28" s="80" customFormat="1" ht="15.75" customHeight="1" x14ac:dyDescent="0.25">
      <c r="A35" s="63"/>
      <c r="B35" s="76"/>
      <c r="C35" s="810" t="s">
        <v>221</v>
      </c>
      <c r="D35" s="811"/>
      <c r="E35" s="811"/>
      <c r="F35" s="946"/>
      <c r="G35" s="573"/>
      <c r="H35" s="78"/>
      <c r="I35" s="142">
        <f>SUM(I16:I34)</f>
        <v>4</v>
      </c>
      <c r="J35" s="147"/>
      <c r="K35" s="153">
        <f>SUM(K16:K34)</f>
        <v>3.92</v>
      </c>
      <c r="L35" s="150"/>
      <c r="M35" s="804"/>
      <c r="N35" s="1078"/>
      <c r="O35" s="166">
        <f>SUM(O16:O34)</f>
        <v>0</v>
      </c>
      <c r="P35" s="111"/>
      <c r="Q35" s="142">
        <f>IF($Q$43=0,,Q43-SUM(Q36:Q40))</f>
        <v>0</v>
      </c>
      <c r="R35" s="147"/>
      <c r="S35" s="153">
        <f>SUM(S16:S34)</f>
        <v>0</v>
      </c>
      <c r="T35" s="211"/>
      <c r="U35" s="145">
        <f>SUM(U16:U34)</f>
        <v>-3.92</v>
      </c>
      <c r="V35" s="548"/>
      <c r="W35" s="458"/>
      <c r="X35" s="129"/>
      <c r="Y35" s="129"/>
      <c r="Z35" s="129"/>
      <c r="AA35" s="129"/>
      <c r="AB35" s="129"/>
    </row>
    <row r="36" spans="1:28" s="68" customFormat="1" ht="15.75" customHeight="1" x14ac:dyDescent="0.25">
      <c r="A36" s="63" t="s">
        <v>7</v>
      </c>
      <c r="B36" s="69"/>
      <c r="C36" s="804" t="s">
        <v>419</v>
      </c>
      <c r="D36" s="805"/>
      <c r="E36" s="805"/>
      <c r="F36" s="945"/>
      <c r="G36" s="566" t="s">
        <v>31</v>
      </c>
      <c r="H36" s="81"/>
      <c r="I36" s="186">
        <v>40</v>
      </c>
      <c r="J36" s="147">
        <f>IF(A36="Y", I36*2%,0)</f>
        <v>0</v>
      </c>
      <c r="K36" s="152">
        <f>I36-J36</f>
        <v>40</v>
      </c>
      <c r="L36" s="149"/>
      <c r="M36" s="449"/>
      <c r="N36" s="450"/>
      <c r="O36" s="72"/>
      <c r="P36" s="66"/>
      <c r="Q36" s="140">
        <f>IF($Q$43=0,,I36)</f>
        <v>0</v>
      </c>
      <c r="R36" s="147">
        <f>IF(A36="Y", Q36*2%,)</f>
        <v>0</v>
      </c>
      <c r="S36" s="152">
        <f>Q36-R36</f>
        <v>0</v>
      </c>
      <c r="T36" s="210"/>
      <c r="U36" s="145">
        <f>IF($U$15="BASE-UP   (B-A)", O36-K36,O36-S36)</f>
        <v>-40</v>
      </c>
      <c r="V36" s="548"/>
      <c r="W36" s="457"/>
      <c r="X36" s="114"/>
      <c r="Y36" s="114"/>
      <c r="Z36" s="114"/>
      <c r="AA36" s="114"/>
      <c r="AB36" s="114"/>
    </row>
    <row r="37" spans="1:28" s="68" customFormat="1" ht="15.75" customHeight="1" x14ac:dyDescent="0.25">
      <c r="A37" s="63" t="s">
        <v>7</v>
      </c>
      <c r="B37" s="69"/>
      <c r="C37" s="806" t="s">
        <v>259</v>
      </c>
      <c r="D37" s="807"/>
      <c r="E37" s="807"/>
      <c r="F37" s="944"/>
      <c r="G37" s="574" t="s">
        <v>31</v>
      </c>
      <c r="H37" s="82" t="s">
        <v>197</v>
      </c>
      <c r="I37" s="186">
        <v>35</v>
      </c>
      <c r="J37" s="147">
        <f>IF(A37="Y", I37*2%,0)</f>
        <v>0</v>
      </c>
      <c r="K37" s="152">
        <f>I37-J37</f>
        <v>35</v>
      </c>
      <c r="L37" s="149"/>
      <c r="M37" s="804"/>
      <c r="N37" s="1078"/>
      <c r="O37" s="72"/>
      <c r="P37" s="66"/>
      <c r="Q37" s="140">
        <f>IF($Q$43=0,,I37)</f>
        <v>0</v>
      </c>
      <c r="R37" s="147">
        <f>IF(A37="Y", Q37*2%,)</f>
        <v>0</v>
      </c>
      <c r="S37" s="152">
        <f t="shared" si="4"/>
        <v>0</v>
      </c>
      <c r="T37" s="210"/>
      <c r="U37" s="145">
        <f t="shared" si="3"/>
        <v>-35</v>
      </c>
      <c r="V37" s="548"/>
      <c r="W37" s="457"/>
      <c r="X37" s="114"/>
      <c r="Y37" s="114"/>
      <c r="Z37" s="114"/>
      <c r="AA37" s="114"/>
      <c r="AB37" s="114"/>
    </row>
    <row r="38" spans="1:28" s="68" customFormat="1" ht="15.75" customHeight="1" x14ac:dyDescent="0.25">
      <c r="A38" s="63" t="s">
        <v>7</v>
      </c>
      <c r="B38" s="83"/>
      <c r="C38" s="806" t="s">
        <v>421</v>
      </c>
      <c r="D38" s="807"/>
      <c r="E38" s="807"/>
      <c r="F38" s="944"/>
      <c r="G38" s="574" t="s">
        <v>230</v>
      </c>
      <c r="H38" s="82" t="s">
        <v>24</v>
      </c>
      <c r="I38" s="186"/>
      <c r="J38" s="147">
        <f>IF(A38="Y", I38*2%,0)</f>
        <v>0</v>
      </c>
      <c r="K38" s="152">
        <f>I38-J38</f>
        <v>0</v>
      </c>
      <c r="L38" s="149"/>
      <c r="M38" s="804"/>
      <c r="N38" s="1078"/>
      <c r="O38" s="72"/>
      <c r="P38" s="66"/>
      <c r="Q38" s="140">
        <f>IF($Q$43=0,,I38)</f>
        <v>0</v>
      </c>
      <c r="R38" s="147">
        <f>IF(A38="Y", Q38*2%,)</f>
        <v>0</v>
      </c>
      <c r="S38" s="152">
        <f t="shared" si="4"/>
        <v>0</v>
      </c>
      <c r="T38" s="210"/>
      <c r="U38" s="145">
        <f t="shared" si="3"/>
        <v>0</v>
      </c>
      <c r="V38" s="548"/>
      <c r="W38" s="457"/>
      <c r="X38" s="114"/>
      <c r="Y38" s="114"/>
      <c r="Z38" s="114"/>
      <c r="AA38" s="114"/>
      <c r="AB38" s="114"/>
    </row>
    <row r="39" spans="1:28" s="68" customFormat="1" ht="45" customHeight="1" x14ac:dyDescent="0.25">
      <c r="A39" s="63" t="s">
        <v>7</v>
      </c>
      <c r="B39" s="83"/>
      <c r="C39" s="804" t="s">
        <v>517</v>
      </c>
      <c r="D39" s="805"/>
      <c r="E39" s="805"/>
      <c r="F39" s="945"/>
      <c r="G39" s="574" t="s">
        <v>230</v>
      </c>
      <c r="H39" s="82" t="s">
        <v>82</v>
      </c>
      <c r="I39" s="186"/>
      <c r="J39" s="147">
        <f>IF(A39="Y", I39*2%,0)</f>
        <v>0</v>
      </c>
      <c r="K39" s="152">
        <f>I39-J39</f>
        <v>0</v>
      </c>
      <c r="L39" s="149"/>
      <c r="M39" s="804"/>
      <c r="N39" s="1078"/>
      <c r="O39" s="72"/>
      <c r="P39" s="66"/>
      <c r="Q39" s="140">
        <f>IF($Q$43=0,,I39)</f>
        <v>0</v>
      </c>
      <c r="R39" s="147">
        <f>IF(A39="Y", Q39*2%,)</f>
        <v>0</v>
      </c>
      <c r="S39" s="152">
        <f t="shared" si="4"/>
        <v>0</v>
      </c>
      <c r="T39" s="210"/>
      <c r="U39" s="145">
        <f t="shared" si="3"/>
        <v>0</v>
      </c>
      <c r="V39" s="548"/>
      <c r="W39" s="457"/>
      <c r="X39" s="114"/>
      <c r="Y39" s="114"/>
      <c r="Z39" s="114"/>
      <c r="AA39" s="114"/>
      <c r="AB39" s="114"/>
    </row>
    <row r="40" spans="1:28" s="68" customFormat="1" ht="15.75" customHeight="1" x14ac:dyDescent="0.25">
      <c r="A40" s="63" t="s">
        <v>7</v>
      </c>
      <c r="B40" s="83"/>
      <c r="C40" s="806" t="s">
        <v>225</v>
      </c>
      <c r="D40" s="807"/>
      <c r="E40" s="807"/>
      <c r="F40" s="944"/>
      <c r="G40" s="574" t="s">
        <v>31</v>
      </c>
      <c r="H40" s="82" t="s">
        <v>80</v>
      </c>
      <c r="I40" s="187"/>
      <c r="J40" s="147">
        <f>IF(A40="Y", I40*2%,0)</f>
        <v>0</v>
      </c>
      <c r="K40" s="152">
        <f>I40-J40</f>
        <v>0</v>
      </c>
      <c r="L40" s="149"/>
      <c r="M40" s="804"/>
      <c r="N40" s="1078"/>
      <c r="O40" s="72"/>
      <c r="P40" s="66"/>
      <c r="Q40" s="140">
        <f>IF($Q$43=0,,I40)</f>
        <v>0</v>
      </c>
      <c r="R40" s="147">
        <f>IF(A40="Y", Q40*2%,)</f>
        <v>0</v>
      </c>
      <c r="S40" s="152">
        <f t="shared" si="4"/>
        <v>0</v>
      </c>
      <c r="T40" s="210"/>
      <c r="U40" s="145">
        <f t="shared" si="3"/>
        <v>0</v>
      </c>
      <c r="V40" s="548"/>
      <c r="W40" s="457"/>
      <c r="X40" s="114"/>
      <c r="Y40" s="114"/>
      <c r="Z40" s="114"/>
      <c r="AA40" s="114"/>
      <c r="AB40" s="114"/>
    </row>
    <row r="41" spans="1:28" s="68" customFormat="1" ht="30" customHeight="1" x14ac:dyDescent="0.25">
      <c r="A41" s="83" t="s">
        <v>7</v>
      </c>
      <c r="B41" s="83"/>
      <c r="C41" s="804" t="s">
        <v>492</v>
      </c>
      <c r="D41" s="805"/>
      <c r="E41" s="805"/>
      <c r="F41" s="945"/>
      <c r="G41" s="574" t="s">
        <v>31</v>
      </c>
      <c r="H41" s="85" t="s">
        <v>41</v>
      </c>
      <c r="I41" s="86"/>
      <c r="J41" s="148"/>
      <c r="K41" s="154">
        <f>J42</f>
        <v>8.0000000000000113E-2</v>
      </c>
      <c r="L41" s="149"/>
      <c r="M41" s="804"/>
      <c r="N41" s="1078"/>
      <c r="O41" s="72"/>
      <c r="P41" s="66"/>
      <c r="Q41" s="93"/>
      <c r="R41" s="148"/>
      <c r="S41" s="154">
        <f>R42</f>
        <v>0</v>
      </c>
      <c r="T41" s="212"/>
      <c r="U41" s="145">
        <f t="shared" si="3"/>
        <v>-8.0000000000000113E-2</v>
      </c>
      <c r="V41" s="548"/>
      <c r="W41" s="457"/>
      <c r="X41" s="114"/>
      <c r="Y41" s="114"/>
      <c r="Z41" s="114"/>
      <c r="AA41" s="114"/>
      <c r="AB41" s="114"/>
    </row>
    <row r="42" spans="1:28" s="114" customFormat="1" ht="14.5" x14ac:dyDescent="0.25">
      <c r="A42" s="112"/>
      <c r="B42" s="112"/>
      <c r="C42" s="112"/>
      <c r="D42" s="112"/>
      <c r="E42" s="113"/>
      <c r="F42" s="113"/>
      <c r="J42" s="115">
        <f>SUM(J16:J41)</f>
        <v>8.0000000000000113E-2</v>
      </c>
      <c r="K42" s="155"/>
      <c r="O42" s="116"/>
      <c r="P42" s="117"/>
      <c r="R42" s="115">
        <f>SUM(R16:R41)</f>
        <v>0</v>
      </c>
      <c r="S42" s="155"/>
      <c r="T42" s="213"/>
      <c r="U42" s="165"/>
      <c r="V42" s="165"/>
      <c r="W42" s="118"/>
    </row>
    <row r="43" spans="1:28" s="95" customFormat="1" ht="16" thickBot="1" x14ac:dyDescent="0.3">
      <c r="A43" s="130"/>
      <c r="B43" s="130"/>
      <c r="C43" s="130"/>
      <c r="D43" s="130"/>
      <c r="E43" s="119"/>
      <c r="F43" s="131" t="s">
        <v>81</v>
      </c>
      <c r="G43" s="132"/>
      <c r="H43" s="133" t="s">
        <v>1</v>
      </c>
      <c r="I43" s="134">
        <f>SUM(I35:I42)</f>
        <v>79</v>
      </c>
      <c r="J43" s="135"/>
      <c r="K43" s="156">
        <f>SUM(K35:K42)</f>
        <v>79</v>
      </c>
      <c r="L43" s="136"/>
      <c r="M43" s="130" t="s">
        <v>1</v>
      </c>
      <c r="N43" s="130"/>
      <c r="O43" s="137">
        <f>SUM(O35:O42)</f>
        <v>0</v>
      </c>
      <c r="P43" s="136"/>
      <c r="Q43" s="188"/>
      <c r="R43" s="135"/>
      <c r="S43" s="156">
        <f>SUM(S35:S42)</f>
        <v>0</v>
      </c>
      <c r="T43" s="214"/>
      <c r="U43" s="175">
        <f>SUM(U35:U42)</f>
        <v>-79</v>
      </c>
      <c r="V43" s="530"/>
      <c r="W43" s="138"/>
    </row>
    <row r="44" spans="1:28" s="50" customFormat="1" ht="15.75" customHeight="1" thickTop="1" x14ac:dyDescent="0.25">
      <c r="A44" s="1140" t="s">
        <v>61</v>
      </c>
      <c r="B44" s="1140"/>
      <c r="C44" s="1140"/>
      <c r="D44" s="192"/>
      <c r="E44" s="121"/>
      <c r="F44" s="121"/>
      <c r="K44" s="123"/>
      <c r="L44" s="122"/>
      <c r="U44" s="124"/>
      <c r="V44" s="124"/>
      <c r="W44" s="125"/>
    </row>
    <row r="45" spans="1:28" s="127" customFormat="1" ht="18" customHeight="1" x14ac:dyDescent="0.25">
      <c r="A45" s="624">
        <v>1</v>
      </c>
      <c r="B45" s="1065"/>
      <c r="C45" s="1065"/>
      <c r="D45" s="1065"/>
      <c r="E45" s="1065"/>
      <c r="F45" s="1065"/>
      <c r="G45" s="1065"/>
      <c r="H45" s="1065"/>
      <c r="I45" s="1065"/>
      <c r="J45" s="1065"/>
      <c r="K45" s="1065"/>
      <c r="L45" s="1065"/>
      <c r="M45" s="1065"/>
      <c r="N45" s="1065"/>
      <c r="O45" s="1065"/>
      <c r="P45" s="1065"/>
      <c r="Q45" s="1065"/>
      <c r="R45" s="1065"/>
      <c r="S45" s="1065"/>
      <c r="T45" s="1065"/>
      <c r="U45" s="1065"/>
      <c r="V45" s="1065"/>
      <c r="W45" s="1065"/>
    </row>
    <row r="46" spans="1:28" s="127" customFormat="1" ht="18" customHeight="1" x14ac:dyDescent="0.25">
      <c r="A46" s="624">
        <v>2</v>
      </c>
      <c r="B46" s="1065"/>
      <c r="C46" s="1065"/>
      <c r="D46" s="1065"/>
      <c r="E46" s="1065"/>
      <c r="F46" s="1065"/>
      <c r="G46" s="1065"/>
      <c r="H46" s="1065"/>
      <c r="I46" s="1065"/>
      <c r="J46" s="1065"/>
      <c r="K46" s="1065"/>
      <c r="L46" s="1065"/>
      <c r="M46" s="1065"/>
      <c r="N46" s="1065"/>
      <c r="O46" s="1065"/>
      <c r="P46" s="1065"/>
      <c r="Q46" s="1065"/>
      <c r="R46" s="1065"/>
      <c r="S46" s="1065"/>
      <c r="T46" s="1065"/>
      <c r="U46" s="1065"/>
      <c r="V46" s="1065"/>
      <c r="W46" s="1065"/>
    </row>
    <row r="47" spans="1:28" s="127" customFormat="1" ht="18" customHeight="1" x14ac:dyDescent="0.25">
      <c r="A47" s="624">
        <v>3</v>
      </c>
      <c r="B47" s="1065"/>
      <c r="C47" s="1065"/>
      <c r="D47" s="1065"/>
      <c r="E47" s="1065"/>
      <c r="F47" s="1065"/>
      <c r="G47" s="1065"/>
      <c r="H47" s="1065"/>
      <c r="I47" s="1065"/>
      <c r="J47" s="1065"/>
      <c r="K47" s="1065"/>
      <c r="L47" s="1065"/>
      <c r="M47" s="1065"/>
      <c r="N47" s="1065"/>
      <c r="O47" s="1065"/>
      <c r="P47" s="1065"/>
      <c r="Q47" s="1065"/>
      <c r="R47" s="1065"/>
      <c r="S47" s="1065"/>
      <c r="T47" s="1065"/>
      <c r="U47" s="1065"/>
      <c r="V47" s="1065"/>
      <c r="W47" s="1065"/>
    </row>
    <row r="48" spans="1:28" s="50" customFormat="1" ht="20.25" customHeight="1" x14ac:dyDescent="0.25">
      <c r="A48" s="624">
        <v>4</v>
      </c>
      <c r="B48" s="1065"/>
      <c r="C48" s="1065"/>
      <c r="D48" s="1065"/>
      <c r="E48" s="1065"/>
      <c r="F48" s="1065"/>
      <c r="G48" s="1065"/>
      <c r="H48" s="1065"/>
      <c r="I48" s="1065"/>
      <c r="J48" s="1065"/>
      <c r="K48" s="1065"/>
      <c r="L48" s="1065"/>
      <c r="M48" s="1065"/>
      <c r="N48" s="1065"/>
      <c r="O48" s="1065"/>
      <c r="P48" s="1065"/>
      <c r="Q48" s="1065"/>
      <c r="R48" s="1065"/>
      <c r="S48" s="1065"/>
      <c r="T48" s="1065"/>
      <c r="U48" s="1065"/>
      <c r="V48" s="1065"/>
      <c r="W48" s="1065"/>
    </row>
  </sheetData>
  <sheetProtection insertRows="0"/>
  <mergeCells count="118">
    <mergeCell ref="M3:N3"/>
    <mergeCell ref="M11:N11"/>
    <mergeCell ref="A1:K1"/>
    <mergeCell ref="Q3:W3"/>
    <mergeCell ref="A4:C4"/>
    <mergeCell ref="D4:E4"/>
    <mergeCell ref="F4:G4"/>
    <mergeCell ref="I4:L4"/>
    <mergeCell ref="M10:N10"/>
    <mergeCell ref="Q10:W10"/>
    <mergeCell ref="D5:E5"/>
    <mergeCell ref="Q4:W4"/>
    <mergeCell ref="A6:C6"/>
    <mergeCell ref="D6:E6"/>
    <mergeCell ref="F6:G6"/>
    <mergeCell ref="I6:L6"/>
    <mergeCell ref="M6:N6"/>
    <mergeCell ref="Q6:W6"/>
    <mergeCell ref="M4:N4"/>
    <mergeCell ref="F5:G5"/>
    <mergeCell ref="I5:L5"/>
    <mergeCell ref="I7:L7"/>
    <mergeCell ref="A9:C9"/>
    <mergeCell ref="F7:G7"/>
    <mergeCell ref="A10:C10"/>
    <mergeCell ref="D10:E10"/>
    <mergeCell ref="F10:G10"/>
    <mergeCell ref="I10:L10"/>
    <mergeCell ref="D9:E9"/>
    <mergeCell ref="A5:C5"/>
    <mergeCell ref="M5:N5"/>
    <mergeCell ref="Q7:W7"/>
    <mergeCell ref="A8:C8"/>
    <mergeCell ref="D8:E8"/>
    <mergeCell ref="F8:G8"/>
    <mergeCell ref="I8:L8"/>
    <mergeCell ref="M8:N8"/>
    <mergeCell ref="Q5:W5"/>
    <mergeCell ref="Q8:W9"/>
    <mergeCell ref="F9:G9"/>
    <mergeCell ref="I9:L9"/>
    <mergeCell ref="M9:N9"/>
    <mergeCell ref="A7:C7"/>
    <mergeCell ref="D7:E7"/>
    <mergeCell ref="Q11:W11"/>
    <mergeCell ref="V14:V15"/>
    <mergeCell ref="W14:W15"/>
    <mergeCell ref="Q13:S13"/>
    <mergeCell ref="C14:F15"/>
    <mergeCell ref="J14:J15"/>
    <mergeCell ref="M14:N14"/>
    <mergeCell ref="R14:R15"/>
    <mergeCell ref="M15:N15"/>
    <mergeCell ref="I13:K13"/>
    <mergeCell ref="M13:O13"/>
    <mergeCell ref="A11:C11"/>
    <mergeCell ref="D11:E11"/>
    <mergeCell ref="F11:G11"/>
    <mergeCell ref="I11:L11"/>
    <mergeCell ref="M29:N29"/>
    <mergeCell ref="C28:D28"/>
    <mergeCell ref="M28:N28"/>
    <mergeCell ref="B16:B20"/>
    <mergeCell ref="C16:F16"/>
    <mergeCell ref="C17:F17"/>
    <mergeCell ref="C18:F18"/>
    <mergeCell ref="C19:F19"/>
    <mergeCell ref="M19:N19"/>
    <mergeCell ref="C20:F20"/>
    <mergeCell ref="M20:N20"/>
    <mergeCell ref="C36:F36"/>
    <mergeCell ref="C30:F30"/>
    <mergeCell ref="M30:N30"/>
    <mergeCell ref="C32:E32"/>
    <mergeCell ref="F32:F33"/>
    <mergeCell ref="M32:N32"/>
    <mergeCell ref="C33:E33"/>
    <mergeCell ref="M33:N33"/>
    <mergeCell ref="C21:F21"/>
    <mergeCell ref="M21:N21"/>
    <mergeCell ref="C22:F22"/>
    <mergeCell ref="M22:N22"/>
    <mergeCell ref="C23:F23"/>
    <mergeCell ref="M23:N23"/>
    <mergeCell ref="C24:F24"/>
    <mergeCell ref="M24:N24"/>
    <mergeCell ref="C25:D25"/>
    <mergeCell ref="E25:F29"/>
    <mergeCell ref="M25:N25"/>
    <mergeCell ref="C26:D26"/>
    <mergeCell ref="M26:N26"/>
    <mergeCell ref="C27:D27"/>
    <mergeCell ref="M27:N27"/>
    <mergeCell ref="C29:D29"/>
    <mergeCell ref="B48:W48"/>
    <mergeCell ref="M17:N17"/>
    <mergeCell ref="M18:N18"/>
    <mergeCell ref="L1:U1"/>
    <mergeCell ref="A44:C44"/>
    <mergeCell ref="B45:W45"/>
    <mergeCell ref="B46:W46"/>
    <mergeCell ref="B47:W47"/>
    <mergeCell ref="C39:F39"/>
    <mergeCell ref="M39:N39"/>
    <mergeCell ref="C40:F40"/>
    <mergeCell ref="M40:N40"/>
    <mergeCell ref="C41:F41"/>
    <mergeCell ref="M41:N41"/>
    <mergeCell ref="C37:F37"/>
    <mergeCell ref="M37:N37"/>
    <mergeCell ref="C38:F38"/>
    <mergeCell ref="M38:N38"/>
    <mergeCell ref="C34:F34"/>
    <mergeCell ref="M34:N34"/>
    <mergeCell ref="C35:F35"/>
    <mergeCell ref="M35:N35"/>
    <mergeCell ref="C31:F31"/>
    <mergeCell ref="M31:N31"/>
  </mergeCells>
  <conditionalFormatting sqref="E25">
    <cfRule type="cellIs" dxfId="38" priority="1" operator="notEqual">
      <formula>"GC 76000 PA ($" &amp;O11 &amp;" for every 10) breakdown per local board of supervisor resolution (BOS)."</formula>
    </cfRule>
  </conditionalFormatting>
  <conditionalFormatting sqref="H25:H30">
    <cfRule type="expression" dxfId="37" priority="18" stopIfTrue="1">
      <formula>MOD(ROW(), 2)=0</formula>
    </cfRule>
  </conditionalFormatting>
  <conditionalFormatting sqref="H30 H16:H24 H32:H34">
    <cfRule type="expression" dxfId="36" priority="20" stopIfTrue="1">
      <formula>MOD(ROW(),2)=0</formula>
    </cfRule>
  </conditionalFormatting>
  <conditionalFormatting sqref="I16:I18">
    <cfRule type="cellIs" dxfId="35" priority="17" stopIfTrue="1" operator="equal">
      <formula>0</formula>
    </cfRule>
  </conditionalFormatting>
  <conditionalFormatting sqref="J16:K41 I19:I30 I32:I35">
    <cfRule type="cellIs" dxfId="34" priority="14" operator="equal">
      <formula>0</formula>
    </cfRule>
  </conditionalFormatting>
  <conditionalFormatting sqref="M16:O41">
    <cfRule type="expression" dxfId="33" priority="15">
      <formula>MOD(ROW(),2)=0</formula>
    </cfRule>
  </conditionalFormatting>
  <conditionalFormatting sqref="Q16:S41">
    <cfRule type="cellIs" dxfId="32" priority="21" stopIfTrue="1" operator="equal">
      <formula>0</formula>
    </cfRule>
  </conditionalFormatting>
  <conditionalFormatting sqref="U12:V13 U44:V44 U49:V65532">
    <cfRule type="cellIs" dxfId="31" priority="19" stopIfTrue="1" operator="notEqual">
      <formula>0</formula>
    </cfRule>
  </conditionalFormatting>
  <conditionalFormatting sqref="V16:V41">
    <cfRule type="cellIs" dxfId="30" priority="4" operator="greaterThan">
      <formula>0</formula>
    </cfRule>
  </conditionalFormatting>
  <dataValidations count="1">
    <dataValidation type="list" allowBlank="1" showInputMessage="1" showErrorMessage="1" sqref="U15" xr:uid="{00000000-0002-0000-2500-000000000000}">
      <formula1>Distribution_Method</formula1>
    </dataValidation>
  </dataValidations>
  <printOptions horizontalCentered="1"/>
  <pageMargins left="0.25" right="0.25" top="0.75" bottom="0.5" header="0.25" footer="0.25"/>
  <pageSetup scale="64" orientation="landscape" r:id="rId1"/>
  <headerFooter alignWithMargins="0">
    <oddHeader>&amp;CSUPERIOR OF COURT OF _________ COUNTY
Revenue Calculation and Distribution Worksheet</oddHeader>
    <oddFooter>&amp;L&amp;F&amp;R&amp;P of &amp;N</oddFooter>
  </headerFooter>
  <ignoredErrors>
    <ignoredError sqref="U35 S35 Q31 K35"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89793" r:id="rId4" name="Button 1">
              <controlPr defaultSize="0" print="0" autoFill="0" autoPict="0" macro="mcr_GoToSummary">
                <anchor moveWithCells="1">
                  <from>
                    <xdr:col>0</xdr:col>
                    <xdr:colOff>88900</xdr:colOff>
                    <xdr:row>0</xdr:row>
                    <xdr:rowOff>0</xdr:rowOff>
                  </from>
                  <to>
                    <xdr:col>3</xdr:col>
                    <xdr:colOff>127000</xdr:colOff>
                    <xdr:row>1</xdr:row>
                    <xdr:rowOff>31750</xdr:rowOff>
                  </to>
                </anchor>
              </controlPr>
            </control>
          </mc:Choice>
        </mc:AlternateContent>
        <mc:AlternateContent xmlns:mc="http://schemas.openxmlformats.org/markup-compatibility/2006">
          <mc:Choice Requires="x14">
            <control shapeId="289794" r:id="rId5" name="Button 2">
              <controlPr defaultSize="0" print="0" autoFill="0" autoPict="0" macro="[0]!mcrDisableTwoPercentUnprotect">
                <anchor moveWithCells="1">
                  <from>
                    <xdr:col>0</xdr:col>
                    <xdr:colOff>12700</xdr:colOff>
                    <xdr:row>13</xdr:row>
                    <xdr:rowOff>527050</xdr:rowOff>
                  </from>
                  <to>
                    <xdr:col>0</xdr:col>
                    <xdr:colOff>279400</xdr:colOff>
                    <xdr:row>14</xdr:row>
                    <xdr:rowOff>222250</xdr:rowOff>
                  </to>
                </anchor>
              </controlPr>
            </control>
          </mc:Choice>
        </mc:AlternateContent>
        <mc:AlternateContent xmlns:mc="http://schemas.openxmlformats.org/markup-compatibility/2006">
          <mc:Choice Requires="x14">
            <control shapeId="289795" r:id="rId6" name="Button 3">
              <controlPr defaultSize="0" print="0" autoFill="0" autoPict="0" macro="[0]!mcrEnableTwoPercentUnprotect">
                <anchor moveWithCells="1">
                  <from>
                    <xdr:col>0</xdr:col>
                    <xdr:colOff>0</xdr:colOff>
                    <xdr:row>13</xdr:row>
                    <xdr:rowOff>222250</xdr:rowOff>
                  </from>
                  <to>
                    <xdr:col>0</xdr:col>
                    <xdr:colOff>266700</xdr:colOff>
                    <xdr:row>13</xdr:row>
                    <xdr:rowOff>552450</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3">
    <tabColor theme="6"/>
    <pageSetUpPr fitToPage="1"/>
  </sheetPr>
  <dimension ref="A1:AB39"/>
  <sheetViews>
    <sheetView zoomScale="80" zoomScaleNormal="80" workbookViewId="0">
      <pane ySplit="1" topLeftCell="A2" activePane="bottomLeft" state="frozen"/>
      <selection pane="bottomLeft" sqref="A1:K1"/>
    </sheetView>
  </sheetViews>
  <sheetFormatPr defaultColWidth="9.1796875" defaultRowHeight="18.5" x14ac:dyDescent="0.25"/>
  <cols>
    <col min="1" max="1" width="4.26953125" style="439" customWidth="1"/>
    <col min="2" max="2" width="4.7265625" style="439" customWidth="1"/>
    <col min="3" max="3" width="16.54296875" style="439" customWidth="1"/>
    <col min="4" max="4" width="12" style="439" customWidth="1"/>
    <col min="5" max="5" width="10" style="440" customWidth="1"/>
    <col min="6" max="6" width="20.54296875" style="432" customWidth="1"/>
    <col min="7" max="7" width="12.54296875" style="370" customWidth="1"/>
    <col min="8" max="8" width="1.7265625" style="370" hidden="1" customWidth="1"/>
    <col min="9" max="9" width="8.1796875" style="370" customWidth="1"/>
    <col min="10" max="10" width="6" style="370" customWidth="1"/>
    <col min="11" max="11" width="11.54296875" style="441" customWidth="1"/>
    <col min="12" max="12" width="1.7265625" style="442" customWidth="1"/>
    <col min="13" max="13" width="15.26953125" style="370" customWidth="1"/>
    <col min="14" max="14" width="1.54296875" style="370" customWidth="1"/>
    <col min="15" max="15" width="11" style="370" customWidth="1"/>
    <col min="16" max="16" width="1.81640625" style="442" customWidth="1"/>
    <col min="17" max="17" width="9" style="442" hidden="1" customWidth="1"/>
    <col min="18" max="18" width="5.7265625" style="442" hidden="1" customWidth="1"/>
    <col min="19" max="19" width="10.7265625" style="442" hidden="1" customWidth="1"/>
    <col min="20" max="20" width="1.81640625" style="310" customWidth="1"/>
    <col min="21" max="21" width="12.453125" style="443" customWidth="1"/>
    <col min="22" max="22" width="5.453125" style="443" customWidth="1"/>
    <col min="23" max="23" width="19" style="444" customWidth="1"/>
    <col min="24" max="24" width="2.1796875" style="310" customWidth="1"/>
    <col min="25" max="25" width="12" style="310" customWidth="1"/>
    <col min="26" max="26" width="11.1796875" style="310" customWidth="1"/>
    <col min="27" max="28" width="9.1796875" style="310"/>
    <col min="29" max="16384" width="9.1796875" style="370"/>
  </cols>
  <sheetData>
    <row r="1" spans="1:28" ht="20.25" customHeight="1" thickBot="1" x14ac:dyDescent="0.3">
      <c r="A1" s="1337" t="s">
        <v>109</v>
      </c>
      <c r="B1" s="1338"/>
      <c r="C1" s="1338"/>
      <c r="D1" s="1338"/>
      <c r="E1" s="1338"/>
      <c r="F1" s="1338"/>
      <c r="G1" s="1338"/>
      <c r="H1" s="1338"/>
      <c r="I1" s="1338"/>
      <c r="J1" s="1338"/>
      <c r="K1" s="1338"/>
      <c r="L1" s="1342"/>
      <c r="M1" s="1342"/>
      <c r="N1" s="1342"/>
      <c r="O1" s="1342"/>
      <c r="P1" s="1342"/>
      <c r="Q1" s="1342"/>
      <c r="R1" s="1342"/>
      <c r="S1" s="1342"/>
      <c r="T1" s="1342"/>
      <c r="U1" s="1342"/>
      <c r="V1" s="595" t="s">
        <v>486</v>
      </c>
      <c r="W1" s="612" t="str">
        <f>'Cover Page'!A3</f>
        <v>January 2014</v>
      </c>
    </row>
    <row r="2" spans="1:28" s="310" customFormat="1" ht="6" customHeight="1" thickBot="1" x14ac:dyDescent="0.3">
      <c r="A2" s="311"/>
      <c r="B2" s="311"/>
      <c r="C2" s="311"/>
      <c r="D2" s="311"/>
      <c r="E2" s="311"/>
      <c r="F2" s="311"/>
      <c r="G2" s="311"/>
      <c r="H2" s="311"/>
      <c r="I2" s="311"/>
      <c r="J2" s="312"/>
      <c r="K2" s="312"/>
      <c r="L2" s="312"/>
      <c r="M2" s="312"/>
      <c r="N2" s="312"/>
      <c r="O2" s="313"/>
      <c r="P2" s="313"/>
      <c r="Q2" s="313"/>
      <c r="R2" s="313"/>
      <c r="S2" s="313"/>
      <c r="T2" s="313"/>
      <c r="U2" s="313"/>
      <c r="V2" s="313"/>
      <c r="W2" s="313"/>
    </row>
    <row r="3" spans="1:28" s="310" customFormat="1" ht="19.5" thickTop="1" thickBot="1" x14ac:dyDescent="0.3">
      <c r="A3" s="1339" t="s">
        <v>234</v>
      </c>
      <c r="B3" s="1340"/>
      <c r="C3" s="1340"/>
      <c r="D3" s="1340"/>
      <c r="E3" s="1340"/>
      <c r="F3" s="1340"/>
      <c r="G3" s="1340"/>
      <c r="H3" s="1340"/>
      <c r="I3" s="1340"/>
      <c r="J3" s="1340"/>
      <c r="K3" s="1340"/>
      <c r="L3" s="1340"/>
      <c r="M3" s="1340"/>
      <c r="N3" s="1340"/>
      <c r="O3" s="1341"/>
      <c r="P3" s="314"/>
      <c r="Q3" s="1343" t="s">
        <v>261</v>
      </c>
      <c r="R3" s="1344"/>
      <c r="S3" s="1344"/>
      <c r="T3" s="1344"/>
      <c r="U3" s="1344"/>
      <c r="V3" s="1344"/>
      <c r="W3" s="1345"/>
      <c r="Y3" s="315" t="s">
        <v>250</v>
      </c>
      <c r="Z3" s="316"/>
    </row>
    <row r="4" spans="1:28" s="320" customFormat="1" ht="16" thickBot="1" x14ac:dyDescent="0.3">
      <c r="A4" s="1346" t="s">
        <v>231</v>
      </c>
      <c r="B4" s="1347"/>
      <c r="C4" s="1347"/>
      <c r="D4" s="1348">
        <f>L1</f>
        <v>0</v>
      </c>
      <c r="E4" s="1349"/>
      <c r="F4" s="1332" t="s">
        <v>28</v>
      </c>
      <c r="G4" s="1333"/>
      <c r="H4" s="317"/>
      <c r="I4" s="1334" t="s">
        <v>350</v>
      </c>
      <c r="J4" s="1334"/>
      <c r="K4" s="1334"/>
      <c r="L4" s="1335"/>
      <c r="M4" s="1350" t="s">
        <v>257</v>
      </c>
      <c r="N4" s="1350"/>
      <c r="O4" s="318" t="s">
        <v>342</v>
      </c>
      <c r="P4" s="319"/>
      <c r="Q4" s="1351" t="s">
        <v>236</v>
      </c>
      <c r="R4" s="1352"/>
      <c r="S4" s="1352"/>
      <c r="T4" s="1352"/>
      <c r="U4" s="1352"/>
      <c r="V4" s="1352"/>
      <c r="W4" s="1353"/>
      <c r="Y4" s="321" t="s">
        <v>308</v>
      </c>
      <c r="Z4" s="322" t="s">
        <v>309</v>
      </c>
      <c r="AA4" s="322" t="s">
        <v>310</v>
      </c>
    </row>
    <row r="5" spans="1:28" s="320" customFormat="1" ht="15.75" customHeight="1" x14ac:dyDescent="0.25">
      <c r="A5" s="1328" t="s">
        <v>4</v>
      </c>
      <c r="B5" s="1329"/>
      <c r="C5" s="1329"/>
      <c r="D5" s="1330"/>
      <c r="E5" s="1331"/>
      <c r="F5" s="1308" t="s">
        <v>244</v>
      </c>
      <c r="G5" s="1309"/>
      <c r="H5" s="323"/>
      <c r="I5" s="1310" t="s">
        <v>351</v>
      </c>
      <c r="J5" s="1310"/>
      <c r="K5" s="1310"/>
      <c r="L5" s="1311"/>
      <c r="M5" s="1293" t="s">
        <v>22</v>
      </c>
      <c r="N5" s="1293"/>
      <c r="O5" s="324" t="s">
        <v>342</v>
      </c>
      <c r="P5" s="319"/>
      <c r="Q5" s="1294" t="s">
        <v>352</v>
      </c>
      <c r="R5" s="1295"/>
      <c r="S5" s="1295"/>
      <c r="T5" s="1295"/>
      <c r="U5" s="1295"/>
      <c r="V5" s="1295"/>
      <c r="W5" s="1296"/>
      <c r="Y5" s="325" t="s">
        <v>31</v>
      </c>
      <c r="Z5" s="326">
        <f>SUMIF($G$16:$G$27,"STATE",$K$16:$K$27)</f>
        <v>386.66666666666663</v>
      </c>
      <c r="AA5" s="326">
        <f>SUMIF($G$16:$G$27,"STATE",$S$16:$S$27)</f>
        <v>0</v>
      </c>
    </row>
    <row r="6" spans="1:28" s="320" customFormat="1" ht="16" thickBot="1" x14ac:dyDescent="0.3">
      <c r="A6" s="1328" t="s">
        <v>12</v>
      </c>
      <c r="B6" s="1329"/>
      <c r="C6" s="1329"/>
      <c r="D6" s="1330"/>
      <c r="E6" s="1331"/>
      <c r="F6" s="1308" t="s">
        <v>20</v>
      </c>
      <c r="G6" s="1309"/>
      <c r="H6" s="323"/>
      <c r="I6" s="1310" t="s">
        <v>11</v>
      </c>
      <c r="J6" s="1310"/>
      <c r="K6" s="1310"/>
      <c r="L6" s="1311"/>
      <c r="M6" s="1285" t="s">
        <v>233</v>
      </c>
      <c r="N6" s="1285"/>
      <c r="O6" s="327"/>
      <c r="P6" s="319"/>
      <c r="Q6" s="1297"/>
      <c r="R6" s="1298"/>
      <c r="S6" s="1298"/>
      <c r="T6" s="1298"/>
      <c r="U6" s="1298"/>
      <c r="V6" s="1298"/>
      <c r="W6" s="1299"/>
      <c r="Y6" s="325" t="s">
        <v>32</v>
      </c>
      <c r="Z6" s="326">
        <f>SUMIF($G$16:$G$27,"COUNTY",$K$16:$K$27)</f>
        <v>333.33333333333331</v>
      </c>
      <c r="AA6" s="326">
        <f>SUMIF($G$16:$G$27,"COUNTY",$S$16:$S$27)</f>
        <v>0</v>
      </c>
    </row>
    <row r="7" spans="1:28" s="320" customFormat="1" ht="16.5" customHeight="1" thickBot="1" x14ac:dyDescent="0.3">
      <c r="A7" s="1328" t="s">
        <v>5</v>
      </c>
      <c r="B7" s="1329"/>
      <c r="C7" s="1329"/>
      <c r="D7" s="1336"/>
      <c r="E7" s="1331"/>
      <c r="F7" s="1304" t="s">
        <v>21</v>
      </c>
      <c r="G7" s="1305"/>
      <c r="H7" s="328"/>
      <c r="I7" s="1306" t="s">
        <v>379</v>
      </c>
      <c r="J7" s="1306"/>
      <c r="K7" s="1306"/>
      <c r="L7" s="1307"/>
      <c r="M7" s="329"/>
      <c r="N7" s="330"/>
      <c r="O7" s="331"/>
      <c r="P7" s="319"/>
      <c r="Q7" s="1286" t="s">
        <v>432</v>
      </c>
      <c r="R7" s="1287"/>
      <c r="S7" s="1287"/>
      <c r="T7" s="1287"/>
      <c r="U7" s="1287"/>
      <c r="V7" s="1287"/>
      <c r="W7" s="1288"/>
      <c r="Y7" s="325" t="s">
        <v>52</v>
      </c>
      <c r="Z7" s="326">
        <f>SUMIF($G$16:$G$27,"CITY",$K$16:$K$27)</f>
        <v>0</v>
      </c>
      <c r="AA7" s="326">
        <f>SUMIF($G$16:$G$27,"CITY",$S$16:$S$27)</f>
        <v>0</v>
      </c>
    </row>
    <row r="8" spans="1:28" s="320" customFormat="1" ht="15.75" customHeight="1" thickBot="1" x14ac:dyDescent="0.3">
      <c r="A8" s="1320" t="s">
        <v>54</v>
      </c>
      <c r="B8" s="1321"/>
      <c r="C8" s="1321"/>
      <c r="D8" s="1369" t="s">
        <v>342</v>
      </c>
      <c r="E8" s="1370"/>
      <c r="F8" s="1332" t="s">
        <v>253</v>
      </c>
      <c r="G8" s="1333"/>
      <c r="H8" s="317"/>
      <c r="I8" s="1334"/>
      <c r="J8" s="1334"/>
      <c r="K8" s="1334"/>
      <c r="L8" s="1335"/>
      <c r="M8" s="1292" t="s">
        <v>257</v>
      </c>
      <c r="N8" s="1292"/>
      <c r="O8" s="332" t="s">
        <v>342</v>
      </c>
      <c r="P8" s="333"/>
      <c r="Q8" s="1289"/>
      <c r="R8" s="1290"/>
      <c r="S8" s="1290"/>
      <c r="T8" s="1290"/>
      <c r="U8" s="1290"/>
      <c r="V8" s="1290"/>
      <c r="W8" s="1291"/>
      <c r="Y8" s="325" t="s">
        <v>230</v>
      </c>
      <c r="Z8" s="326">
        <f>SUMIF($G$16:$G$27,"COURT",$K$16:$K$27)</f>
        <v>0</v>
      </c>
      <c r="AA8" s="326">
        <f>SUMIF($G$16:$G$27,"COURT",$S$16:$S$27)</f>
        <v>0</v>
      </c>
    </row>
    <row r="9" spans="1:28" s="320" customFormat="1" ht="18" customHeight="1" thickTop="1" x14ac:dyDescent="0.25">
      <c r="A9" s="1314" t="s">
        <v>53</v>
      </c>
      <c r="B9" s="1315"/>
      <c r="C9" s="1315"/>
      <c r="D9" s="1312" t="s">
        <v>342</v>
      </c>
      <c r="E9" s="1313"/>
      <c r="F9" s="1308" t="s">
        <v>244</v>
      </c>
      <c r="G9" s="1309"/>
      <c r="H9" s="323"/>
      <c r="I9" s="1310"/>
      <c r="J9" s="1310"/>
      <c r="K9" s="1310"/>
      <c r="L9" s="1311"/>
      <c r="M9" s="1293" t="s">
        <v>22</v>
      </c>
      <c r="N9" s="1293"/>
      <c r="O9" s="324" t="s">
        <v>342</v>
      </c>
      <c r="P9" s="429"/>
      <c r="Q9" s="1371"/>
      <c r="R9" s="1371"/>
      <c r="S9" s="1371"/>
      <c r="T9" s="1371"/>
      <c r="U9" s="1371"/>
      <c r="V9" s="1371"/>
      <c r="W9" s="1371"/>
      <c r="Y9" s="571" t="s">
        <v>455</v>
      </c>
      <c r="Z9" s="161">
        <f>SUMIF($G$16:$G$27,"CNTY or CRT",$K$16:$K$27)</f>
        <v>0</v>
      </c>
      <c r="AA9" s="161">
        <f>SUMIF($G$16:$G$27,"CNTY or CRT",$S$16:$S$27)</f>
        <v>0</v>
      </c>
    </row>
    <row r="10" spans="1:28" s="320" customFormat="1" ht="16.5" customHeight="1" thickBot="1" x14ac:dyDescent="0.3">
      <c r="A10" s="1361" t="s">
        <v>471</v>
      </c>
      <c r="B10" s="1362"/>
      <c r="C10" s="1362"/>
      <c r="D10" s="1365">
        <v>500</v>
      </c>
      <c r="E10" s="1366"/>
      <c r="F10" s="1359" t="s">
        <v>20</v>
      </c>
      <c r="G10" s="1360"/>
      <c r="H10" s="323"/>
      <c r="I10" s="1310"/>
      <c r="J10" s="1310"/>
      <c r="K10" s="1310"/>
      <c r="L10" s="1311"/>
      <c r="M10" s="1285" t="s">
        <v>233</v>
      </c>
      <c r="N10" s="1285"/>
      <c r="O10" s="327"/>
      <c r="P10" s="340"/>
      <c r="Q10" s="1371"/>
      <c r="R10" s="1371"/>
      <c r="S10" s="1371"/>
      <c r="T10" s="1371"/>
      <c r="U10" s="1371"/>
      <c r="V10" s="1371"/>
      <c r="W10" s="1371"/>
      <c r="Y10" s="335" t="s">
        <v>246</v>
      </c>
      <c r="Z10" s="336">
        <f>SUM(Z5:Z9)</f>
        <v>720</v>
      </c>
      <c r="AA10" s="336">
        <f>SUM(AA5:AA9)</f>
        <v>0</v>
      </c>
    </row>
    <row r="11" spans="1:28" s="320" customFormat="1" ht="16.5" customHeight="1" thickBot="1" x14ac:dyDescent="0.3">
      <c r="A11" s="1363"/>
      <c r="B11" s="1364"/>
      <c r="C11" s="1364"/>
      <c r="D11" s="1367"/>
      <c r="E11" s="1368"/>
      <c r="F11" s="1304" t="s">
        <v>21</v>
      </c>
      <c r="G11" s="1305"/>
      <c r="H11" s="328"/>
      <c r="I11" s="1306"/>
      <c r="J11" s="1306"/>
      <c r="K11" s="1306"/>
      <c r="L11" s="1307"/>
      <c r="M11" s="337"/>
      <c r="N11" s="338"/>
      <c r="O11" s="339"/>
      <c r="P11" s="340"/>
      <c r="Q11" s="1300"/>
      <c r="R11" s="1300"/>
      <c r="S11" s="1300"/>
      <c r="T11" s="1300"/>
      <c r="U11" s="1300"/>
      <c r="V11" s="1300"/>
      <c r="W11" s="1300"/>
      <c r="Z11" s="341">
        <f>Z10-K29</f>
        <v>0</v>
      </c>
      <c r="AA11" s="341">
        <f>AA10-S29</f>
        <v>0</v>
      </c>
    </row>
    <row r="12" spans="1:28" s="320" customFormat="1" ht="15.75" customHeight="1" thickBot="1" x14ac:dyDescent="0.3">
      <c r="A12" s="342"/>
      <c r="B12" s="342"/>
      <c r="C12" s="343"/>
      <c r="D12" s="343"/>
      <c r="E12" s="343"/>
      <c r="F12" s="348"/>
      <c r="G12" s="349"/>
      <c r="H12" s="346"/>
      <c r="I12" s="350"/>
      <c r="J12" s="350"/>
      <c r="K12" s="350"/>
      <c r="L12" s="350"/>
      <c r="O12" s="344"/>
      <c r="P12" s="344"/>
      <c r="Q12" s="344"/>
      <c r="R12" s="344"/>
      <c r="S12" s="344"/>
      <c r="T12" s="344"/>
      <c r="U12" s="345"/>
      <c r="V12" s="345"/>
      <c r="W12" s="346"/>
      <c r="AA12" s="347"/>
    </row>
    <row r="13" spans="1:28" s="354" customFormat="1" ht="18.75" customHeight="1" thickBot="1" x14ac:dyDescent="0.3">
      <c r="A13" s="351"/>
      <c r="B13" s="351"/>
      <c r="C13" s="351"/>
      <c r="D13" s="351"/>
      <c r="E13" s="351"/>
      <c r="F13" s="352"/>
      <c r="G13" s="353"/>
      <c r="I13" s="1251" t="s">
        <v>347</v>
      </c>
      <c r="J13" s="1252"/>
      <c r="K13" s="1253"/>
      <c r="L13" s="355"/>
      <c r="M13" s="1279" t="s">
        <v>229</v>
      </c>
      <c r="N13" s="1280"/>
      <c r="O13" s="1281"/>
      <c r="P13" s="356"/>
      <c r="Q13" s="1282" t="s">
        <v>295</v>
      </c>
      <c r="R13" s="1283"/>
      <c r="S13" s="1284"/>
      <c r="T13" s="357"/>
      <c r="U13" s="358"/>
      <c r="V13" s="358"/>
      <c r="W13" s="359"/>
      <c r="X13" s="353"/>
      <c r="Y13" s="353"/>
      <c r="Z13" s="353"/>
      <c r="AA13" s="353"/>
      <c r="AB13" s="353"/>
    </row>
    <row r="14" spans="1:28" ht="44.25" customHeight="1" thickBot="1" x14ac:dyDescent="0.3">
      <c r="A14" s="360">
        <v>0.02</v>
      </c>
      <c r="B14" s="101" t="s">
        <v>58</v>
      </c>
      <c r="C14" s="1268" t="s">
        <v>226</v>
      </c>
      <c r="D14" s="1268"/>
      <c r="E14" s="1268"/>
      <c r="F14" s="1269"/>
      <c r="G14" s="361" t="s">
        <v>249</v>
      </c>
      <c r="H14" s="362" t="s">
        <v>0</v>
      </c>
      <c r="I14" s="1273" t="s">
        <v>315</v>
      </c>
      <c r="J14" s="1265" t="s">
        <v>6</v>
      </c>
      <c r="K14" s="363" t="s">
        <v>299</v>
      </c>
      <c r="L14" s="364"/>
      <c r="M14" s="1275" t="s">
        <v>260</v>
      </c>
      <c r="N14" s="1276"/>
      <c r="O14" s="365" t="s">
        <v>248</v>
      </c>
      <c r="P14" s="366"/>
      <c r="Q14" s="367" t="s">
        <v>296</v>
      </c>
      <c r="R14" s="1265" t="s">
        <v>6</v>
      </c>
      <c r="S14" s="363" t="s">
        <v>299</v>
      </c>
      <c r="T14" s="368"/>
      <c r="U14" s="369" t="s">
        <v>256</v>
      </c>
      <c r="V14" s="1148" t="s">
        <v>61</v>
      </c>
      <c r="W14" s="1150" t="s">
        <v>384</v>
      </c>
    </row>
    <row r="15" spans="1:28" ht="30.75" customHeight="1" thickBot="1" x14ac:dyDescent="0.3">
      <c r="A15" s="371"/>
      <c r="B15" s="104"/>
      <c r="C15" s="1271"/>
      <c r="D15" s="1271"/>
      <c r="E15" s="1271"/>
      <c r="F15" s="1272"/>
      <c r="G15" s="372"/>
      <c r="H15" s="372"/>
      <c r="I15" s="1274"/>
      <c r="J15" s="1266"/>
      <c r="K15" s="373" t="s">
        <v>42</v>
      </c>
      <c r="L15" s="374"/>
      <c r="M15" s="1277"/>
      <c r="N15" s="1278"/>
      <c r="O15" s="375" t="s">
        <v>43</v>
      </c>
      <c r="P15" s="366"/>
      <c r="Q15" s="376" t="e">
        <f>#REF!/#REF!</f>
        <v>#REF!</v>
      </c>
      <c r="R15" s="1266"/>
      <c r="S15" s="373" t="s">
        <v>44</v>
      </c>
      <c r="T15" s="368"/>
      <c r="U15" s="377" t="s">
        <v>300</v>
      </c>
      <c r="V15" s="1149"/>
      <c r="W15" s="1151"/>
    </row>
    <row r="16" spans="1:28" s="393" customFormat="1" ht="15.75" hidden="1" customHeight="1" thickTop="1" x14ac:dyDescent="0.25">
      <c r="A16" s="378" t="s">
        <v>7</v>
      </c>
      <c r="B16" s="379"/>
      <c r="C16" s="580"/>
      <c r="D16" s="581"/>
      <c r="E16" s="581"/>
      <c r="F16" s="582"/>
      <c r="G16" s="380"/>
      <c r="H16" s="381"/>
      <c r="I16" s="382"/>
      <c r="J16" s="383"/>
      <c r="K16" s="384"/>
      <c r="L16" s="385"/>
      <c r="M16" s="1263"/>
      <c r="N16" s="1264"/>
      <c r="O16" s="386"/>
      <c r="P16" s="387"/>
      <c r="Q16" s="388"/>
      <c r="R16" s="383"/>
      <c r="S16" s="389"/>
      <c r="T16" s="390"/>
      <c r="U16" s="388"/>
      <c r="V16" s="388"/>
      <c r="W16" s="391"/>
      <c r="X16" s="392"/>
      <c r="Y16" s="392"/>
      <c r="Z16" s="392"/>
      <c r="AA16" s="392"/>
      <c r="AB16" s="392"/>
    </row>
    <row r="17" spans="1:28" s="393" customFormat="1" ht="15.75" hidden="1" customHeight="1" thickBot="1" x14ac:dyDescent="0.3">
      <c r="A17" s="583" t="s">
        <v>7</v>
      </c>
      <c r="B17" s="394"/>
      <c r="C17" s="584"/>
      <c r="D17" s="585"/>
      <c r="E17" s="585"/>
      <c r="F17" s="586"/>
      <c r="G17" s="395"/>
      <c r="H17" s="396"/>
      <c r="I17" s="397"/>
      <c r="J17" s="383"/>
      <c r="K17" s="398"/>
      <c r="L17" s="385"/>
      <c r="M17" s="1258"/>
      <c r="N17" s="1259"/>
      <c r="O17" s="399"/>
      <c r="P17" s="387"/>
      <c r="Q17" s="388"/>
      <c r="R17" s="383"/>
      <c r="S17" s="398"/>
      <c r="T17" s="390"/>
      <c r="U17" s="388"/>
      <c r="V17" s="388"/>
      <c r="W17" s="400"/>
      <c r="X17" s="392"/>
      <c r="Y17" s="392"/>
      <c r="Z17" s="392"/>
      <c r="AA17" s="392"/>
      <c r="AB17" s="392"/>
    </row>
    <row r="18" spans="1:28" s="393" customFormat="1" ht="15.75" customHeight="1" thickTop="1" x14ac:dyDescent="0.25">
      <c r="A18" s="587" t="s">
        <v>7</v>
      </c>
      <c r="B18" s="1255" t="s">
        <v>342</v>
      </c>
      <c r="C18" s="1260" t="s">
        <v>472</v>
      </c>
      <c r="D18" s="1260"/>
      <c r="E18" s="1260"/>
      <c r="F18" s="1260"/>
      <c r="G18" s="571" t="s">
        <v>32</v>
      </c>
      <c r="H18" s="396" t="s">
        <v>25</v>
      </c>
      <c r="I18" s="397">
        <f>$D$10*2/3</f>
        <v>333.33333333333331</v>
      </c>
      <c r="J18" s="383">
        <f>IF(A18="Y",I18* 2%,0)</f>
        <v>0</v>
      </c>
      <c r="K18" s="398">
        <f>I18-J18</f>
        <v>333.33333333333331</v>
      </c>
      <c r="L18" s="385"/>
      <c r="M18" s="1258"/>
      <c r="N18" s="1259"/>
      <c r="O18" s="386"/>
      <c r="P18" s="387"/>
      <c r="Q18" s="388">
        <f>IF($Q$29=0,,I18*$Q$15)</f>
        <v>0</v>
      </c>
      <c r="R18" s="383">
        <f>IF(A18="Y", Q18*2%,)</f>
        <v>0</v>
      </c>
      <c r="S18" s="401">
        <f>Q18-R18</f>
        <v>0</v>
      </c>
      <c r="T18" s="402"/>
      <c r="U18" s="388">
        <f>IF($U$15="BASE-UP   (B-A)", O18-K18,O18-S18)</f>
        <v>-333.33333333333331</v>
      </c>
      <c r="V18" s="553"/>
      <c r="W18" s="545"/>
      <c r="X18" s="392"/>
      <c r="Y18" s="392"/>
      <c r="Z18" s="392"/>
      <c r="AA18" s="392"/>
      <c r="AB18" s="392"/>
    </row>
    <row r="19" spans="1:28" s="393" customFormat="1" ht="15.75" customHeight="1" x14ac:dyDescent="0.25">
      <c r="A19" s="587" t="s">
        <v>7</v>
      </c>
      <c r="B19" s="1255"/>
      <c r="C19" s="1260" t="s">
        <v>473</v>
      </c>
      <c r="D19" s="1260"/>
      <c r="E19" s="1260"/>
      <c r="F19" s="1260"/>
      <c r="G19" s="571" t="s">
        <v>31</v>
      </c>
      <c r="H19" s="396" t="s">
        <v>26</v>
      </c>
      <c r="I19" s="397">
        <f>$D$10*1/6</f>
        <v>83.333333333333329</v>
      </c>
      <c r="J19" s="383">
        <f>IF(A19="Y",I19* 2%,0)</f>
        <v>0</v>
      </c>
      <c r="K19" s="398">
        <f>I19-J19</f>
        <v>83.333333333333329</v>
      </c>
      <c r="L19" s="385"/>
      <c r="M19" s="1258"/>
      <c r="N19" s="1259"/>
      <c r="O19" s="404"/>
      <c r="P19" s="387"/>
      <c r="Q19" s="388">
        <f>IF($Q$29=0,,I19*$Q$15)</f>
        <v>0</v>
      </c>
      <c r="R19" s="383">
        <f>IF(A19="Y", Q19*2%,)</f>
        <v>0</v>
      </c>
      <c r="S19" s="401">
        <f>Q19-R19</f>
        <v>0</v>
      </c>
      <c r="T19" s="402"/>
      <c r="U19" s="388">
        <f>IF($U$15="BASE-UP   (B-A)", O19-K19,O19-S19)</f>
        <v>-83.333333333333329</v>
      </c>
      <c r="V19" s="554"/>
      <c r="W19" s="469"/>
      <c r="X19" s="392"/>
      <c r="Y19" s="392"/>
      <c r="Z19" s="392"/>
      <c r="AA19" s="392"/>
      <c r="AB19" s="392"/>
    </row>
    <row r="20" spans="1:28" s="393" customFormat="1" ht="15.75" customHeight="1" x14ac:dyDescent="0.25">
      <c r="A20" s="587" t="s">
        <v>7</v>
      </c>
      <c r="B20" s="1255"/>
      <c r="C20" s="1260" t="s">
        <v>474</v>
      </c>
      <c r="D20" s="1260"/>
      <c r="E20" s="1260"/>
      <c r="F20" s="1260"/>
      <c r="G20" s="571" t="s">
        <v>31</v>
      </c>
      <c r="H20" s="396"/>
      <c r="I20" s="397">
        <f>$D$10*1/6</f>
        <v>83.333333333333329</v>
      </c>
      <c r="J20" s="383">
        <f t="shared" ref="J20:J27" si="0">IF(A20="Y",I20* 2%,0)</f>
        <v>0</v>
      </c>
      <c r="K20" s="398">
        <f t="shared" ref="K20:K25" si="1">I20-J20</f>
        <v>83.333333333333329</v>
      </c>
      <c r="L20" s="385"/>
      <c r="M20" s="1258"/>
      <c r="N20" s="1259"/>
      <c r="O20" s="404"/>
      <c r="P20" s="387"/>
      <c r="Q20" s="388"/>
      <c r="R20" s="383"/>
      <c r="S20" s="401"/>
      <c r="T20" s="402"/>
      <c r="U20" s="388">
        <f t="shared" ref="U20:U27" si="2">IF($U$15="BASE-UP   (B-A)", O20-K20,O20-S20)</f>
        <v>-83.333333333333329</v>
      </c>
      <c r="V20" s="552"/>
      <c r="W20" s="546"/>
      <c r="X20" s="392"/>
      <c r="Y20" s="392"/>
      <c r="Z20" s="392"/>
      <c r="AA20" s="392"/>
      <c r="AB20" s="392"/>
    </row>
    <row r="21" spans="1:28" s="393" customFormat="1" ht="15.75" customHeight="1" x14ac:dyDescent="0.25">
      <c r="A21" s="587" t="s">
        <v>7</v>
      </c>
      <c r="B21" s="1255"/>
      <c r="C21" s="812" t="s">
        <v>419</v>
      </c>
      <c r="D21" s="812"/>
      <c r="E21" s="812"/>
      <c r="F21" s="812"/>
      <c r="G21" s="571" t="s">
        <v>31</v>
      </c>
      <c r="H21" s="396"/>
      <c r="I21" s="397">
        <v>40</v>
      </c>
      <c r="J21" s="383">
        <f t="shared" si="0"/>
        <v>0</v>
      </c>
      <c r="K21" s="398">
        <f t="shared" si="1"/>
        <v>40</v>
      </c>
      <c r="L21" s="385"/>
      <c r="M21" s="1258"/>
      <c r="N21" s="1259"/>
      <c r="O21" s="404"/>
      <c r="P21" s="387"/>
      <c r="Q21" s="388"/>
      <c r="R21" s="383"/>
      <c r="S21" s="401"/>
      <c r="T21" s="402"/>
      <c r="U21" s="388">
        <f t="shared" si="2"/>
        <v>-40</v>
      </c>
      <c r="V21" s="552"/>
      <c r="W21" s="400"/>
      <c r="X21" s="392"/>
      <c r="Y21" s="392"/>
      <c r="Z21" s="392"/>
      <c r="AA21" s="392"/>
      <c r="AB21" s="392"/>
    </row>
    <row r="22" spans="1:28" s="393" customFormat="1" ht="15.75" customHeight="1" x14ac:dyDescent="0.25">
      <c r="A22" s="587" t="s">
        <v>7</v>
      </c>
      <c r="B22" s="1255"/>
      <c r="C22" s="1358" t="s">
        <v>259</v>
      </c>
      <c r="D22" s="1358"/>
      <c r="E22" s="1358"/>
      <c r="F22" s="1358"/>
      <c r="G22" s="571" t="s">
        <v>31</v>
      </c>
      <c r="H22" s="396"/>
      <c r="I22" s="397">
        <v>30</v>
      </c>
      <c r="J22" s="383">
        <f t="shared" si="0"/>
        <v>0</v>
      </c>
      <c r="K22" s="398">
        <f t="shared" si="1"/>
        <v>30</v>
      </c>
      <c r="L22" s="385"/>
      <c r="M22" s="1258"/>
      <c r="N22" s="1259"/>
      <c r="O22" s="404"/>
      <c r="P22" s="387"/>
      <c r="Q22" s="388"/>
      <c r="R22" s="383"/>
      <c r="S22" s="401"/>
      <c r="T22" s="402"/>
      <c r="U22" s="388">
        <f t="shared" si="2"/>
        <v>-30</v>
      </c>
      <c r="V22" s="552"/>
      <c r="W22" s="400"/>
      <c r="X22" s="392"/>
      <c r="Y22" s="392"/>
      <c r="Z22" s="392"/>
      <c r="AA22" s="392"/>
      <c r="AB22" s="392"/>
    </row>
    <row r="23" spans="1:28" s="393" customFormat="1" ht="15.75" customHeight="1" x14ac:dyDescent="0.25">
      <c r="A23" s="587" t="s">
        <v>8</v>
      </c>
      <c r="B23" s="1255"/>
      <c r="C23" s="1358" t="s">
        <v>560</v>
      </c>
      <c r="D23" s="1358"/>
      <c r="E23" s="1358"/>
      <c r="F23" s="1358"/>
      <c r="G23" s="571" t="s">
        <v>31</v>
      </c>
      <c r="H23" s="396"/>
      <c r="I23" s="397">
        <v>150</v>
      </c>
      <c r="J23" s="383">
        <f t="shared" si="0"/>
        <v>3</v>
      </c>
      <c r="K23" s="398">
        <f t="shared" si="1"/>
        <v>147</v>
      </c>
      <c r="L23" s="385"/>
      <c r="M23" s="1258"/>
      <c r="N23" s="1259"/>
      <c r="O23" s="404"/>
      <c r="P23" s="387"/>
      <c r="Q23" s="388"/>
      <c r="R23" s="383"/>
      <c r="S23" s="401"/>
      <c r="T23" s="402"/>
      <c r="U23" s="388">
        <f t="shared" si="2"/>
        <v>-147</v>
      </c>
      <c r="V23" s="552"/>
      <c r="W23" s="400"/>
      <c r="X23" s="392"/>
      <c r="Y23" s="392"/>
      <c r="Z23" s="392"/>
      <c r="AA23" s="392"/>
      <c r="AB23" s="392"/>
    </row>
    <row r="24" spans="1:28" s="393" customFormat="1" ht="15.75" customHeight="1" x14ac:dyDescent="0.25">
      <c r="A24" s="587" t="s">
        <v>7</v>
      </c>
      <c r="B24" s="1255"/>
      <c r="C24" s="1358" t="s">
        <v>454</v>
      </c>
      <c r="D24" s="1358"/>
      <c r="E24" s="1358"/>
      <c r="F24" s="1358"/>
      <c r="G24" s="571" t="s">
        <v>32</v>
      </c>
      <c r="H24" s="396"/>
      <c r="I24" s="397"/>
      <c r="J24" s="383"/>
      <c r="K24" s="398"/>
      <c r="L24" s="385"/>
      <c r="M24" s="568"/>
      <c r="N24" s="569"/>
      <c r="O24" s="404"/>
      <c r="P24" s="387"/>
      <c r="Q24" s="388"/>
      <c r="R24" s="383"/>
      <c r="S24" s="401"/>
      <c r="T24" s="402"/>
      <c r="U24" s="388">
        <f t="shared" si="2"/>
        <v>0</v>
      </c>
      <c r="V24" s="552"/>
      <c r="W24" s="400"/>
      <c r="X24" s="392"/>
      <c r="Y24" s="392"/>
      <c r="Z24" s="392"/>
      <c r="AA24" s="392"/>
      <c r="AB24" s="392"/>
    </row>
    <row r="25" spans="1:28" s="393" customFormat="1" ht="15.75" customHeight="1" x14ac:dyDescent="0.25">
      <c r="A25" s="587" t="s">
        <v>7</v>
      </c>
      <c r="B25" s="1255"/>
      <c r="C25" s="1358" t="s">
        <v>476</v>
      </c>
      <c r="D25" s="1358"/>
      <c r="E25" s="1358"/>
      <c r="F25" s="1358"/>
      <c r="G25" s="571" t="s">
        <v>455</v>
      </c>
      <c r="H25" s="396"/>
      <c r="I25" s="397"/>
      <c r="J25" s="383">
        <f t="shared" si="0"/>
        <v>0</v>
      </c>
      <c r="K25" s="398">
        <f t="shared" si="1"/>
        <v>0</v>
      </c>
      <c r="L25" s="385"/>
      <c r="M25" s="1258"/>
      <c r="N25" s="1259"/>
      <c r="O25" s="404"/>
      <c r="P25" s="387"/>
      <c r="Q25" s="388"/>
      <c r="R25" s="383"/>
      <c r="S25" s="401"/>
      <c r="T25" s="402"/>
      <c r="U25" s="388">
        <f t="shared" si="2"/>
        <v>0</v>
      </c>
      <c r="V25" s="552"/>
      <c r="W25" s="400"/>
      <c r="X25" s="392"/>
      <c r="Y25" s="392"/>
      <c r="Z25" s="392"/>
      <c r="AA25" s="392"/>
      <c r="AB25" s="392"/>
    </row>
    <row r="26" spans="1:28" s="393" customFormat="1" ht="18.75" customHeight="1" x14ac:dyDescent="0.25">
      <c r="A26" s="587" t="s">
        <v>7</v>
      </c>
      <c r="B26" s="1255"/>
      <c r="C26" s="804" t="s">
        <v>520</v>
      </c>
      <c r="D26" s="805"/>
      <c r="E26" s="805"/>
      <c r="F26" s="945"/>
      <c r="G26" s="571" t="s">
        <v>230</v>
      </c>
      <c r="H26" s="396"/>
      <c r="I26" s="397"/>
      <c r="J26" s="383">
        <f>IF(A26="Y",I26* 2%,0)</f>
        <v>0</v>
      </c>
      <c r="K26" s="398">
        <f>I26-J26</f>
        <v>0</v>
      </c>
      <c r="L26" s="385"/>
      <c r="M26" s="1258"/>
      <c r="N26" s="1259"/>
      <c r="O26" s="404"/>
      <c r="P26" s="387"/>
      <c r="Q26" s="388"/>
      <c r="R26" s="383"/>
      <c r="S26" s="401"/>
      <c r="T26" s="402"/>
      <c r="U26" s="388">
        <f>IF($U$15="BASE-UP   (B-A)", O26-K26,O26-S26)</f>
        <v>0</v>
      </c>
      <c r="V26" s="552"/>
      <c r="W26" s="400"/>
      <c r="X26" s="392"/>
      <c r="Y26" s="392"/>
      <c r="Z26" s="392"/>
      <c r="AA26" s="392"/>
      <c r="AB26" s="392"/>
    </row>
    <row r="27" spans="1:28" s="393" customFormat="1" ht="31.5" customHeight="1" x14ac:dyDescent="0.25">
      <c r="A27" s="587" t="s">
        <v>7</v>
      </c>
      <c r="B27" s="1256"/>
      <c r="C27" s="804" t="s">
        <v>492</v>
      </c>
      <c r="D27" s="805"/>
      <c r="E27" s="805"/>
      <c r="F27" s="945"/>
      <c r="G27" s="571" t="s">
        <v>31</v>
      </c>
      <c r="H27" s="396"/>
      <c r="I27" s="397"/>
      <c r="J27" s="383">
        <f t="shared" si="0"/>
        <v>0</v>
      </c>
      <c r="K27" s="398">
        <f>J28</f>
        <v>3</v>
      </c>
      <c r="L27" s="385"/>
      <c r="M27" s="1258"/>
      <c r="N27" s="1259"/>
      <c r="O27" s="404"/>
      <c r="P27" s="387"/>
      <c r="Q27" s="388"/>
      <c r="R27" s="383"/>
      <c r="S27" s="401"/>
      <c r="T27" s="402"/>
      <c r="U27" s="388">
        <f t="shared" si="2"/>
        <v>-3</v>
      </c>
      <c r="V27" s="552"/>
      <c r="W27" s="400"/>
      <c r="X27" s="392"/>
      <c r="Y27" s="392"/>
      <c r="Z27" s="392"/>
      <c r="AA27" s="392"/>
      <c r="AB27" s="392"/>
    </row>
    <row r="28" spans="1:28" s="392" customFormat="1" ht="14.5" x14ac:dyDescent="0.25">
      <c r="A28" s="408"/>
      <c r="B28" s="408"/>
      <c r="C28" s="408"/>
      <c r="D28" s="408"/>
      <c r="E28" s="409"/>
      <c r="F28" s="409"/>
      <c r="J28" s="410">
        <f>SUM(J16:J27)</f>
        <v>3</v>
      </c>
      <c r="K28" s="411"/>
      <c r="O28" s="412"/>
      <c r="P28" s="413"/>
      <c r="R28" s="410">
        <f>SUM(R16:R27)</f>
        <v>0</v>
      </c>
      <c r="S28" s="414"/>
      <c r="U28" s="415"/>
      <c r="V28" s="415"/>
      <c r="W28" s="416"/>
    </row>
    <row r="29" spans="1:28" s="430" customFormat="1" ht="16" thickBot="1" x14ac:dyDescent="0.3">
      <c r="A29" s="408"/>
      <c r="B29" s="417"/>
      <c r="C29" s="417"/>
      <c r="D29" s="417"/>
      <c r="E29" s="418"/>
      <c r="F29" s="419" t="s">
        <v>81</v>
      </c>
      <c r="G29" s="420"/>
      <c r="H29" s="421" t="s">
        <v>1</v>
      </c>
      <c r="I29" s="336">
        <f>SUM(I18:I28)</f>
        <v>720</v>
      </c>
      <c r="J29" s="422"/>
      <c r="K29" s="423">
        <f>SUM(K18:K28)</f>
        <v>720</v>
      </c>
      <c r="L29" s="424"/>
      <c r="M29" s="417" t="s">
        <v>1</v>
      </c>
      <c r="N29" s="417"/>
      <c r="O29" s="425">
        <f>SUM(O18:O28)</f>
        <v>0</v>
      </c>
      <c r="P29" s="424"/>
      <c r="Q29" s="426"/>
      <c r="R29" s="422"/>
      <c r="S29" s="427">
        <f>SUM(S28:S28)</f>
        <v>0</v>
      </c>
      <c r="T29" s="422"/>
      <c r="U29" s="428">
        <f>SUM(U18:U28)</f>
        <v>-720</v>
      </c>
      <c r="V29" s="544"/>
      <c r="W29" s="429"/>
    </row>
    <row r="30" spans="1:28" s="310" customFormat="1" ht="15.75" customHeight="1" thickTop="1" x14ac:dyDescent="0.25">
      <c r="A30" s="1254" t="s">
        <v>61</v>
      </c>
      <c r="B30" s="1254"/>
      <c r="C30" s="1254"/>
      <c r="D30" s="431"/>
      <c r="E30" s="432"/>
      <c r="F30" s="432"/>
      <c r="K30" s="433"/>
      <c r="L30" s="434"/>
      <c r="U30" s="435"/>
      <c r="V30" s="435"/>
      <c r="W30" s="436"/>
    </row>
    <row r="31" spans="1:28" s="437" customFormat="1" ht="18" customHeight="1" x14ac:dyDescent="0.25">
      <c r="A31" s="624">
        <v>1</v>
      </c>
      <c r="B31" s="1355"/>
      <c r="C31" s="1356"/>
      <c r="D31" s="1356"/>
      <c r="E31" s="1356"/>
      <c r="F31" s="1356"/>
      <c r="G31" s="1356"/>
      <c r="H31" s="1356"/>
      <c r="I31" s="1356"/>
      <c r="J31" s="1356"/>
      <c r="K31" s="1356"/>
      <c r="L31" s="1356"/>
      <c r="M31" s="1356"/>
      <c r="N31" s="1356"/>
      <c r="O31" s="1356"/>
      <c r="P31" s="1356"/>
      <c r="Q31" s="1356"/>
      <c r="R31" s="1356"/>
      <c r="S31" s="1356"/>
      <c r="T31" s="1356"/>
      <c r="U31" s="1356"/>
      <c r="V31" s="1356"/>
      <c r="W31" s="1357"/>
    </row>
    <row r="32" spans="1:28" s="437" customFormat="1" ht="18" customHeight="1" x14ac:dyDescent="0.25">
      <c r="A32" s="624">
        <v>2</v>
      </c>
      <c r="B32" s="1355"/>
      <c r="C32" s="1356"/>
      <c r="D32" s="1356"/>
      <c r="E32" s="1356"/>
      <c r="F32" s="1356"/>
      <c r="G32" s="1356"/>
      <c r="H32" s="1356"/>
      <c r="I32" s="1356"/>
      <c r="J32" s="1356"/>
      <c r="K32" s="1356"/>
      <c r="L32" s="1356"/>
      <c r="M32" s="1356"/>
      <c r="N32" s="1356"/>
      <c r="O32" s="1356"/>
      <c r="P32" s="1356"/>
      <c r="Q32" s="1356"/>
      <c r="R32" s="1356"/>
      <c r="S32" s="1356"/>
      <c r="T32" s="1356"/>
      <c r="U32" s="1356"/>
      <c r="V32" s="1356"/>
      <c r="W32" s="1357"/>
    </row>
    <row r="33" spans="1:23" s="437" customFormat="1" ht="18" customHeight="1" x14ac:dyDescent="0.25">
      <c r="A33" s="624">
        <v>3</v>
      </c>
      <c r="B33" s="1355"/>
      <c r="C33" s="1356"/>
      <c r="D33" s="1356"/>
      <c r="E33" s="1356"/>
      <c r="F33" s="1356"/>
      <c r="G33" s="1356"/>
      <c r="H33" s="1356"/>
      <c r="I33" s="1356"/>
      <c r="J33" s="1356"/>
      <c r="K33" s="1356"/>
      <c r="L33" s="1356"/>
      <c r="M33" s="1356"/>
      <c r="N33" s="1356"/>
      <c r="O33" s="1356"/>
      <c r="P33" s="1356"/>
      <c r="Q33" s="1356"/>
      <c r="R33" s="1356"/>
      <c r="S33" s="1356"/>
      <c r="T33" s="1356"/>
      <c r="U33" s="1356"/>
      <c r="V33" s="1356"/>
      <c r="W33" s="1357"/>
    </row>
    <row r="34" spans="1:23" s="310" customFormat="1" ht="19.5" customHeight="1" x14ac:dyDescent="0.25">
      <c r="A34" s="624">
        <v>4</v>
      </c>
      <c r="B34" s="1355"/>
      <c r="C34" s="1356"/>
      <c r="D34" s="1356"/>
      <c r="E34" s="1356"/>
      <c r="F34" s="1356"/>
      <c r="G34" s="1356"/>
      <c r="H34" s="1356"/>
      <c r="I34" s="1356"/>
      <c r="J34" s="1356"/>
      <c r="K34" s="1356"/>
      <c r="L34" s="1356"/>
      <c r="M34" s="1356"/>
      <c r="N34" s="1356"/>
      <c r="O34" s="1356"/>
      <c r="P34" s="1356"/>
      <c r="Q34" s="1356"/>
      <c r="R34" s="1356"/>
      <c r="S34" s="1356"/>
      <c r="T34" s="1356"/>
      <c r="U34" s="1356"/>
      <c r="V34" s="1356"/>
      <c r="W34" s="1357"/>
    </row>
    <row r="35" spans="1:23" s="310" customFormat="1" x14ac:dyDescent="0.25">
      <c r="A35" s="316"/>
      <c r="B35" s="316"/>
      <c r="C35" s="316"/>
      <c r="D35" s="316"/>
      <c r="E35" s="432"/>
      <c r="F35" s="432"/>
      <c r="K35" s="438"/>
      <c r="U35" s="435"/>
      <c r="V35" s="435"/>
      <c r="W35" s="436"/>
    </row>
    <row r="36" spans="1:23" s="310" customFormat="1" x14ac:dyDescent="0.25">
      <c r="A36" s="316"/>
      <c r="B36" s="316"/>
      <c r="C36" s="316"/>
      <c r="D36" s="316"/>
      <c r="E36" s="432"/>
      <c r="F36" s="432"/>
      <c r="K36" s="438"/>
      <c r="U36" s="435"/>
      <c r="V36" s="435"/>
      <c r="W36" s="436"/>
    </row>
    <row r="39" spans="1:23" x14ac:dyDescent="0.25">
      <c r="A39" s="470" t="s">
        <v>7</v>
      </c>
    </row>
  </sheetData>
  <sheetProtection insertRows="0"/>
  <mergeCells count="83">
    <mergeCell ref="A1:K1"/>
    <mergeCell ref="A3:O3"/>
    <mergeCell ref="Q3:W3"/>
    <mergeCell ref="A4:C4"/>
    <mergeCell ref="D4:E4"/>
    <mergeCell ref="F4:G4"/>
    <mergeCell ref="I4:L4"/>
    <mergeCell ref="M4:N4"/>
    <mergeCell ref="Q4:W4"/>
    <mergeCell ref="L1:U1"/>
    <mergeCell ref="V14:V15"/>
    <mergeCell ref="Q13:S13"/>
    <mergeCell ref="R14:R15"/>
    <mergeCell ref="W14:W15"/>
    <mergeCell ref="Q5:W6"/>
    <mergeCell ref="Q7:W8"/>
    <mergeCell ref="Q9:W10"/>
    <mergeCell ref="Q11:W11"/>
    <mergeCell ref="M5:N5"/>
    <mergeCell ref="M6:N6"/>
    <mergeCell ref="M8:N8"/>
    <mergeCell ref="A7:C7"/>
    <mergeCell ref="D7:E7"/>
    <mergeCell ref="I7:L7"/>
    <mergeCell ref="F7:G7"/>
    <mergeCell ref="A5:C5"/>
    <mergeCell ref="D5:E5"/>
    <mergeCell ref="F6:G6"/>
    <mergeCell ref="F5:G5"/>
    <mergeCell ref="I5:L5"/>
    <mergeCell ref="A6:C6"/>
    <mergeCell ref="D6:E6"/>
    <mergeCell ref="I6:L6"/>
    <mergeCell ref="A10:C11"/>
    <mergeCell ref="D10:E11"/>
    <mergeCell ref="A8:C8"/>
    <mergeCell ref="D8:E8"/>
    <mergeCell ref="D9:E9"/>
    <mergeCell ref="A9:C9"/>
    <mergeCell ref="M14:N14"/>
    <mergeCell ref="I14:I15"/>
    <mergeCell ref="J14:J15"/>
    <mergeCell ref="I8:L8"/>
    <mergeCell ref="F9:G9"/>
    <mergeCell ref="F11:G11"/>
    <mergeCell ref="F8:G8"/>
    <mergeCell ref="I9:L9"/>
    <mergeCell ref="I13:K13"/>
    <mergeCell ref="M13:O13"/>
    <mergeCell ref="F10:G10"/>
    <mergeCell ref="I10:L10"/>
    <mergeCell ref="M10:N10"/>
    <mergeCell ref="I11:L11"/>
    <mergeCell ref="M9:N9"/>
    <mergeCell ref="M15:N15"/>
    <mergeCell ref="M16:N16"/>
    <mergeCell ref="M17:N17"/>
    <mergeCell ref="M18:N18"/>
    <mergeCell ref="M19:N19"/>
    <mergeCell ref="M21:N21"/>
    <mergeCell ref="M20:N20"/>
    <mergeCell ref="B33:W33"/>
    <mergeCell ref="M25:N25"/>
    <mergeCell ref="M27:N27"/>
    <mergeCell ref="A30:C30"/>
    <mergeCell ref="B31:W31"/>
    <mergeCell ref="B32:W32"/>
    <mergeCell ref="B34:W34"/>
    <mergeCell ref="C14:F15"/>
    <mergeCell ref="B18:B27"/>
    <mergeCell ref="C23:F23"/>
    <mergeCell ref="C24:F24"/>
    <mergeCell ref="C25:F25"/>
    <mergeCell ref="C26:F26"/>
    <mergeCell ref="C27:F27"/>
    <mergeCell ref="C18:F18"/>
    <mergeCell ref="C19:F19"/>
    <mergeCell ref="C20:F20"/>
    <mergeCell ref="C21:F21"/>
    <mergeCell ref="C22:F22"/>
    <mergeCell ref="M22:N22"/>
    <mergeCell ref="M23:N23"/>
    <mergeCell ref="M26:N26"/>
  </mergeCells>
  <conditionalFormatting sqref="I16:I27">
    <cfRule type="cellIs" dxfId="29" priority="4" stopIfTrue="1" operator="equal">
      <formula>0</formula>
    </cfRule>
  </conditionalFormatting>
  <conditionalFormatting sqref="I18:K27">
    <cfRule type="cellIs" dxfId="28" priority="2" operator="equal">
      <formula>0</formula>
    </cfRule>
  </conditionalFormatting>
  <conditionalFormatting sqref="M16:O27">
    <cfRule type="expression" dxfId="27" priority="3">
      <formula>MOD(ROW(),2)=0</formula>
    </cfRule>
  </conditionalFormatting>
  <conditionalFormatting sqref="Q16:S27">
    <cfRule type="cellIs" dxfId="26" priority="6" stopIfTrue="1" operator="equal">
      <formula>0</formula>
    </cfRule>
  </conditionalFormatting>
  <conditionalFormatting sqref="U12:V13 U30:V30 U35:V65522">
    <cfRule type="cellIs" dxfId="25" priority="5" stopIfTrue="1" operator="notEqual">
      <formula>0</formula>
    </cfRule>
  </conditionalFormatting>
  <conditionalFormatting sqref="V18:V27">
    <cfRule type="cellIs" dxfId="24" priority="1" operator="greaterThan">
      <formula>0</formula>
    </cfRule>
  </conditionalFormatting>
  <dataValidations count="1">
    <dataValidation type="list" allowBlank="1" showInputMessage="1" showErrorMessage="1" sqref="U15" xr:uid="{00000000-0002-0000-2600-000000000000}">
      <formula1>Distribution_Method</formula1>
    </dataValidation>
  </dataValidations>
  <printOptions horizontalCentered="1"/>
  <pageMargins left="0.25" right="0.25" top="0.75" bottom="0.5" header="0.25" footer="0.25"/>
  <pageSetup scale="77" orientation="landscape" r:id="rId1"/>
  <headerFooter alignWithMargins="0">
    <oddHeader>&amp;CSUPERIOR OF COURT OF _________ COUNTY
Revenue Calculation and Distribution Worksheet</oddHeader>
    <oddFooter>&amp;L&amp;F&amp;R&amp;P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9441" r:id="rId4" name="Button 1">
              <controlPr defaultSize="0" print="0" autoFill="0" autoPict="0" macro="mcr_GoToSummary">
                <anchor moveWithCells="1">
                  <from>
                    <xdr:col>0</xdr:col>
                    <xdr:colOff>88900</xdr:colOff>
                    <xdr:row>0</xdr:row>
                    <xdr:rowOff>0</xdr:rowOff>
                  </from>
                  <to>
                    <xdr:col>2</xdr:col>
                    <xdr:colOff>1028700</xdr:colOff>
                    <xdr:row>1</xdr:row>
                    <xdr:rowOff>31750</xdr:rowOff>
                  </to>
                </anchor>
              </controlPr>
            </control>
          </mc:Choice>
        </mc:AlternateContent>
        <mc:AlternateContent xmlns:mc="http://schemas.openxmlformats.org/markup-compatibility/2006">
          <mc:Choice Requires="x14">
            <control shapeId="189442" r:id="rId5" name="Button 2">
              <controlPr defaultSize="0" print="0" autoFill="0" autoPict="0" macro="[0]!mcrDisableTwoPercentUnprotect">
                <anchor moveWithCells="1">
                  <from>
                    <xdr:col>0</xdr:col>
                    <xdr:colOff>12700</xdr:colOff>
                    <xdr:row>13</xdr:row>
                    <xdr:rowOff>527050</xdr:rowOff>
                  </from>
                  <to>
                    <xdr:col>0</xdr:col>
                    <xdr:colOff>279400</xdr:colOff>
                    <xdr:row>14</xdr:row>
                    <xdr:rowOff>222250</xdr:rowOff>
                  </to>
                </anchor>
              </controlPr>
            </control>
          </mc:Choice>
        </mc:AlternateContent>
        <mc:AlternateContent xmlns:mc="http://schemas.openxmlformats.org/markup-compatibility/2006">
          <mc:Choice Requires="x14">
            <control shapeId="189443" r:id="rId6" name="Button 3">
              <controlPr defaultSize="0" print="0" autoFill="0" autoPict="0" macro="[0]!mcrEnableTwoPercentUnprotect">
                <anchor moveWithCells="1">
                  <from>
                    <xdr:col>0</xdr:col>
                    <xdr:colOff>0</xdr:colOff>
                    <xdr:row>13</xdr:row>
                    <xdr:rowOff>222250</xdr:rowOff>
                  </from>
                  <to>
                    <xdr:col>0</xdr:col>
                    <xdr:colOff>266700</xdr:colOff>
                    <xdr:row>13</xdr:row>
                    <xdr:rowOff>552450</xdr:rowOff>
                  </to>
                </anchor>
              </controlPr>
            </control>
          </mc:Choice>
        </mc:AlternateContent>
      </controls>
    </mc:Choice>
  </mc:AlternateConten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26">
    <tabColor theme="6"/>
    <pageSetUpPr fitToPage="1"/>
  </sheetPr>
  <dimension ref="A1:AC48"/>
  <sheetViews>
    <sheetView zoomScale="80" zoomScaleNormal="80" workbookViewId="0">
      <pane ySplit="1" topLeftCell="A2" activePane="bottomLeft" state="frozen"/>
      <selection sqref="A1:K1"/>
      <selection pane="bottomLeft" sqref="A1:L1"/>
    </sheetView>
  </sheetViews>
  <sheetFormatPr defaultColWidth="9.1796875" defaultRowHeight="18.5" x14ac:dyDescent="0.25"/>
  <cols>
    <col min="1" max="1" width="4.26953125" style="87" customWidth="1"/>
    <col min="2" max="2" width="4.7265625" style="87" customWidth="1"/>
    <col min="3" max="3" width="13.54296875" style="87" customWidth="1"/>
    <col min="4" max="4" width="12.453125" style="87" customWidth="1"/>
    <col min="5" max="5" width="10.7265625" style="88" customWidth="1"/>
    <col min="6" max="6" width="17.54296875" style="121" customWidth="1"/>
    <col min="7" max="7" width="11" style="46" customWidth="1"/>
    <col min="8" max="8" width="30.7265625" style="46" hidden="1" customWidth="1"/>
    <col min="9" max="9" width="9" style="46" customWidth="1"/>
    <col min="10" max="10" width="14.1796875" style="46" hidden="1" customWidth="1"/>
    <col min="11" max="11" width="6" style="46" customWidth="1"/>
    <col min="12" max="12" width="11.1796875" style="92" customWidth="1"/>
    <col min="13" max="13" width="1.7265625" style="89" customWidth="1"/>
    <col min="14" max="14" width="15.26953125" style="46" customWidth="1"/>
    <col min="15" max="15" width="1.54296875" style="46" customWidth="1"/>
    <col min="16" max="16" width="11" style="46" customWidth="1"/>
    <col min="17" max="17" width="1.81640625" style="89" customWidth="1"/>
    <col min="18" max="18" width="10.81640625" style="89" customWidth="1"/>
    <col min="19" max="19" width="5.7265625" style="89" customWidth="1"/>
    <col min="20" max="20" width="10.7265625" style="89" customWidth="1"/>
    <col min="21" max="21" width="1.81640625" style="50" customWidth="1"/>
    <col min="22" max="22" width="12.453125" style="90" customWidth="1"/>
    <col min="23" max="23" width="6" style="90" customWidth="1"/>
    <col min="24" max="24" width="18.54296875" style="91" customWidth="1"/>
    <col min="25" max="25" width="2.1796875" style="50" customWidth="1"/>
    <col min="26" max="26" width="11.26953125" style="50" customWidth="1"/>
    <col min="27" max="27" width="11.1796875" style="50" customWidth="1"/>
    <col min="28" max="29" width="9.1796875" style="50"/>
    <col min="30" max="16384" width="9.1796875" style="46"/>
  </cols>
  <sheetData>
    <row r="1" spans="1:29" ht="20.25" customHeight="1" thickBot="1" x14ac:dyDescent="0.3">
      <c r="A1" s="1081" t="s">
        <v>328</v>
      </c>
      <c r="B1" s="1082"/>
      <c r="C1" s="1082"/>
      <c r="D1" s="1082"/>
      <c r="E1" s="1082"/>
      <c r="F1" s="1082"/>
      <c r="G1" s="1082"/>
      <c r="H1" s="1082"/>
      <c r="I1" s="1082"/>
      <c r="J1" s="1082"/>
      <c r="K1" s="1082"/>
      <c r="L1" s="1082"/>
      <c r="M1" s="1079"/>
      <c r="N1" s="1079"/>
      <c r="O1" s="1079"/>
      <c r="P1" s="1079"/>
      <c r="Q1" s="1079"/>
      <c r="R1" s="1079"/>
      <c r="S1" s="1079"/>
      <c r="T1" s="1079"/>
      <c r="U1" s="1079"/>
      <c r="V1" s="1079"/>
      <c r="W1" s="592" t="s">
        <v>485</v>
      </c>
      <c r="X1" s="612" t="str">
        <f>'Cover Page'!A3</f>
        <v>January 2014</v>
      </c>
    </row>
    <row r="2" spans="1:29" s="50" customFormat="1" ht="6" customHeight="1" thickBot="1" x14ac:dyDescent="0.3">
      <c r="A2" s="47"/>
      <c r="B2" s="47"/>
      <c r="C2" s="47"/>
      <c r="D2" s="47"/>
      <c r="E2" s="47"/>
      <c r="F2" s="47"/>
      <c r="G2" s="47"/>
      <c r="H2" s="47"/>
      <c r="I2" s="47"/>
      <c r="J2" s="47"/>
      <c r="K2" s="48"/>
      <c r="L2" s="48"/>
      <c r="M2" s="48"/>
      <c r="N2" s="48"/>
      <c r="O2" s="48"/>
      <c r="P2" s="49"/>
      <c r="Q2" s="49"/>
      <c r="R2" s="49"/>
      <c r="S2" s="49"/>
      <c r="T2" s="49"/>
      <c r="U2" s="49"/>
      <c r="V2" s="49"/>
      <c r="W2" s="49"/>
      <c r="X2" s="49"/>
    </row>
    <row r="3" spans="1:29" s="50" customFormat="1" ht="19" thickBot="1" x14ac:dyDescent="0.3">
      <c r="A3" s="630" t="s">
        <v>234</v>
      </c>
      <c r="B3" s="631"/>
      <c r="C3" s="631"/>
      <c r="D3" s="631"/>
      <c r="E3" s="631"/>
      <c r="F3" s="631"/>
      <c r="G3" s="631"/>
      <c r="H3" s="631"/>
      <c r="I3" s="631"/>
      <c r="J3" s="631"/>
      <c r="K3" s="631"/>
      <c r="L3" s="631"/>
      <c r="M3" s="631"/>
      <c r="N3" s="1221"/>
      <c r="O3" s="1245"/>
      <c r="P3" s="637"/>
      <c r="Q3" s="159"/>
      <c r="R3" s="901" t="s">
        <v>261</v>
      </c>
      <c r="S3" s="902"/>
      <c r="T3" s="902"/>
      <c r="U3" s="902"/>
      <c r="V3" s="902"/>
      <c r="W3" s="902"/>
      <c r="X3" s="903"/>
      <c r="Z3" s="159" t="s">
        <v>250</v>
      </c>
      <c r="AA3" s="120"/>
    </row>
    <row r="4" spans="1:29" s="53" customFormat="1" ht="15.5" x14ac:dyDescent="0.25">
      <c r="A4" s="904" t="s">
        <v>231</v>
      </c>
      <c r="B4" s="905"/>
      <c r="C4" s="905"/>
      <c r="D4" s="906">
        <f>M1</f>
        <v>0</v>
      </c>
      <c r="E4" s="907"/>
      <c r="F4" s="1173" t="s">
        <v>28</v>
      </c>
      <c r="G4" s="1087"/>
      <c r="H4" s="190"/>
      <c r="I4" s="1170"/>
      <c r="J4" s="1170"/>
      <c r="K4" s="1170"/>
      <c r="L4" s="1170"/>
      <c r="M4" s="1170"/>
      <c r="N4" s="910" t="s">
        <v>257</v>
      </c>
      <c r="O4" s="910"/>
      <c r="P4" s="191"/>
      <c r="Q4" s="95"/>
      <c r="R4" s="911" t="s">
        <v>236</v>
      </c>
      <c r="S4" s="912"/>
      <c r="T4" s="912"/>
      <c r="U4" s="912"/>
      <c r="V4" s="912"/>
      <c r="W4" s="912"/>
      <c r="X4" s="913"/>
      <c r="Z4" s="243" t="s">
        <v>308</v>
      </c>
      <c r="AA4" s="241" t="s">
        <v>309</v>
      </c>
      <c r="AB4" s="241" t="s">
        <v>310</v>
      </c>
    </row>
    <row r="5" spans="1:29" s="53" customFormat="1" ht="15.5" x14ac:dyDescent="0.25">
      <c r="A5" s="882" t="s">
        <v>4</v>
      </c>
      <c r="B5" s="883"/>
      <c r="C5" s="883"/>
      <c r="D5" s="894"/>
      <c r="E5" s="885"/>
      <c r="F5" s="1107" t="s">
        <v>244</v>
      </c>
      <c r="G5" s="1086"/>
      <c r="H5" s="167"/>
      <c r="I5" s="1160"/>
      <c r="J5" s="1160"/>
      <c r="K5" s="1160"/>
      <c r="L5" s="1160"/>
      <c r="M5" s="1160"/>
      <c r="N5" s="872" t="s">
        <v>22</v>
      </c>
      <c r="O5" s="872"/>
      <c r="P5" s="54"/>
      <c r="Q5" s="95"/>
      <c r="R5" s="897" t="s">
        <v>391</v>
      </c>
      <c r="S5" s="898"/>
      <c r="T5" s="898"/>
      <c r="U5" s="898"/>
      <c r="V5" s="898"/>
      <c r="W5" s="898"/>
      <c r="X5" s="899"/>
      <c r="Z5" s="157" t="s">
        <v>31</v>
      </c>
      <c r="AA5" s="161">
        <f>SUMIF($G$16:$G$39,"STATE",$L$16:$L$39)</f>
        <v>587.80000000000007</v>
      </c>
      <c r="AB5" s="161">
        <f>SUMIF($G$16:$G$39,"STATE",$T$16:$T$39)</f>
        <v>0</v>
      </c>
    </row>
    <row r="6" spans="1:29" s="53" customFormat="1" ht="16" thickBot="1" x14ac:dyDescent="0.3">
      <c r="A6" s="882" t="s">
        <v>12</v>
      </c>
      <c r="B6" s="883"/>
      <c r="C6" s="883"/>
      <c r="D6" s="884"/>
      <c r="E6" s="885"/>
      <c r="F6" s="1107" t="s">
        <v>20</v>
      </c>
      <c r="G6" s="1086"/>
      <c r="H6" s="167"/>
      <c r="I6" s="1160" t="s">
        <v>11</v>
      </c>
      <c r="J6" s="1160"/>
      <c r="K6" s="1160"/>
      <c r="L6" s="1160"/>
      <c r="M6" s="1160"/>
      <c r="N6" s="848" t="s">
        <v>233</v>
      </c>
      <c r="O6" s="848"/>
      <c r="P6" s="194">
        <f>P4+P5*10</f>
        <v>0</v>
      </c>
      <c r="Q6" s="95"/>
      <c r="R6" s="891" t="s">
        <v>573</v>
      </c>
      <c r="S6" s="892"/>
      <c r="T6" s="892"/>
      <c r="U6" s="892"/>
      <c r="V6" s="892"/>
      <c r="W6" s="892"/>
      <c r="X6" s="893"/>
      <c r="Z6" s="157" t="s">
        <v>32</v>
      </c>
      <c r="AA6" s="161">
        <f>SUMIF($G$16:$G$39,"COUNTY",$L$16:$L$39)</f>
        <v>333.20000000000005</v>
      </c>
      <c r="AB6" s="161">
        <f>SUMIF($G$16:$G$39,"COUNTY",$T$16:$T$39)</f>
        <v>0</v>
      </c>
    </row>
    <row r="7" spans="1:29" s="53" customFormat="1" ht="16" thickBot="1" x14ac:dyDescent="0.3">
      <c r="A7" s="882" t="s">
        <v>5</v>
      </c>
      <c r="B7" s="883"/>
      <c r="C7" s="883"/>
      <c r="D7" s="884"/>
      <c r="E7" s="885"/>
      <c r="F7" s="1106" t="s">
        <v>21</v>
      </c>
      <c r="G7" s="1077"/>
      <c r="H7" s="219"/>
      <c r="I7" s="1162"/>
      <c r="J7" s="1162"/>
      <c r="K7" s="1162"/>
      <c r="L7" s="1162"/>
      <c r="M7" s="967"/>
      <c r="N7" s="216"/>
      <c r="O7" s="220"/>
      <c r="P7" s="217"/>
      <c r="Q7" s="95"/>
      <c r="R7" s="888" t="s">
        <v>332</v>
      </c>
      <c r="S7" s="889"/>
      <c r="T7" s="889"/>
      <c r="U7" s="889"/>
      <c r="V7" s="889"/>
      <c r="W7" s="889"/>
      <c r="X7" s="890"/>
      <c r="Z7" s="157" t="s">
        <v>52</v>
      </c>
      <c r="AA7" s="161">
        <f>SUMIF($G$16:$G$39,"CITY",$L$16:$L$39)</f>
        <v>0</v>
      </c>
      <c r="AB7" s="161">
        <f>SUMIF($G$16:$G$39,"CITY",$T$16:$T$39)</f>
        <v>0</v>
      </c>
    </row>
    <row r="8" spans="1:29" s="53" customFormat="1" ht="15.75" customHeight="1" x14ac:dyDescent="0.25">
      <c r="A8" s="873" t="s">
        <v>444</v>
      </c>
      <c r="B8" s="874"/>
      <c r="C8" s="874"/>
      <c r="D8" s="1163" t="s">
        <v>436</v>
      </c>
      <c r="E8" s="1184"/>
      <c r="F8" s="904" t="s">
        <v>253</v>
      </c>
      <c r="G8" s="905"/>
      <c r="H8" s="169"/>
      <c r="I8" s="1167"/>
      <c r="J8" s="1167"/>
      <c r="K8" s="1167"/>
      <c r="L8" s="1167"/>
      <c r="M8" s="1167"/>
      <c r="N8" s="881" t="s">
        <v>257</v>
      </c>
      <c r="O8" s="881"/>
      <c r="P8" s="51">
        <v>0</v>
      </c>
      <c r="Q8" s="138"/>
      <c r="R8" s="862" t="s">
        <v>303</v>
      </c>
      <c r="S8" s="863"/>
      <c r="T8" s="863"/>
      <c r="U8" s="863"/>
      <c r="V8" s="863"/>
      <c r="W8" s="863"/>
      <c r="X8" s="864"/>
      <c r="Z8" s="157" t="s">
        <v>230</v>
      </c>
      <c r="AA8" s="161">
        <f>SUMIF($G$16:$G$39,"COURT",$L$16:$L$39)</f>
        <v>0</v>
      </c>
      <c r="AB8" s="161">
        <f>SUMIF($G$16:$G$39,"COURT",$T$16:$T$39)</f>
        <v>0</v>
      </c>
    </row>
    <row r="9" spans="1:29" s="53" customFormat="1" ht="18" customHeight="1" thickBot="1" x14ac:dyDescent="0.3">
      <c r="A9" s="868" t="s">
        <v>85</v>
      </c>
      <c r="B9" s="869"/>
      <c r="C9" s="869"/>
      <c r="D9" s="870" t="str">
        <f>IF(D8="Yes", "No", "Yes")</f>
        <v>No</v>
      </c>
      <c r="E9" s="871"/>
      <c r="F9" s="1107" t="s">
        <v>244</v>
      </c>
      <c r="G9" s="1086"/>
      <c r="H9" s="167"/>
      <c r="I9" s="1160"/>
      <c r="J9" s="1160"/>
      <c r="K9" s="1160"/>
      <c r="L9" s="1160"/>
      <c r="M9" s="1160"/>
      <c r="N9" s="872" t="s">
        <v>22</v>
      </c>
      <c r="O9" s="872"/>
      <c r="P9" s="54"/>
      <c r="Q9" s="138"/>
      <c r="R9" s="865"/>
      <c r="S9" s="866"/>
      <c r="T9" s="866"/>
      <c r="U9" s="866"/>
      <c r="V9" s="866"/>
      <c r="W9" s="866"/>
      <c r="X9" s="867"/>
      <c r="Z9" s="84" t="s">
        <v>456</v>
      </c>
      <c r="AA9" s="161">
        <f>SUMIF($G$16:$G$39,"ST or CNTY",$L$16:$L$39)</f>
        <v>49</v>
      </c>
      <c r="AB9" s="161">
        <f>SUMIF($G$16:$G$39,"ST or CNTY",$T$16:$T$39)</f>
        <v>0</v>
      </c>
    </row>
    <row r="10" spans="1:29" s="53" customFormat="1" ht="16.5" customHeight="1" thickBot="1" x14ac:dyDescent="0.3">
      <c r="A10" s="840" t="s">
        <v>276</v>
      </c>
      <c r="B10" s="841"/>
      <c r="C10" s="841"/>
      <c r="D10" s="1066">
        <f>P6+P10+I16+I17</f>
        <v>200</v>
      </c>
      <c r="E10" s="1067"/>
      <c r="F10" s="1107" t="s">
        <v>20</v>
      </c>
      <c r="G10" s="1086"/>
      <c r="H10" s="167"/>
      <c r="I10" s="1160"/>
      <c r="J10" s="1160"/>
      <c r="K10" s="1160"/>
      <c r="L10" s="1160"/>
      <c r="M10" s="1160"/>
      <c r="N10" s="848" t="s">
        <v>233</v>
      </c>
      <c r="O10" s="848"/>
      <c r="P10" s="194">
        <f>P8+P9*10</f>
        <v>0</v>
      </c>
      <c r="Q10" s="218"/>
      <c r="R10" s="849" t="s">
        <v>239</v>
      </c>
      <c r="S10" s="850"/>
      <c r="T10" s="850"/>
      <c r="U10" s="850"/>
      <c r="V10" s="850"/>
      <c r="W10" s="850"/>
      <c r="X10" s="851"/>
      <c r="Z10" s="158" t="s">
        <v>246</v>
      </c>
      <c r="AA10" s="134">
        <f>SUM(AA5:AA9)</f>
        <v>970.00000000000011</v>
      </c>
      <c r="AB10" s="134">
        <f>SUM(AB5:AB9)</f>
        <v>0</v>
      </c>
    </row>
    <row r="11" spans="1:29" s="53" customFormat="1" ht="16.5" customHeight="1" thickBot="1" x14ac:dyDescent="0.3">
      <c r="A11" s="852" t="s">
        <v>277</v>
      </c>
      <c r="B11" s="853"/>
      <c r="C11" s="853"/>
      <c r="D11" s="854">
        <f>ROUNDUP(D10/10,0)</f>
        <v>20</v>
      </c>
      <c r="E11" s="855"/>
      <c r="F11" s="1153" t="s">
        <v>21</v>
      </c>
      <c r="G11" s="1069"/>
      <c r="H11" s="168"/>
      <c r="I11" s="1154"/>
      <c r="J11" s="1154"/>
      <c r="K11" s="1154"/>
      <c r="L11" s="1154"/>
      <c r="M11" s="1354"/>
      <c r="N11" s="860" t="s">
        <v>568</v>
      </c>
      <c r="O11" s="1239"/>
      <c r="P11" s="632">
        <f>'1-DUI (Reduce Base)'!P11</f>
        <v>5</v>
      </c>
      <c r="Q11" s="218"/>
      <c r="R11" s="837" t="s">
        <v>430</v>
      </c>
      <c r="S11" s="838"/>
      <c r="T11" s="838"/>
      <c r="U11" s="838"/>
      <c r="V11" s="838"/>
      <c r="W11" s="838"/>
      <c r="X11" s="839"/>
      <c r="AA11" s="242">
        <f>AA10-L41</f>
        <v>0</v>
      </c>
      <c r="AB11" s="242">
        <f>AB10-T41</f>
        <v>0</v>
      </c>
    </row>
    <row r="12" spans="1:29" s="53" customFormat="1" ht="15.75" customHeight="1" thickBot="1" x14ac:dyDescent="0.3">
      <c r="A12" s="193"/>
      <c r="B12" s="193"/>
      <c r="C12" s="173"/>
      <c r="D12" s="173"/>
      <c r="E12" s="173"/>
      <c r="F12" s="60"/>
      <c r="G12" s="55"/>
      <c r="H12" s="56"/>
      <c r="I12" s="57"/>
      <c r="J12" s="57"/>
      <c r="K12" s="57"/>
      <c r="L12" s="57"/>
      <c r="M12" s="57"/>
      <c r="P12" s="52"/>
      <c r="Q12" s="52"/>
      <c r="R12" s="52"/>
      <c r="S12" s="52"/>
      <c r="T12" s="52"/>
      <c r="U12" s="52"/>
      <c r="V12" s="58"/>
      <c r="W12" s="58"/>
      <c r="X12" s="56"/>
      <c r="AB12" s="59"/>
    </row>
    <row r="13" spans="1:29" s="98" customFormat="1" ht="18.75" customHeight="1" thickBot="1" x14ac:dyDescent="0.3">
      <c r="A13" s="174"/>
      <c r="B13" s="174"/>
      <c r="C13" s="174"/>
      <c r="D13" s="174"/>
      <c r="E13" s="174"/>
      <c r="F13" s="96"/>
      <c r="G13" s="97"/>
      <c r="I13" s="821" t="s">
        <v>297</v>
      </c>
      <c r="J13" s="822"/>
      <c r="K13" s="822"/>
      <c r="L13" s="823"/>
      <c r="M13" s="99"/>
      <c r="N13" s="1155" t="s">
        <v>229</v>
      </c>
      <c r="O13" s="1156"/>
      <c r="P13" s="1157"/>
      <c r="Q13" s="100"/>
      <c r="R13" s="824" t="s">
        <v>295</v>
      </c>
      <c r="S13" s="825"/>
      <c r="T13" s="826"/>
      <c r="U13" s="207"/>
      <c r="V13" s="143"/>
      <c r="W13" s="143"/>
      <c r="X13" s="144"/>
      <c r="Y13" s="97"/>
      <c r="Z13" s="97"/>
      <c r="AA13" s="97"/>
      <c r="AB13" s="97"/>
      <c r="AC13" s="97"/>
    </row>
    <row r="14" spans="1:29" ht="44.25" customHeight="1" thickBot="1" x14ac:dyDescent="0.3">
      <c r="A14" s="101">
        <v>0.02</v>
      </c>
      <c r="B14" s="101" t="s">
        <v>58</v>
      </c>
      <c r="C14" s="827" t="s">
        <v>226</v>
      </c>
      <c r="D14" s="828"/>
      <c r="E14" s="828"/>
      <c r="F14" s="829"/>
      <c r="G14" s="102" t="s">
        <v>249</v>
      </c>
      <c r="H14" s="103" t="s">
        <v>0</v>
      </c>
      <c r="I14" s="170" t="s">
        <v>298</v>
      </c>
      <c r="J14" s="109" t="s">
        <v>252</v>
      </c>
      <c r="K14" s="835" t="s">
        <v>6</v>
      </c>
      <c r="L14" s="215" t="s">
        <v>299</v>
      </c>
      <c r="M14" s="61"/>
      <c r="N14" s="1122" t="s">
        <v>260</v>
      </c>
      <c r="O14" s="1123"/>
      <c r="P14" s="109" t="s">
        <v>248</v>
      </c>
      <c r="Q14" s="110"/>
      <c r="R14" s="564" t="s">
        <v>428</v>
      </c>
      <c r="S14" s="835" t="s">
        <v>6</v>
      </c>
      <c r="T14" s="215" t="s">
        <v>299</v>
      </c>
      <c r="U14" s="209"/>
      <c r="V14" s="189" t="s">
        <v>256</v>
      </c>
      <c r="W14" s="1148" t="s">
        <v>61</v>
      </c>
      <c r="X14" s="1150" t="s">
        <v>384</v>
      </c>
    </row>
    <row r="15" spans="1:29" ht="30.75" customHeight="1" thickBot="1" x14ac:dyDescent="0.3">
      <c r="A15" s="104"/>
      <c r="B15" s="104"/>
      <c r="C15" s="830"/>
      <c r="D15" s="831"/>
      <c r="E15" s="831"/>
      <c r="F15" s="832"/>
      <c r="G15" s="105"/>
      <c r="H15" s="105"/>
      <c r="I15" s="106"/>
      <c r="J15" s="146">
        <f>J33/I33</f>
        <v>2.5466666666666669</v>
      </c>
      <c r="K15" s="836"/>
      <c r="L15" s="222" t="s">
        <v>42</v>
      </c>
      <c r="M15" s="62"/>
      <c r="N15" s="1120"/>
      <c r="O15" s="1121"/>
      <c r="P15" s="223" t="s">
        <v>43</v>
      </c>
      <c r="Q15" s="110"/>
      <c r="R15" s="224">
        <f>R33/I33</f>
        <v>0</v>
      </c>
      <c r="S15" s="836"/>
      <c r="T15" s="222" t="s">
        <v>44</v>
      </c>
      <c r="U15" s="209"/>
      <c r="V15" s="262" t="s">
        <v>300</v>
      </c>
      <c r="W15" s="1149"/>
      <c r="X15" s="1151"/>
    </row>
    <row r="16" spans="1:29" s="68" customFormat="1" ht="15.75" customHeight="1" thickTop="1" x14ac:dyDescent="0.25">
      <c r="A16" s="63" t="s">
        <v>8</v>
      </c>
      <c r="B16" s="1375" t="s">
        <v>241</v>
      </c>
      <c r="C16" s="1146" t="s">
        <v>465</v>
      </c>
      <c r="D16" s="1105"/>
      <c r="E16" s="1105"/>
      <c r="F16" s="1105"/>
      <c r="G16" s="567" t="s">
        <v>456</v>
      </c>
      <c r="H16" s="65" t="s">
        <v>329</v>
      </c>
      <c r="I16" s="186">
        <v>50</v>
      </c>
      <c r="J16" s="145">
        <f>I16</f>
        <v>50</v>
      </c>
      <c r="K16" s="147">
        <f t="shared" ref="K16:K32" si="0">IF(A16="Y", I16*2%,0)</f>
        <v>1</v>
      </c>
      <c r="L16" s="180">
        <f>I16-K16</f>
        <v>49</v>
      </c>
      <c r="M16" s="149"/>
      <c r="N16" s="1135"/>
      <c r="O16" s="1136"/>
      <c r="P16" s="172"/>
      <c r="Q16" s="66"/>
      <c r="R16" s="140">
        <f>IF($R$41=0,,IF($R$15*$I$16&gt;50,$I$16,$R$15*$I$16))</f>
        <v>0</v>
      </c>
      <c r="S16" s="147">
        <f t="shared" ref="S16:S32" si="1">IF(A16="Y", R16*2%,)</f>
        <v>0</v>
      </c>
      <c r="T16" s="151">
        <f>R16-S16</f>
        <v>0</v>
      </c>
      <c r="U16" s="210"/>
      <c r="V16" s="145">
        <f>IF($V$15="BASE-UP   (B-A)", P16-L16,P16-T16)</f>
        <v>-49</v>
      </c>
      <c r="W16" s="548"/>
      <c r="X16" s="94"/>
      <c r="Y16" s="114"/>
      <c r="Z16" s="114"/>
      <c r="AA16" s="114"/>
      <c r="AB16" s="114"/>
      <c r="AC16" s="114"/>
    </row>
    <row r="17" spans="1:29" s="68" customFormat="1" ht="15.75" customHeight="1" x14ac:dyDescent="0.25">
      <c r="A17" s="63" t="s">
        <v>8</v>
      </c>
      <c r="B17" s="1073"/>
      <c r="C17" s="1146" t="s">
        <v>420</v>
      </c>
      <c r="D17" s="1105"/>
      <c r="E17" s="1105"/>
      <c r="F17" s="1105"/>
      <c r="G17" s="566" t="s">
        <v>32</v>
      </c>
      <c r="H17" s="71" t="s">
        <v>71</v>
      </c>
      <c r="I17" s="186">
        <v>150</v>
      </c>
      <c r="J17" s="140">
        <f>I17</f>
        <v>150</v>
      </c>
      <c r="K17" s="147">
        <f t="shared" si="0"/>
        <v>3</v>
      </c>
      <c r="L17" s="152">
        <f t="shared" ref="L17:L38" si="2">I17-K17</f>
        <v>147</v>
      </c>
      <c r="M17" s="149"/>
      <c r="N17" s="804"/>
      <c r="O17" s="1078"/>
      <c r="P17" s="72"/>
      <c r="Q17" s="66"/>
      <c r="R17" s="140">
        <f>IF($R$41=0,,IF($R$15*$I$17&gt;$I$17,$I$17,$R$15*$I$17))</f>
        <v>0</v>
      </c>
      <c r="S17" s="147">
        <f t="shared" si="1"/>
        <v>0</v>
      </c>
      <c r="T17" s="152">
        <f>R17-S17</f>
        <v>0</v>
      </c>
      <c r="U17" s="210"/>
      <c r="V17" s="145">
        <f t="shared" ref="V17:V39" si="3">IF($V$15="BASE-UP   (B-A)", P17-L17,P17-T17)</f>
        <v>-147</v>
      </c>
      <c r="W17" s="548"/>
      <c r="X17" s="67"/>
      <c r="Y17" s="114"/>
      <c r="Z17" s="114"/>
      <c r="AA17" s="114"/>
      <c r="AB17" s="114"/>
      <c r="AC17" s="114"/>
    </row>
    <row r="18" spans="1:29" s="68" customFormat="1" ht="15.75" customHeight="1" x14ac:dyDescent="0.25">
      <c r="A18" s="63" t="s">
        <v>8</v>
      </c>
      <c r="B18" s="1073"/>
      <c r="C18" s="812" t="s">
        <v>330</v>
      </c>
      <c r="D18" s="812"/>
      <c r="E18" s="812"/>
      <c r="F18" s="812"/>
      <c r="G18" s="566" t="s">
        <v>31</v>
      </c>
      <c r="H18" s="71" t="s">
        <v>10</v>
      </c>
      <c r="I18" s="140">
        <f>($D$10-SUM($I$16:$I$17))*75%</f>
        <v>0</v>
      </c>
      <c r="J18" s="140" t="e">
        <f>((SUM(I16:I19)*J15)-SUM(J16:J17))*D8</f>
        <v>#VALUE!</v>
      </c>
      <c r="K18" s="147">
        <f t="shared" si="0"/>
        <v>0</v>
      </c>
      <c r="L18" s="152">
        <f t="shared" si="2"/>
        <v>0</v>
      </c>
      <c r="M18" s="149"/>
      <c r="N18" s="804"/>
      <c r="O18" s="1078"/>
      <c r="P18" s="72"/>
      <c r="Q18" s="66"/>
      <c r="R18" s="140">
        <f>IF($R$41=0,,(($D$10*$R$15)-SUM($R$16:$R$17))*75%)</f>
        <v>0</v>
      </c>
      <c r="S18" s="147">
        <f t="shared" si="1"/>
        <v>0</v>
      </c>
      <c r="T18" s="152">
        <f t="shared" ref="T18:T38" si="4">R18-S18</f>
        <v>0</v>
      </c>
      <c r="U18" s="210"/>
      <c r="V18" s="145">
        <f t="shared" si="3"/>
        <v>0</v>
      </c>
      <c r="W18" s="548"/>
      <c r="X18" s="67"/>
      <c r="Y18" s="114"/>
      <c r="Z18" s="114"/>
      <c r="AA18" s="114"/>
      <c r="AB18" s="114"/>
      <c r="AC18" s="114"/>
    </row>
    <row r="19" spans="1:29" s="68" customFormat="1" ht="15.75" customHeight="1" x14ac:dyDescent="0.25">
      <c r="A19" s="63" t="s">
        <v>8</v>
      </c>
      <c r="B19" s="1074"/>
      <c r="C19" s="812" t="s">
        <v>331</v>
      </c>
      <c r="D19" s="812"/>
      <c r="E19" s="812"/>
      <c r="F19" s="812"/>
      <c r="G19" s="572" t="str">
        <f>IF(D8="Yes","COUNTY","CITY")</f>
        <v>COUNTY</v>
      </c>
      <c r="H19" s="71" t="s">
        <v>24</v>
      </c>
      <c r="I19" s="140">
        <f>($D$10-SUM($I$16:$I$17))*25%</f>
        <v>0</v>
      </c>
      <c r="J19" s="140" t="e">
        <f>((SUM(I16:I19)*J15)-SUM(J16:J17))*D9</f>
        <v>#VALUE!</v>
      </c>
      <c r="K19" s="147">
        <f t="shared" si="0"/>
        <v>0</v>
      </c>
      <c r="L19" s="152">
        <f t="shared" si="2"/>
        <v>0</v>
      </c>
      <c r="M19" s="149"/>
      <c r="N19" s="804"/>
      <c r="O19" s="1078"/>
      <c r="P19" s="72"/>
      <c r="Q19" s="66"/>
      <c r="R19" s="140">
        <f>IF($R$41=0,,(($D$10*$R$15)-SUM($R$16:$R$17))*25%)</f>
        <v>0</v>
      </c>
      <c r="S19" s="147">
        <f t="shared" si="1"/>
        <v>0</v>
      </c>
      <c r="T19" s="152">
        <f t="shared" si="4"/>
        <v>0</v>
      </c>
      <c r="U19" s="210"/>
      <c r="V19" s="145">
        <f t="shared" si="3"/>
        <v>0</v>
      </c>
      <c r="W19" s="548"/>
      <c r="X19" s="67"/>
      <c r="Y19" s="114"/>
      <c r="Z19" s="114"/>
      <c r="AA19" s="114"/>
      <c r="AB19" s="114"/>
      <c r="AC19" s="114"/>
    </row>
    <row r="20" spans="1:29" s="68" customFormat="1" ht="15.75" customHeight="1" x14ac:dyDescent="0.25">
      <c r="A20" s="63" t="s">
        <v>8</v>
      </c>
      <c r="B20" s="69">
        <v>7</v>
      </c>
      <c r="C20" s="812" t="s">
        <v>546</v>
      </c>
      <c r="D20" s="812"/>
      <c r="E20" s="812"/>
      <c r="F20" s="812"/>
      <c r="G20" s="566" t="s">
        <v>31</v>
      </c>
      <c r="H20" s="71" t="s">
        <v>26</v>
      </c>
      <c r="I20" s="140">
        <f>$D$11*B20</f>
        <v>140</v>
      </c>
      <c r="J20" s="140">
        <f>$J$15*I20</f>
        <v>356.53333333333336</v>
      </c>
      <c r="K20" s="147">
        <f t="shared" si="0"/>
        <v>2.8000000000000003</v>
      </c>
      <c r="L20" s="152">
        <f t="shared" si="2"/>
        <v>137.19999999999999</v>
      </c>
      <c r="M20" s="149"/>
      <c r="N20" s="804"/>
      <c r="O20" s="1078"/>
      <c r="P20" s="74"/>
      <c r="Q20" s="75"/>
      <c r="R20" s="140">
        <f t="shared" ref="R20:R32" si="5">IF($R$41=0,,$R$15*I20)</f>
        <v>0</v>
      </c>
      <c r="S20" s="147">
        <f t="shared" si="1"/>
        <v>0</v>
      </c>
      <c r="T20" s="152">
        <f t="shared" si="4"/>
        <v>0</v>
      </c>
      <c r="U20" s="210"/>
      <c r="V20" s="145">
        <f t="shared" si="3"/>
        <v>-137.19999999999999</v>
      </c>
      <c r="W20" s="548"/>
      <c r="X20" s="67"/>
      <c r="Y20" s="114"/>
      <c r="Z20" s="114"/>
      <c r="AA20" s="114"/>
      <c r="AB20" s="114"/>
      <c r="AC20" s="114"/>
    </row>
    <row r="21" spans="1:29" s="68" customFormat="1" ht="15.75" customHeight="1" x14ac:dyDescent="0.25">
      <c r="A21" s="63" t="s">
        <v>8</v>
      </c>
      <c r="B21" s="69">
        <v>3</v>
      </c>
      <c r="C21" s="812" t="s">
        <v>547</v>
      </c>
      <c r="D21" s="812"/>
      <c r="E21" s="812"/>
      <c r="F21" s="812"/>
      <c r="G21" s="566" t="s">
        <v>32</v>
      </c>
      <c r="H21" s="71" t="s">
        <v>27</v>
      </c>
      <c r="I21" s="140">
        <f t="shared" ref="I21:I31" si="6">$D$11*B21</f>
        <v>60</v>
      </c>
      <c r="J21" s="140">
        <f t="shared" ref="J21:J32" si="7">$J$15*I21</f>
        <v>152.80000000000001</v>
      </c>
      <c r="K21" s="147">
        <f t="shared" si="0"/>
        <v>1.2</v>
      </c>
      <c r="L21" s="152">
        <f t="shared" si="2"/>
        <v>58.8</v>
      </c>
      <c r="M21" s="149"/>
      <c r="N21" s="804"/>
      <c r="O21" s="1078"/>
      <c r="P21" s="72"/>
      <c r="Q21" s="66"/>
      <c r="R21" s="140">
        <f t="shared" si="5"/>
        <v>0</v>
      </c>
      <c r="S21" s="147">
        <f t="shared" si="1"/>
        <v>0</v>
      </c>
      <c r="T21" s="152">
        <f t="shared" si="4"/>
        <v>0</v>
      </c>
      <c r="U21" s="210"/>
      <c r="V21" s="145">
        <f t="shared" si="3"/>
        <v>-58.8</v>
      </c>
      <c r="W21" s="548"/>
      <c r="X21" s="67"/>
      <c r="Y21" s="114"/>
      <c r="Z21" s="114"/>
      <c r="AA21" s="114"/>
      <c r="AB21" s="114"/>
      <c r="AC21" s="114"/>
    </row>
    <row r="22" spans="1:29" s="68" customFormat="1" ht="15.75" customHeight="1" x14ac:dyDescent="0.25">
      <c r="A22" s="63" t="s">
        <v>8</v>
      </c>
      <c r="B22" s="69">
        <v>1</v>
      </c>
      <c r="C22" s="804" t="s">
        <v>216</v>
      </c>
      <c r="D22" s="805"/>
      <c r="E22" s="805"/>
      <c r="F22" s="945"/>
      <c r="G22" s="566" t="s">
        <v>32</v>
      </c>
      <c r="H22" s="71" t="s">
        <v>55</v>
      </c>
      <c r="I22" s="140">
        <f t="shared" si="6"/>
        <v>20</v>
      </c>
      <c r="J22" s="140">
        <f t="shared" si="7"/>
        <v>50.933333333333337</v>
      </c>
      <c r="K22" s="147">
        <f t="shared" si="0"/>
        <v>0.4</v>
      </c>
      <c r="L22" s="152">
        <f t="shared" si="2"/>
        <v>19.600000000000001</v>
      </c>
      <c r="M22" s="149"/>
      <c r="N22" s="804"/>
      <c r="O22" s="1078"/>
      <c r="P22" s="72"/>
      <c r="Q22" s="66"/>
      <c r="R22" s="140">
        <f t="shared" si="5"/>
        <v>0</v>
      </c>
      <c r="S22" s="147">
        <f t="shared" si="1"/>
        <v>0</v>
      </c>
      <c r="T22" s="152">
        <f t="shared" si="4"/>
        <v>0</v>
      </c>
      <c r="U22" s="210"/>
      <c r="V22" s="145">
        <f t="shared" si="3"/>
        <v>-19.600000000000001</v>
      </c>
      <c r="W22" s="548"/>
      <c r="X22" s="67"/>
      <c r="Y22" s="114"/>
      <c r="Z22" s="114"/>
      <c r="AA22" s="114"/>
      <c r="AB22" s="114"/>
      <c r="AC22" s="114"/>
    </row>
    <row r="23" spans="1:29" s="68" customFormat="1" ht="15.75" customHeight="1" x14ac:dyDescent="0.25">
      <c r="A23" s="63" t="s">
        <v>8</v>
      </c>
      <c r="B23" s="69">
        <v>4</v>
      </c>
      <c r="C23" s="804" t="s">
        <v>466</v>
      </c>
      <c r="D23" s="805"/>
      <c r="E23" s="805"/>
      <c r="F23" s="945"/>
      <c r="G23" s="566" t="s">
        <v>31</v>
      </c>
      <c r="H23" s="71" t="s">
        <v>72</v>
      </c>
      <c r="I23" s="140">
        <f t="shared" si="6"/>
        <v>80</v>
      </c>
      <c r="J23" s="140">
        <f t="shared" si="7"/>
        <v>203.73333333333335</v>
      </c>
      <c r="K23" s="147">
        <f t="shared" si="0"/>
        <v>1.6</v>
      </c>
      <c r="L23" s="152">
        <f t="shared" si="2"/>
        <v>78.400000000000006</v>
      </c>
      <c r="M23" s="149"/>
      <c r="N23" s="804"/>
      <c r="O23" s="1078"/>
      <c r="P23" s="72"/>
      <c r="Q23" s="66"/>
      <c r="R23" s="140">
        <f t="shared" si="5"/>
        <v>0</v>
      </c>
      <c r="S23" s="147">
        <f t="shared" si="1"/>
        <v>0</v>
      </c>
      <c r="T23" s="152">
        <f t="shared" si="4"/>
        <v>0</v>
      </c>
      <c r="U23" s="210"/>
      <c r="V23" s="145">
        <f t="shared" si="3"/>
        <v>-78.400000000000006</v>
      </c>
      <c r="W23" s="548"/>
      <c r="X23" s="67"/>
      <c r="Y23" s="114"/>
      <c r="Z23" s="114"/>
      <c r="AA23" s="114"/>
      <c r="AB23" s="114"/>
      <c r="AC23" s="114"/>
    </row>
    <row r="24" spans="1:29" s="68" customFormat="1" ht="15.75" customHeight="1" x14ac:dyDescent="0.25">
      <c r="A24" s="63" t="s">
        <v>8</v>
      </c>
      <c r="B24" s="634">
        <f>'1-DUI (Reduce Base)'!$B$25</f>
        <v>0</v>
      </c>
      <c r="C24" s="812" t="s">
        <v>217</v>
      </c>
      <c r="D24" s="812"/>
      <c r="E24" s="813" t="str">
        <f>IF(SUM(B24:B28)=P11,"GC 76000 PA ($" &amp;P11 &amp; " for every 10) breakdown per local board of supervisor resolution (BOS).","ERROR! GC 76000 PA total is not $" &amp;P11&amp; ". Check Court's board resolution.")</f>
        <v>ERROR! GC 76000 PA total is not $5. Check Court's board resolution.</v>
      </c>
      <c r="F24" s="1143"/>
      <c r="G24" s="566" t="s">
        <v>32</v>
      </c>
      <c r="H24" s="71" t="s">
        <v>64</v>
      </c>
      <c r="I24" s="140">
        <f t="shared" si="6"/>
        <v>0</v>
      </c>
      <c r="J24" s="140">
        <f t="shared" si="7"/>
        <v>0</v>
      </c>
      <c r="K24" s="147">
        <f t="shared" si="0"/>
        <v>0</v>
      </c>
      <c r="L24" s="152">
        <f t="shared" si="2"/>
        <v>0</v>
      </c>
      <c r="M24" s="149"/>
      <c r="N24" s="804"/>
      <c r="O24" s="1078"/>
      <c r="P24" s="72"/>
      <c r="Q24" s="66"/>
      <c r="R24" s="140">
        <f t="shared" si="5"/>
        <v>0</v>
      </c>
      <c r="S24" s="147">
        <f t="shared" si="1"/>
        <v>0</v>
      </c>
      <c r="T24" s="152">
        <f t="shared" si="4"/>
        <v>0</v>
      </c>
      <c r="U24" s="210"/>
      <c r="V24" s="145">
        <f t="shared" si="3"/>
        <v>0</v>
      </c>
      <c r="W24" s="548"/>
      <c r="X24" s="67"/>
      <c r="Y24" s="114"/>
      <c r="Z24" s="114"/>
      <c r="AA24" s="114"/>
      <c r="AB24" s="114"/>
      <c r="AC24" s="114"/>
    </row>
    <row r="25" spans="1:29" s="68" customFormat="1" ht="15.75" customHeight="1" x14ac:dyDescent="0.25">
      <c r="A25" s="63" t="s">
        <v>8</v>
      </c>
      <c r="B25" s="634">
        <f>'1-DUI (Reduce Base)'!$B$26</f>
        <v>1</v>
      </c>
      <c r="C25" s="812" t="s">
        <v>218</v>
      </c>
      <c r="D25" s="812"/>
      <c r="E25" s="815"/>
      <c r="F25" s="1144"/>
      <c r="G25" s="566" t="s">
        <v>32</v>
      </c>
      <c r="H25" s="71" t="s">
        <v>35</v>
      </c>
      <c r="I25" s="140">
        <f t="shared" si="6"/>
        <v>20</v>
      </c>
      <c r="J25" s="140">
        <f t="shared" si="7"/>
        <v>50.933333333333337</v>
      </c>
      <c r="K25" s="147">
        <f t="shared" si="0"/>
        <v>0.4</v>
      </c>
      <c r="L25" s="152">
        <f t="shared" si="2"/>
        <v>19.600000000000001</v>
      </c>
      <c r="M25" s="149"/>
      <c r="N25" s="804"/>
      <c r="O25" s="1078"/>
      <c r="P25" s="72"/>
      <c r="Q25" s="66"/>
      <c r="R25" s="140">
        <f t="shared" si="5"/>
        <v>0</v>
      </c>
      <c r="S25" s="147">
        <f t="shared" si="1"/>
        <v>0</v>
      </c>
      <c r="T25" s="152">
        <f t="shared" si="4"/>
        <v>0</v>
      </c>
      <c r="U25" s="210"/>
      <c r="V25" s="145">
        <f t="shared" si="3"/>
        <v>-19.600000000000001</v>
      </c>
      <c r="W25" s="548"/>
      <c r="X25" s="67"/>
      <c r="Y25" s="114"/>
      <c r="Z25" s="114"/>
      <c r="AA25" s="114"/>
      <c r="AB25" s="114"/>
      <c r="AC25" s="114"/>
    </row>
    <row r="26" spans="1:29" s="68" customFormat="1" ht="15.75" customHeight="1" x14ac:dyDescent="0.25">
      <c r="A26" s="63" t="s">
        <v>8</v>
      </c>
      <c r="B26" s="634">
        <f>'1-DUI (Reduce Base)'!$B$27</f>
        <v>1</v>
      </c>
      <c r="C26" s="812" t="s">
        <v>219</v>
      </c>
      <c r="D26" s="812"/>
      <c r="E26" s="815"/>
      <c r="F26" s="1144"/>
      <c r="G26" s="566" t="s">
        <v>32</v>
      </c>
      <c r="H26" s="71" t="s">
        <v>65</v>
      </c>
      <c r="I26" s="140">
        <f t="shared" si="6"/>
        <v>20</v>
      </c>
      <c r="J26" s="140">
        <f t="shared" si="7"/>
        <v>50.933333333333337</v>
      </c>
      <c r="K26" s="147">
        <f t="shared" si="0"/>
        <v>0.4</v>
      </c>
      <c r="L26" s="152">
        <f t="shared" si="2"/>
        <v>19.600000000000001</v>
      </c>
      <c r="M26" s="149"/>
      <c r="N26" s="804"/>
      <c r="O26" s="1078"/>
      <c r="P26" s="72"/>
      <c r="Q26" s="66"/>
      <c r="R26" s="140">
        <f t="shared" si="5"/>
        <v>0</v>
      </c>
      <c r="S26" s="147">
        <f t="shared" si="1"/>
        <v>0</v>
      </c>
      <c r="T26" s="152">
        <f t="shared" si="4"/>
        <v>0</v>
      </c>
      <c r="U26" s="210"/>
      <c r="V26" s="145">
        <f t="shared" si="3"/>
        <v>-19.600000000000001</v>
      </c>
      <c r="W26" s="548"/>
      <c r="X26" s="67"/>
      <c r="Y26" s="114"/>
      <c r="Z26" s="114"/>
      <c r="AA26" s="114"/>
      <c r="AB26" s="114"/>
      <c r="AC26" s="114"/>
    </row>
    <row r="27" spans="1:29" s="68" customFormat="1" ht="15.75" customHeight="1" x14ac:dyDescent="0.25">
      <c r="A27" s="63" t="s">
        <v>8</v>
      </c>
      <c r="B27" s="634">
        <f>'1-DUI (Reduce Base)'!$B$28</f>
        <v>0.5</v>
      </c>
      <c r="C27" s="812" t="s">
        <v>401</v>
      </c>
      <c r="D27" s="812"/>
      <c r="E27" s="815"/>
      <c r="F27" s="1144"/>
      <c r="G27" s="566" t="s">
        <v>32</v>
      </c>
      <c r="H27" s="71" t="s">
        <v>65</v>
      </c>
      <c r="I27" s="140">
        <f>$D$11*B27</f>
        <v>10</v>
      </c>
      <c r="J27" s="140">
        <f>$J$15*I27</f>
        <v>25.466666666666669</v>
      </c>
      <c r="K27" s="147">
        <f>IF(A27="Y", I27*2%,0)</f>
        <v>0.2</v>
      </c>
      <c r="L27" s="152">
        <f>I27-K27</f>
        <v>9.8000000000000007</v>
      </c>
      <c r="M27" s="149"/>
      <c r="N27" s="804"/>
      <c r="O27" s="1078"/>
      <c r="P27" s="72"/>
      <c r="Q27" s="66"/>
      <c r="R27" s="140">
        <f t="shared" si="5"/>
        <v>0</v>
      </c>
      <c r="S27" s="147">
        <f>IF(A27="Y", R27*2%,)</f>
        <v>0</v>
      </c>
      <c r="T27" s="152">
        <f>R27-S27</f>
        <v>0</v>
      </c>
      <c r="U27" s="210"/>
      <c r="V27" s="145">
        <f>IF($V$15="BASE-UP   (B-A)", P27-L27,P27-T27)</f>
        <v>-9.8000000000000007</v>
      </c>
      <c r="W27" s="548"/>
      <c r="X27" s="67"/>
      <c r="Y27" s="114"/>
      <c r="Z27" s="114"/>
      <c r="AA27" s="114"/>
      <c r="AB27" s="114"/>
      <c r="AC27" s="114"/>
    </row>
    <row r="28" spans="1:29" s="68" customFormat="1" ht="15.75" customHeight="1" x14ac:dyDescent="0.25">
      <c r="A28" s="63" t="s">
        <v>8</v>
      </c>
      <c r="B28" s="634">
        <f>'1-DUI (Reduce Base)'!$B$29</f>
        <v>1</v>
      </c>
      <c r="C28" s="812" t="s">
        <v>254</v>
      </c>
      <c r="D28" s="812"/>
      <c r="E28" s="817"/>
      <c r="F28" s="1145"/>
      <c r="G28" s="566" t="s">
        <v>32</v>
      </c>
      <c r="H28" s="71"/>
      <c r="I28" s="140">
        <f t="shared" si="6"/>
        <v>20</v>
      </c>
      <c r="J28" s="140">
        <f t="shared" si="7"/>
        <v>50.933333333333337</v>
      </c>
      <c r="K28" s="147">
        <f t="shared" si="0"/>
        <v>0.4</v>
      </c>
      <c r="L28" s="152">
        <f t="shared" si="2"/>
        <v>19.600000000000001</v>
      </c>
      <c r="M28" s="149"/>
      <c r="N28" s="804"/>
      <c r="O28" s="1078"/>
      <c r="P28" s="72"/>
      <c r="Q28" s="66"/>
      <c r="R28" s="140">
        <f t="shared" si="5"/>
        <v>0</v>
      </c>
      <c r="S28" s="147">
        <f t="shared" si="1"/>
        <v>0</v>
      </c>
      <c r="T28" s="152">
        <f t="shared" si="4"/>
        <v>0</v>
      </c>
      <c r="U28" s="210"/>
      <c r="V28" s="145">
        <f t="shared" si="3"/>
        <v>-19.600000000000001</v>
      </c>
      <c r="W28" s="548"/>
      <c r="X28" s="67"/>
      <c r="Y28" s="114"/>
      <c r="Z28" s="114"/>
      <c r="AA28" s="114"/>
      <c r="AB28" s="114"/>
      <c r="AC28" s="114"/>
    </row>
    <row r="29" spans="1:29" s="68" customFormat="1" ht="15.75" customHeight="1" x14ac:dyDescent="0.25">
      <c r="A29" s="63" t="s">
        <v>8</v>
      </c>
      <c r="B29" s="634">
        <f>'1-DUI (Reduce Base)'!$B$30</f>
        <v>2</v>
      </c>
      <c r="C29" s="804" t="s">
        <v>286</v>
      </c>
      <c r="D29" s="805"/>
      <c r="E29" s="805"/>
      <c r="F29" s="945"/>
      <c r="G29" s="566" t="s">
        <v>32</v>
      </c>
      <c r="H29" s="71" t="s">
        <v>36</v>
      </c>
      <c r="I29" s="140">
        <f t="shared" si="6"/>
        <v>40</v>
      </c>
      <c r="J29" s="140">
        <f t="shared" si="7"/>
        <v>101.86666666666667</v>
      </c>
      <c r="K29" s="147">
        <f t="shared" si="0"/>
        <v>0.8</v>
      </c>
      <c r="L29" s="152">
        <f t="shared" si="2"/>
        <v>39.200000000000003</v>
      </c>
      <c r="M29" s="149"/>
      <c r="N29" s="804"/>
      <c r="O29" s="1078"/>
      <c r="P29" s="72"/>
      <c r="Q29" s="66"/>
      <c r="R29" s="140">
        <f t="shared" si="5"/>
        <v>0</v>
      </c>
      <c r="S29" s="147">
        <f t="shared" si="1"/>
        <v>0</v>
      </c>
      <c r="T29" s="152">
        <f t="shared" si="4"/>
        <v>0</v>
      </c>
      <c r="U29" s="210"/>
      <c r="V29" s="145">
        <f t="shared" si="3"/>
        <v>-39.200000000000003</v>
      </c>
      <c r="W29" s="548"/>
      <c r="X29" s="67"/>
      <c r="Y29" s="114"/>
      <c r="Z29" s="114"/>
      <c r="AA29" s="114"/>
      <c r="AB29" s="114"/>
      <c r="AC29" s="114"/>
    </row>
    <row r="30" spans="1:29" s="68" customFormat="1" ht="15.75" customHeight="1" x14ac:dyDescent="0.25">
      <c r="A30" s="63" t="s">
        <v>8</v>
      </c>
      <c r="B30" s="634">
        <f>'1-DUI (Reduce Base)'!$B$32</f>
        <v>2</v>
      </c>
      <c r="C30" s="804" t="s">
        <v>555</v>
      </c>
      <c r="D30" s="805"/>
      <c r="E30" s="945"/>
      <c r="F30" s="1008" t="s">
        <v>281</v>
      </c>
      <c r="G30" s="566" t="s">
        <v>31</v>
      </c>
      <c r="H30" s="71" t="s">
        <v>37</v>
      </c>
      <c r="I30" s="140">
        <f t="shared" si="6"/>
        <v>40</v>
      </c>
      <c r="J30" s="140">
        <f t="shared" si="7"/>
        <v>101.86666666666667</v>
      </c>
      <c r="K30" s="147">
        <f t="shared" si="0"/>
        <v>0.8</v>
      </c>
      <c r="L30" s="152">
        <f t="shared" si="2"/>
        <v>39.200000000000003</v>
      </c>
      <c r="M30" s="149"/>
      <c r="N30" s="804"/>
      <c r="O30" s="1078"/>
      <c r="P30" s="72"/>
      <c r="Q30" s="66"/>
      <c r="R30" s="140">
        <f t="shared" si="5"/>
        <v>0</v>
      </c>
      <c r="S30" s="147">
        <f t="shared" si="1"/>
        <v>0</v>
      </c>
      <c r="T30" s="152">
        <f t="shared" si="4"/>
        <v>0</v>
      </c>
      <c r="U30" s="210"/>
      <c r="V30" s="145">
        <f t="shared" si="3"/>
        <v>-39.200000000000003</v>
      </c>
      <c r="W30" s="548"/>
      <c r="X30" s="67"/>
      <c r="Y30" s="114"/>
      <c r="Z30" s="114"/>
      <c r="AA30" s="114"/>
      <c r="AB30" s="114"/>
      <c r="AC30" s="114"/>
    </row>
    <row r="31" spans="1:29" s="68" customFormat="1" ht="15.75" customHeight="1" x14ac:dyDescent="0.25">
      <c r="A31" s="63" t="s">
        <v>8</v>
      </c>
      <c r="B31" s="164">
        <f>5-B30</f>
        <v>3</v>
      </c>
      <c r="C31" s="804" t="s">
        <v>556</v>
      </c>
      <c r="D31" s="805"/>
      <c r="E31" s="945"/>
      <c r="F31" s="1009"/>
      <c r="G31" s="566" t="s">
        <v>31</v>
      </c>
      <c r="H31" s="71" t="s">
        <v>197</v>
      </c>
      <c r="I31" s="140">
        <f t="shared" si="6"/>
        <v>60</v>
      </c>
      <c r="J31" s="140">
        <f t="shared" si="7"/>
        <v>152.80000000000001</v>
      </c>
      <c r="K31" s="147">
        <f t="shared" si="0"/>
        <v>1.2</v>
      </c>
      <c r="L31" s="152">
        <f t="shared" si="2"/>
        <v>58.8</v>
      </c>
      <c r="M31" s="149"/>
      <c r="N31" s="804"/>
      <c r="O31" s="1078"/>
      <c r="P31" s="72"/>
      <c r="Q31" s="66"/>
      <c r="R31" s="140">
        <f t="shared" si="5"/>
        <v>0</v>
      </c>
      <c r="S31" s="147">
        <f t="shared" si="1"/>
        <v>0</v>
      </c>
      <c r="T31" s="152">
        <f t="shared" si="4"/>
        <v>0</v>
      </c>
      <c r="U31" s="210"/>
      <c r="V31" s="145">
        <f t="shared" si="3"/>
        <v>-58.8</v>
      </c>
      <c r="W31" s="548"/>
      <c r="X31" s="67"/>
      <c r="Y31" s="114"/>
      <c r="Z31" s="114"/>
      <c r="AA31" s="114"/>
      <c r="AB31" s="114"/>
      <c r="AC31" s="114"/>
    </row>
    <row r="32" spans="1:29" s="68" customFormat="1" ht="15.75" customHeight="1" x14ac:dyDescent="0.25">
      <c r="A32" s="63" t="s">
        <v>7</v>
      </c>
      <c r="B32" s="69"/>
      <c r="C32" s="804" t="s">
        <v>220</v>
      </c>
      <c r="D32" s="805"/>
      <c r="E32" s="805"/>
      <c r="F32" s="945"/>
      <c r="G32" s="566" t="s">
        <v>31</v>
      </c>
      <c r="H32" s="71" t="s">
        <v>10</v>
      </c>
      <c r="I32" s="140">
        <f>$D$10*20%</f>
        <v>40</v>
      </c>
      <c r="J32" s="140">
        <f t="shared" si="7"/>
        <v>101.86666666666667</v>
      </c>
      <c r="K32" s="147">
        <f t="shared" si="0"/>
        <v>0</v>
      </c>
      <c r="L32" s="152">
        <f t="shared" si="2"/>
        <v>40</v>
      </c>
      <c r="M32" s="149"/>
      <c r="N32" s="804"/>
      <c r="O32" s="1078"/>
      <c r="P32" s="72"/>
      <c r="Q32" s="66"/>
      <c r="R32" s="140">
        <f t="shared" si="5"/>
        <v>0</v>
      </c>
      <c r="S32" s="147">
        <f t="shared" si="1"/>
        <v>0</v>
      </c>
      <c r="T32" s="152">
        <f t="shared" si="4"/>
        <v>0</v>
      </c>
      <c r="U32" s="210"/>
      <c r="V32" s="145">
        <f t="shared" si="3"/>
        <v>-40</v>
      </c>
      <c r="W32" s="548"/>
      <c r="X32" s="67"/>
      <c r="Y32" s="114"/>
      <c r="Z32" s="114"/>
      <c r="AA32" s="114"/>
      <c r="AB32" s="114"/>
      <c r="AC32" s="114"/>
    </row>
    <row r="33" spans="1:29" s="80" customFormat="1" ht="15.75" customHeight="1" x14ac:dyDescent="0.25">
      <c r="A33" s="63"/>
      <c r="B33" s="76"/>
      <c r="C33" s="810" t="s">
        <v>221</v>
      </c>
      <c r="D33" s="811"/>
      <c r="E33" s="811"/>
      <c r="F33" s="946"/>
      <c r="G33" s="573"/>
      <c r="H33" s="78"/>
      <c r="I33" s="142">
        <f>SUM(I16:I32)</f>
        <v>750</v>
      </c>
      <c r="J33" s="142">
        <f>J41-SUM(J34:J38)</f>
        <v>1910</v>
      </c>
      <c r="K33" s="147"/>
      <c r="L33" s="153">
        <f>SUM(L16:L32)</f>
        <v>735.80000000000007</v>
      </c>
      <c r="M33" s="150"/>
      <c r="N33" s="804"/>
      <c r="O33" s="1078"/>
      <c r="P33" s="166">
        <f>SUM(P16:P32)</f>
        <v>0</v>
      </c>
      <c r="Q33" s="111"/>
      <c r="R33" s="142">
        <f>IF($R$41=0,,R41-SUM(R34:R38))</f>
        <v>0</v>
      </c>
      <c r="S33" s="147"/>
      <c r="T33" s="153">
        <f>SUM(T16:T32)</f>
        <v>0</v>
      </c>
      <c r="U33" s="211"/>
      <c r="V33" s="145">
        <f>SUM(V16:V32)</f>
        <v>-735.80000000000007</v>
      </c>
      <c r="W33" s="548"/>
      <c r="X33" s="79"/>
      <c r="Y33" s="129"/>
      <c r="Z33" s="129"/>
      <c r="AA33" s="129"/>
      <c r="AB33" s="129"/>
      <c r="AC33" s="129"/>
    </row>
    <row r="34" spans="1:29" s="68" customFormat="1" ht="15.75" customHeight="1" x14ac:dyDescent="0.25">
      <c r="A34" s="63" t="s">
        <v>7</v>
      </c>
      <c r="B34" s="69"/>
      <c r="C34" s="804" t="s">
        <v>419</v>
      </c>
      <c r="D34" s="805"/>
      <c r="E34" s="805"/>
      <c r="F34" s="945"/>
      <c r="G34" s="566" t="s">
        <v>31</v>
      </c>
      <c r="H34" s="81"/>
      <c r="I34" s="186">
        <v>40</v>
      </c>
      <c r="J34" s="140"/>
      <c r="K34" s="147">
        <f>IF(A34="Y", I34*2%,0)</f>
        <v>0</v>
      </c>
      <c r="L34" s="152">
        <f>I34-K34</f>
        <v>40</v>
      </c>
      <c r="M34" s="149"/>
      <c r="N34" s="804"/>
      <c r="O34" s="1078"/>
      <c r="P34" s="72"/>
      <c r="Q34" s="66"/>
      <c r="R34" s="140">
        <f>IF($R$41=0,,I34)</f>
        <v>0</v>
      </c>
      <c r="S34" s="147">
        <f>IF(A34="Y", R34*2%,)</f>
        <v>0</v>
      </c>
      <c r="T34" s="152">
        <f>R34-S34</f>
        <v>0</v>
      </c>
      <c r="U34" s="210"/>
      <c r="V34" s="145">
        <f>IF($V$15="BASE-UP   (B-A)", P34-L34,P34-T34)</f>
        <v>-40</v>
      </c>
      <c r="W34" s="548"/>
      <c r="X34" s="67"/>
      <c r="Y34" s="114"/>
      <c r="Z34" s="114"/>
      <c r="AA34" s="114"/>
      <c r="AB34" s="114"/>
      <c r="AC34" s="114"/>
    </row>
    <row r="35" spans="1:29" s="68" customFormat="1" ht="15.75" customHeight="1" x14ac:dyDescent="0.25">
      <c r="A35" s="63" t="s">
        <v>7</v>
      </c>
      <c r="B35" s="69"/>
      <c r="C35" s="806" t="s">
        <v>259</v>
      </c>
      <c r="D35" s="807"/>
      <c r="E35" s="807"/>
      <c r="F35" s="944"/>
      <c r="G35" s="574" t="s">
        <v>31</v>
      </c>
      <c r="H35" s="82" t="s">
        <v>197</v>
      </c>
      <c r="I35" s="186">
        <v>30</v>
      </c>
      <c r="J35" s="140">
        <f>I35</f>
        <v>30</v>
      </c>
      <c r="K35" s="147">
        <f>IF(A35="Y", I35*2%,0)</f>
        <v>0</v>
      </c>
      <c r="L35" s="152">
        <f t="shared" si="2"/>
        <v>30</v>
      </c>
      <c r="M35" s="149"/>
      <c r="N35" s="804"/>
      <c r="O35" s="1078"/>
      <c r="P35" s="72"/>
      <c r="Q35" s="66"/>
      <c r="R35" s="140">
        <f>IF($R$41=0,,I35)</f>
        <v>0</v>
      </c>
      <c r="S35" s="147">
        <f>IF(A35="Y", R35*2%,)</f>
        <v>0</v>
      </c>
      <c r="T35" s="152">
        <f t="shared" si="4"/>
        <v>0</v>
      </c>
      <c r="U35" s="210"/>
      <c r="V35" s="145">
        <f t="shared" si="3"/>
        <v>-30</v>
      </c>
      <c r="W35" s="548"/>
      <c r="X35" s="67"/>
      <c r="Y35" s="114"/>
      <c r="Z35" s="114"/>
      <c r="AA35" s="114"/>
      <c r="AB35" s="114"/>
      <c r="AC35" s="114"/>
    </row>
    <row r="36" spans="1:29" s="68" customFormat="1" ht="15.75" customHeight="1" x14ac:dyDescent="0.25">
      <c r="A36" s="63" t="s">
        <v>8</v>
      </c>
      <c r="B36" s="83"/>
      <c r="C36" s="1358" t="s">
        <v>560</v>
      </c>
      <c r="D36" s="1358"/>
      <c r="E36" s="1358"/>
      <c r="F36" s="1358"/>
      <c r="G36" s="574" t="s">
        <v>31</v>
      </c>
      <c r="H36" s="82"/>
      <c r="I36" s="186">
        <v>150</v>
      </c>
      <c r="J36" s="140"/>
      <c r="K36" s="147">
        <f>IF(A36="Y", I36*2%,0)</f>
        <v>3</v>
      </c>
      <c r="L36" s="152">
        <f t="shared" si="2"/>
        <v>147</v>
      </c>
      <c r="M36" s="149"/>
      <c r="N36" s="804"/>
      <c r="O36" s="1078"/>
      <c r="P36" s="72"/>
      <c r="Q36" s="66"/>
      <c r="R36" s="140">
        <f>IF($R$41=0,,I36)</f>
        <v>0</v>
      </c>
      <c r="S36" s="147">
        <f>IF(A36="Y", R36*2%,)</f>
        <v>0</v>
      </c>
      <c r="T36" s="152">
        <f t="shared" si="4"/>
        <v>0</v>
      </c>
      <c r="U36" s="210"/>
      <c r="V36" s="145">
        <f t="shared" si="3"/>
        <v>-147</v>
      </c>
      <c r="W36" s="548"/>
      <c r="X36" s="71"/>
      <c r="Y36" s="114"/>
      <c r="Z36" s="114"/>
      <c r="AA36" s="114"/>
      <c r="AB36" s="114"/>
      <c r="AC36" s="114"/>
    </row>
    <row r="37" spans="1:29" s="68" customFormat="1" ht="15.75" customHeight="1" x14ac:dyDescent="0.25">
      <c r="A37" s="63" t="s">
        <v>7</v>
      </c>
      <c r="B37" s="83"/>
      <c r="C37" s="806" t="s">
        <v>454</v>
      </c>
      <c r="D37" s="807"/>
      <c r="E37" s="807"/>
      <c r="F37" s="944"/>
      <c r="G37" s="566" t="s">
        <v>32</v>
      </c>
      <c r="H37" s="82"/>
      <c r="I37" s="186"/>
      <c r="J37" s="140"/>
      <c r="K37" s="147">
        <f>IF(A37="Y", I37*2%,0)</f>
        <v>0</v>
      </c>
      <c r="L37" s="152">
        <f t="shared" si="2"/>
        <v>0</v>
      </c>
      <c r="M37" s="149"/>
      <c r="N37" s="804"/>
      <c r="O37" s="1078"/>
      <c r="P37" s="72"/>
      <c r="Q37" s="66"/>
      <c r="R37" s="140">
        <f>IF($R$41=0,,I37)</f>
        <v>0</v>
      </c>
      <c r="S37" s="147">
        <f>IF(A37="Y", R37*2%,)</f>
        <v>0</v>
      </c>
      <c r="T37" s="152">
        <f t="shared" si="4"/>
        <v>0</v>
      </c>
      <c r="U37" s="210"/>
      <c r="V37" s="145">
        <f t="shared" si="3"/>
        <v>0</v>
      </c>
      <c r="W37" s="548"/>
      <c r="X37" s="71"/>
      <c r="Y37" s="114"/>
      <c r="Z37" s="114"/>
      <c r="AA37" s="114"/>
      <c r="AB37" s="114"/>
      <c r="AC37" s="114"/>
    </row>
    <row r="38" spans="1:29" s="68" customFormat="1" ht="31.5" customHeight="1" x14ac:dyDescent="0.25">
      <c r="A38" s="63" t="s">
        <v>7</v>
      </c>
      <c r="B38" s="83"/>
      <c r="C38" s="804" t="s">
        <v>520</v>
      </c>
      <c r="D38" s="805"/>
      <c r="E38" s="805"/>
      <c r="F38" s="945"/>
      <c r="G38" s="574" t="s">
        <v>230</v>
      </c>
      <c r="H38" s="82" t="s">
        <v>82</v>
      </c>
      <c r="I38" s="186"/>
      <c r="J38" s="140">
        <f>I38</f>
        <v>0</v>
      </c>
      <c r="K38" s="147">
        <f>IF(A38="Y", I38*2%,0)</f>
        <v>0</v>
      </c>
      <c r="L38" s="152">
        <f t="shared" si="2"/>
        <v>0</v>
      </c>
      <c r="M38" s="149"/>
      <c r="N38" s="804"/>
      <c r="O38" s="1078"/>
      <c r="P38" s="72"/>
      <c r="Q38" s="66"/>
      <c r="R38" s="140">
        <f>IF($R$41=0,,I38)</f>
        <v>0</v>
      </c>
      <c r="S38" s="147">
        <f>IF(A38="Y", R38*2%,)</f>
        <v>0</v>
      </c>
      <c r="T38" s="152">
        <f t="shared" si="4"/>
        <v>0</v>
      </c>
      <c r="U38" s="210"/>
      <c r="V38" s="145">
        <f t="shared" si="3"/>
        <v>0</v>
      </c>
      <c r="W38" s="548"/>
      <c r="X38" s="71"/>
      <c r="Y38" s="114"/>
      <c r="Z38" s="114"/>
      <c r="AA38" s="114"/>
      <c r="AB38" s="114"/>
      <c r="AC38" s="114"/>
    </row>
    <row r="39" spans="1:29" s="68" customFormat="1" ht="29.25" customHeight="1" x14ac:dyDescent="0.25">
      <c r="A39" s="83" t="s">
        <v>7</v>
      </c>
      <c r="B39" s="83"/>
      <c r="C39" s="804" t="s">
        <v>492</v>
      </c>
      <c r="D39" s="805"/>
      <c r="E39" s="805"/>
      <c r="F39" s="945"/>
      <c r="G39" s="574" t="s">
        <v>31</v>
      </c>
      <c r="H39" s="85" t="s">
        <v>41</v>
      </c>
      <c r="I39" s="86"/>
      <c r="J39" s="93"/>
      <c r="K39" s="148"/>
      <c r="L39" s="154">
        <f>K40</f>
        <v>17.200000000000003</v>
      </c>
      <c r="M39" s="149"/>
      <c r="N39" s="804"/>
      <c r="O39" s="1078"/>
      <c r="P39" s="72"/>
      <c r="Q39" s="66"/>
      <c r="R39" s="93"/>
      <c r="S39" s="148"/>
      <c r="T39" s="154">
        <f>S40</f>
        <v>0</v>
      </c>
      <c r="U39" s="212"/>
      <c r="V39" s="145">
        <f t="shared" si="3"/>
        <v>-17.200000000000003</v>
      </c>
      <c r="W39" s="548"/>
      <c r="X39" s="71"/>
      <c r="Y39" s="114"/>
      <c r="Z39" s="114"/>
      <c r="AA39" s="114"/>
      <c r="AB39" s="114"/>
      <c r="AC39" s="114"/>
    </row>
    <row r="40" spans="1:29" s="114" customFormat="1" ht="14.5" x14ac:dyDescent="0.25">
      <c r="A40" s="112"/>
      <c r="B40" s="112"/>
      <c r="C40" s="112"/>
      <c r="D40" s="112"/>
      <c r="E40" s="113"/>
      <c r="F40" s="113"/>
      <c r="K40" s="115">
        <f>SUM(K16:K39)</f>
        <v>17.200000000000003</v>
      </c>
      <c r="L40" s="155"/>
      <c r="P40" s="116"/>
      <c r="Q40" s="117"/>
      <c r="S40" s="115">
        <f>SUM(S16:S39)</f>
        <v>0</v>
      </c>
      <c r="T40" s="155"/>
      <c r="U40" s="213"/>
      <c r="V40" s="165"/>
      <c r="W40" s="165"/>
      <c r="X40" s="118"/>
    </row>
    <row r="41" spans="1:29" s="95" customFormat="1" ht="16" thickBot="1" x14ac:dyDescent="0.3">
      <c r="A41" s="130"/>
      <c r="B41" s="130"/>
      <c r="C41" s="130"/>
      <c r="D41" s="130"/>
      <c r="E41" s="119"/>
      <c r="F41" s="131" t="s">
        <v>81</v>
      </c>
      <c r="G41" s="132"/>
      <c r="H41" s="133" t="s">
        <v>1</v>
      </c>
      <c r="I41" s="134">
        <f>SUM(I33:I40)</f>
        <v>970</v>
      </c>
      <c r="J41" s="188">
        <v>1940</v>
      </c>
      <c r="K41" s="135"/>
      <c r="L41" s="156">
        <f>SUM(L33:L40)</f>
        <v>970.00000000000011</v>
      </c>
      <c r="M41" s="136"/>
      <c r="N41" s="130" t="s">
        <v>1</v>
      </c>
      <c r="O41" s="130"/>
      <c r="P41" s="137">
        <f>SUM(P33:P40)</f>
        <v>0</v>
      </c>
      <c r="Q41" s="136"/>
      <c r="R41" s="188"/>
      <c r="S41" s="135"/>
      <c r="T41" s="156">
        <f>SUM(T33:T40)</f>
        <v>0</v>
      </c>
      <c r="U41" s="214"/>
      <c r="V41" s="175">
        <f>SUM(V33:V40)</f>
        <v>-970.00000000000011</v>
      </c>
      <c r="W41" s="530"/>
      <c r="X41" s="138"/>
    </row>
    <row r="42" spans="1:29" s="50" customFormat="1" ht="15.75" customHeight="1" thickTop="1" x14ac:dyDescent="0.25">
      <c r="A42" s="1140" t="s">
        <v>61</v>
      </c>
      <c r="B42" s="1140"/>
      <c r="C42" s="1140"/>
      <c r="D42" s="192"/>
      <c r="E42" s="121"/>
      <c r="F42" s="121"/>
      <c r="J42" s="122"/>
      <c r="L42" s="123"/>
      <c r="M42" s="122"/>
      <c r="V42" s="124"/>
      <c r="W42" s="124"/>
      <c r="X42" s="125"/>
    </row>
    <row r="43" spans="1:29" s="127" customFormat="1" ht="18" customHeight="1" x14ac:dyDescent="0.25">
      <c r="A43" s="624">
        <v>1</v>
      </c>
      <c r="B43" s="1372"/>
      <c r="C43" s="1373"/>
      <c r="D43" s="1373"/>
      <c r="E43" s="1373"/>
      <c r="F43" s="1373"/>
      <c r="G43" s="1373"/>
      <c r="H43" s="1373"/>
      <c r="I43" s="1373"/>
      <c r="J43" s="1373"/>
      <c r="K43" s="1373"/>
      <c r="L43" s="1373"/>
      <c r="M43" s="1373"/>
      <c r="N43" s="1373"/>
      <c r="O43" s="1373"/>
      <c r="P43" s="1373"/>
      <c r="Q43" s="1373"/>
      <c r="R43" s="1373"/>
      <c r="S43" s="1373"/>
      <c r="T43" s="1373"/>
      <c r="U43" s="1373"/>
      <c r="V43" s="1373"/>
      <c r="W43" s="1373"/>
      <c r="X43" s="1374"/>
    </row>
    <row r="44" spans="1:29" s="127" customFormat="1" ht="18" customHeight="1" x14ac:dyDescent="0.25">
      <c r="A44" s="624">
        <v>2</v>
      </c>
      <c r="B44" s="1372"/>
      <c r="C44" s="1373"/>
      <c r="D44" s="1373"/>
      <c r="E44" s="1373"/>
      <c r="F44" s="1373"/>
      <c r="G44" s="1373"/>
      <c r="H44" s="1373"/>
      <c r="I44" s="1373"/>
      <c r="J44" s="1373"/>
      <c r="K44" s="1373"/>
      <c r="L44" s="1373"/>
      <c r="M44" s="1373"/>
      <c r="N44" s="1373"/>
      <c r="O44" s="1373"/>
      <c r="P44" s="1373"/>
      <c r="Q44" s="1373"/>
      <c r="R44" s="1373"/>
      <c r="S44" s="1373"/>
      <c r="T44" s="1373"/>
      <c r="U44" s="1373"/>
      <c r="V44" s="1373"/>
      <c r="W44" s="1373"/>
      <c r="X44" s="1374"/>
    </row>
    <row r="45" spans="1:29" s="127" customFormat="1" ht="18" customHeight="1" x14ac:dyDescent="0.25">
      <c r="A45" s="624">
        <v>3</v>
      </c>
      <c r="B45" s="1372"/>
      <c r="C45" s="1373"/>
      <c r="D45" s="1373"/>
      <c r="E45" s="1373"/>
      <c r="F45" s="1373"/>
      <c r="G45" s="1373"/>
      <c r="H45" s="1373"/>
      <c r="I45" s="1373"/>
      <c r="J45" s="1373"/>
      <c r="K45" s="1373"/>
      <c r="L45" s="1373"/>
      <c r="M45" s="1373"/>
      <c r="N45" s="1373"/>
      <c r="O45" s="1373"/>
      <c r="P45" s="1373"/>
      <c r="Q45" s="1373"/>
      <c r="R45" s="1373"/>
      <c r="S45" s="1373"/>
      <c r="T45" s="1373"/>
      <c r="U45" s="1373"/>
      <c r="V45" s="1373"/>
      <c r="W45" s="1373"/>
      <c r="X45" s="1374"/>
    </row>
    <row r="46" spans="1:29" s="50" customFormat="1" ht="20.25" customHeight="1" x14ac:dyDescent="0.25">
      <c r="A46" s="624">
        <v>4</v>
      </c>
      <c r="B46" s="1372"/>
      <c r="C46" s="1373"/>
      <c r="D46" s="1373"/>
      <c r="E46" s="1373"/>
      <c r="F46" s="1373"/>
      <c r="G46" s="1373"/>
      <c r="H46" s="1373"/>
      <c r="I46" s="1373"/>
      <c r="J46" s="1373"/>
      <c r="K46" s="1373"/>
      <c r="L46" s="1373"/>
      <c r="M46" s="1373"/>
      <c r="N46" s="1373"/>
      <c r="O46" s="1373"/>
      <c r="P46" s="1373"/>
      <c r="Q46" s="1373"/>
      <c r="R46" s="1373"/>
      <c r="S46" s="1373"/>
      <c r="T46" s="1373"/>
      <c r="U46" s="1373"/>
      <c r="V46" s="1373"/>
      <c r="W46" s="1373"/>
      <c r="X46" s="1374"/>
    </row>
    <row r="47" spans="1:29" s="50" customFormat="1" x14ac:dyDescent="0.25">
      <c r="A47" s="120"/>
      <c r="B47" s="120"/>
      <c r="C47" s="120"/>
      <c r="D47" s="120"/>
      <c r="E47" s="121"/>
      <c r="F47" s="121"/>
      <c r="L47" s="128"/>
      <c r="V47" s="124"/>
      <c r="W47" s="124"/>
      <c r="X47" s="125"/>
    </row>
    <row r="48" spans="1:29" s="50" customFormat="1" x14ac:dyDescent="0.25">
      <c r="A48" s="120"/>
      <c r="B48" s="120"/>
      <c r="C48" s="120"/>
      <c r="D48" s="120"/>
      <c r="E48" s="121"/>
      <c r="F48" s="121"/>
      <c r="L48" s="128"/>
      <c r="V48" s="124"/>
      <c r="W48" s="124"/>
      <c r="X48" s="125"/>
    </row>
  </sheetData>
  <sheetProtection insertRows="0"/>
  <mergeCells count="116">
    <mergeCell ref="N3:O3"/>
    <mergeCell ref="N11:O11"/>
    <mergeCell ref="A42:C42"/>
    <mergeCell ref="B43:X43"/>
    <mergeCell ref="B44:X44"/>
    <mergeCell ref="B45:X45"/>
    <mergeCell ref="N34:O34"/>
    <mergeCell ref="C38:F38"/>
    <mergeCell ref="N38:O38"/>
    <mergeCell ref="C39:F39"/>
    <mergeCell ref="N39:O39"/>
    <mergeCell ref="C37:F37"/>
    <mergeCell ref="N37:O37"/>
    <mergeCell ref="C33:F33"/>
    <mergeCell ref="N33:O33"/>
    <mergeCell ref="C34:F34"/>
    <mergeCell ref="C35:F35"/>
    <mergeCell ref="N35:O35"/>
    <mergeCell ref="C36:F36"/>
    <mergeCell ref="N36:O36"/>
    <mergeCell ref="C30:E30"/>
    <mergeCell ref="F30:F31"/>
    <mergeCell ref="N30:O30"/>
    <mergeCell ref="C31:E31"/>
    <mergeCell ref="N31:O31"/>
    <mergeCell ref="C32:F32"/>
    <mergeCell ref="N32:O32"/>
    <mergeCell ref="N27:O27"/>
    <mergeCell ref="C28:D28"/>
    <mergeCell ref="N28:O28"/>
    <mergeCell ref="C29:F29"/>
    <mergeCell ref="N29:O29"/>
    <mergeCell ref="C23:F23"/>
    <mergeCell ref="N23:O23"/>
    <mergeCell ref="C24:D24"/>
    <mergeCell ref="E24:F28"/>
    <mergeCell ref="N24:O24"/>
    <mergeCell ref="C25:D25"/>
    <mergeCell ref="N25:O25"/>
    <mergeCell ref="C26:D26"/>
    <mergeCell ref="N26:O26"/>
    <mergeCell ref="C27:D27"/>
    <mergeCell ref="N19:O19"/>
    <mergeCell ref="C20:F20"/>
    <mergeCell ref="N20:O20"/>
    <mergeCell ref="C21:F21"/>
    <mergeCell ref="N21:O21"/>
    <mergeCell ref="C22:F22"/>
    <mergeCell ref="N22:O22"/>
    <mergeCell ref="B16:B19"/>
    <mergeCell ref="C16:F16"/>
    <mergeCell ref="N16:O16"/>
    <mergeCell ref="C17:F17"/>
    <mergeCell ref="N17:O17"/>
    <mergeCell ref="C18:F18"/>
    <mergeCell ref="N18:O18"/>
    <mergeCell ref="C19:F19"/>
    <mergeCell ref="C14:F15"/>
    <mergeCell ref="K14:K15"/>
    <mergeCell ref="N14:O14"/>
    <mergeCell ref="S14:S15"/>
    <mergeCell ref="W14:W15"/>
    <mergeCell ref="X14:X15"/>
    <mergeCell ref="N15:O15"/>
    <mergeCell ref="A11:C11"/>
    <mergeCell ref="D11:E11"/>
    <mergeCell ref="F11:G11"/>
    <mergeCell ref="I11:M11"/>
    <mergeCell ref="R11:X11"/>
    <mergeCell ref="I13:L13"/>
    <mergeCell ref="N13:P13"/>
    <mergeCell ref="R13:T13"/>
    <mergeCell ref="F7:G7"/>
    <mergeCell ref="I7:M7"/>
    <mergeCell ref="R7:X7"/>
    <mergeCell ref="A8:C8"/>
    <mergeCell ref="D8:E8"/>
    <mergeCell ref="F8:G8"/>
    <mergeCell ref="I8:M8"/>
    <mergeCell ref="N8:O8"/>
    <mergeCell ref="A10:C10"/>
    <mergeCell ref="D10:E10"/>
    <mergeCell ref="F10:G10"/>
    <mergeCell ref="I10:M10"/>
    <mergeCell ref="N10:O10"/>
    <mergeCell ref="R10:X10"/>
    <mergeCell ref="R8:X9"/>
    <mergeCell ref="A9:C9"/>
    <mergeCell ref="D9:E9"/>
    <mergeCell ref="F9:G9"/>
    <mergeCell ref="I9:M9"/>
    <mergeCell ref="N9:O9"/>
    <mergeCell ref="B46:X46"/>
    <mergeCell ref="A1:L1"/>
    <mergeCell ref="R3:X3"/>
    <mergeCell ref="A4:C4"/>
    <mergeCell ref="D4:E4"/>
    <mergeCell ref="F4:G4"/>
    <mergeCell ref="I4:M4"/>
    <mergeCell ref="N4:O4"/>
    <mergeCell ref="R4:X4"/>
    <mergeCell ref="M1:V1"/>
    <mergeCell ref="A6:C6"/>
    <mergeCell ref="D6:E6"/>
    <mergeCell ref="F6:G6"/>
    <mergeCell ref="I6:M6"/>
    <mergeCell ref="N6:O6"/>
    <mergeCell ref="R6:X6"/>
    <mergeCell ref="A5:C5"/>
    <mergeCell ref="D5:E5"/>
    <mergeCell ref="F5:G5"/>
    <mergeCell ref="I5:M5"/>
    <mergeCell ref="N5:O5"/>
    <mergeCell ref="R5:X5"/>
    <mergeCell ref="A7:C7"/>
    <mergeCell ref="D7:E7"/>
  </mergeCells>
  <conditionalFormatting sqref="E24">
    <cfRule type="cellIs" dxfId="23" priority="1" operator="notEqual">
      <formula>"GC 76000 PA ($" &amp;P11 &amp;" for every 10) breakdown per local board of supervisor resolution (BOS)."</formula>
    </cfRule>
  </conditionalFormatting>
  <conditionalFormatting sqref="H24:H29">
    <cfRule type="expression" dxfId="22" priority="7" stopIfTrue="1">
      <formula>MOD(ROW(), 2)=0</formula>
    </cfRule>
  </conditionalFormatting>
  <conditionalFormatting sqref="H29:H32 H16:H23">
    <cfRule type="expression" dxfId="21" priority="9" stopIfTrue="1">
      <formula>MOD(ROW(),2)=0</formula>
    </cfRule>
  </conditionalFormatting>
  <conditionalFormatting sqref="K16:L39 I18:I33">
    <cfRule type="cellIs" dxfId="20" priority="3" operator="equal">
      <formula>0</formula>
    </cfRule>
  </conditionalFormatting>
  <conditionalFormatting sqref="N16:P39">
    <cfRule type="expression" dxfId="19" priority="4">
      <formula>MOD(ROW(),2)=0</formula>
    </cfRule>
  </conditionalFormatting>
  <conditionalFormatting sqref="R16:T39">
    <cfRule type="cellIs" dxfId="18" priority="10" stopIfTrue="1" operator="equal">
      <formula>0</formula>
    </cfRule>
  </conditionalFormatting>
  <conditionalFormatting sqref="V12:W13 V42:W42 V47:W65530">
    <cfRule type="cellIs" dxfId="17" priority="8" stopIfTrue="1" operator="notEqual">
      <formula>0</formula>
    </cfRule>
  </conditionalFormatting>
  <conditionalFormatting sqref="W16:W39">
    <cfRule type="cellIs" dxfId="16" priority="2" operator="greaterThan">
      <formula>0</formula>
    </cfRule>
  </conditionalFormatting>
  <dataValidations count="2">
    <dataValidation type="list" allowBlank="1" showInputMessage="1" showErrorMessage="1" sqref="D8:E8" xr:uid="{00000000-0002-0000-2700-000000000000}">
      <formula1>Yes_No</formula1>
    </dataValidation>
    <dataValidation type="list" allowBlank="1" showInputMessage="1" showErrorMessage="1" sqref="V15" xr:uid="{00000000-0002-0000-2700-000001000000}">
      <formula1>Distribution_Method</formula1>
    </dataValidation>
  </dataValidations>
  <printOptions horizontalCentered="1"/>
  <pageMargins left="0.25" right="0.25" top="0.75" bottom="0.5" header="0.25" footer="0.25"/>
  <pageSetup scale="67" orientation="landscape" r:id="rId1"/>
  <headerFooter alignWithMargins="0">
    <oddHeader>&amp;CSUPERIOR OF COURT OF _________ COUNTY
Revenue Calculation and Distribution Worksheet</oddHeader>
    <oddFooter>&amp;L&amp;F&amp;R&amp;P of &amp;N</oddFooter>
  </headerFooter>
  <ignoredErrors>
    <ignoredError sqref="V33 T33"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56353" r:id="rId4" name="Button 1">
              <controlPr defaultSize="0" print="0" autoFill="0" autoPict="0" macro="mcr_GoToSummary">
                <anchor moveWithCells="1">
                  <from>
                    <xdr:col>0</xdr:col>
                    <xdr:colOff>88900</xdr:colOff>
                    <xdr:row>0</xdr:row>
                    <xdr:rowOff>0</xdr:rowOff>
                  </from>
                  <to>
                    <xdr:col>3</xdr:col>
                    <xdr:colOff>127000</xdr:colOff>
                    <xdr:row>1</xdr:row>
                    <xdr:rowOff>31750</xdr:rowOff>
                  </to>
                </anchor>
              </controlPr>
            </control>
          </mc:Choice>
        </mc:AlternateContent>
        <mc:AlternateContent xmlns:mc="http://schemas.openxmlformats.org/markup-compatibility/2006">
          <mc:Choice Requires="x14">
            <control shapeId="356354" r:id="rId5" name="Button 2">
              <controlPr defaultSize="0" print="0" autoFill="0" autoPict="0" macro="[0]!mcrDisableTwoPercentUnprotect">
                <anchor moveWithCells="1">
                  <from>
                    <xdr:col>0</xdr:col>
                    <xdr:colOff>12700</xdr:colOff>
                    <xdr:row>13</xdr:row>
                    <xdr:rowOff>527050</xdr:rowOff>
                  </from>
                  <to>
                    <xdr:col>0</xdr:col>
                    <xdr:colOff>279400</xdr:colOff>
                    <xdr:row>14</xdr:row>
                    <xdr:rowOff>222250</xdr:rowOff>
                  </to>
                </anchor>
              </controlPr>
            </control>
          </mc:Choice>
        </mc:AlternateContent>
        <mc:AlternateContent xmlns:mc="http://schemas.openxmlformats.org/markup-compatibility/2006">
          <mc:Choice Requires="x14">
            <control shapeId="356355" r:id="rId6" name="Button 3">
              <controlPr defaultSize="0" print="0" autoFill="0" autoPict="0" macro="[0]!mcrEnableTwoPercentUnprotect">
                <anchor moveWithCells="1">
                  <from>
                    <xdr:col>0</xdr:col>
                    <xdr:colOff>0</xdr:colOff>
                    <xdr:row>13</xdr:row>
                    <xdr:rowOff>222250</xdr:rowOff>
                  </from>
                  <to>
                    <xdr:col>0</xdr:col>
                    <xdr:colOff>266700</xdr:colOff>
                    <xdr:row>13</xdr:row>
                    <xdr:rowOff>552450</xdr:rowOff>
                  </to>
                </anchor>
              </controlPr>
            </control>
          </mc:Choice>
        </mc:AlternateContent>
      </controls>
    </mc:Choice>
  </mc:AlternateConten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25">
    <tabColor theme="6"/>
    <pageSetUpPr fitToPage="1"/>
  </sheetPr>
  <dimension ref="A1:AC49"/>
  <sheetViews>
    <sheetView zoomScale="80" zoomScaleNormal="80" workbookViewId="0">
      <pane ySplit="1" topLeftCell="A2" activePane="bottomLeft" state="frozen"/>
      <selection sqref="A1:K1"/>
      <selection pane="bottomLeft" sqref="A1:L1"/>
    </sheetView>
  </sheetViews>
  <sheetFormatPr defaultColWidth="9.1796875" defaultRowHeight="18.5" x14ac:dyDescent="0.25"/>
  <cols>
    <col min="1" max="1" width="4.26953125" style="87" customWidth="1"/>
    <col min="2" max="2" width="4.7265625" style="87" customWidth="1"/>
    <col min="3" max="3" width="13.54296875" style="87" customWidth="1"/>
    <col min="4" max="4" width="12.453125" style="87" customWidth="1"/>
    <col min="5" max="5" width="10.453125" style="88" customWidth="1"/>
    <col min="6" max="6" width="17.54296875" style="121" customWidth="1"/>
    <col min="7" max="7" width="11.1796875" style="46" customWidth="1"/>
    <col min="8" max="8" width="30.7265625" style="46" hidden="1" customWidth="1"/>
    <col min="9" max="9" width="9" style="46" customWidth="1"/>
    <col min="10" max="10" width="14.1796875" style="46" hidden="1" customWidth="1"/>
    <col min="11" max="11" width="6" style="46" customWidth="1"/>
    <col min="12" max="12" width="11.1796875" style="92" customWidth="1"/>
    <col min="13" max="13" width="1.7265625" style="89" customWidth="1"/>
    <col min="14" max="14" width="15.26953125" style="46" customWidth="1"/>
    <col min="15" max="15" width="1.54296875" style="46" customWidth="1"/>
    <col min="16" max="16" width="11" style="46" customWidth="1"/>
    <col min="17" max="17" width="1.81640625" style="89" customWidth="1"/>
    <col min="18" max="18" width="10.81640625" style="89" customWidth="1"/>
    <col min="19" max="19" width="5.7265625" style="89" customWidth="1"/>
    <col min="20" max="20" width="10.7265625" style="89" customWidth="1"/>
    <col min="21" max="21" width="1.81640625" style="50" customWidth="1"/>
    <col min="22" max="22" width="12.453125" style="90" customWidth="1"/>
    <col min="23" max="23" width="6" style="90" customWidth="1"/>
    <col min="24" max="24" width="18.7265625" style="91" customWidth="1"/>
    <col min="25" max="25" width="2.1796875" style="50" customWidth="1"/>
    <col min="26" max="26" width="11.26953125" style="50" customWidth="1"/>
    <col min="27" max="27" width="11.1796875" style="50" customWidth="1"/>
    <col min="28" max="29" width="9.1796875" style="50"/>
    <col min="30" max="16384" width="9.1796875" style="46"/>
  </cols>
  <sheetData>
    <row r="1" spans="1:29" ht="20.25" customHeight="1" thickBot="1" x14ac:dyDescent="0.3">
      <c r="A1" s="1081" t="s">
        <v>333</v>
      </c>
      <c r="B1" s="1082"/>
      <c r="C1" s="1082"/>
      <c r="D1" s="1082"/>
      <c r="E1" s="1082"/>
      <c r="F1" s="1082"/>
      <c r="G1" s="1082"/>
      <c r="H1" s="1082"/>
      <c r="I1" s="1082"/>
      <c r="J1" s="1082"/>
      <c r="K1" s="1082"/>
      <c r="L1" s="1082"/>
      <c r="M1" s="1079"/>
      <c r="N1" s="1079"/>
      <c r="O1" s="1079"/>
      <c r="P1" s="1079"/>
      <c r="Q1" s="1079"/>
      <c r="R1" s="1079"/>
      <c r="S1" s="1079"/>
      <c r="T1" s="1079"/>
      <c r="U1" s="1079"/>
      <c r="V1" s="1079"/>
      <c r="W1" s="592" t="s">
        <v>485</v>
      </c>
      <c r="X1" s="612" t="str">
        <f>'Cover Page'!A3</f>
        <v>January 2014</v>
      </c>
    </row>
    <row r="2" spans="1:29" s="50" customFormat="1" ht="6" customHeight="1" thickBot="1" x14ac:dyDescent="0.3">
      <c r="A2" s="47"/>
      <c r="B2" s="47"/>
      <c r="C2" s="47"/>
      <c r="D2" s="47"/>
      <c r="E2" s="47"/>
      <c r="F2" s="47"/>
      <c r="G2" s="47"/>
      <c r="H2" s="47"/>
      <c r="I2" s="47"/>
      <c r="J2" s="47"/>
      <c r="K2" s="48"/>
      <c r="L2" s="48"/>
      <c r="M2" s="48"/>
      <c r="N2" s="48"/>
      <c r="O2" s="48"/>
      <c r="P2" s="49"/>
      <c r="Q2" s="49"/>
      <c r="R2" s="49"/>
      <c r="S2" s="49"/>
      <c r="T2" s="49"/>
      <c r="U2" s="49"/>
      <c r="V2" s="49"/>
      <c r="W2" s="49"/>
      <c r="X2" s="49"/>
    </row>
    <row r="3" spans="1:29" s="50" customFormat="1" ht="19" thickBot="1" x14ac:dyDescent="0.3">
      <c r="A3" s="630" t="s">
        <v>234</v>
      </c>
      <c r="B3" s="631"/>
      <c r="C3" s="631"/>
      <c r="D3" s="631"/>
      <c r="E3" s="631"/>
      <c r="F3" s="631"/>
      <c r="G3" s="631"/>
      <c r="H3" s="631"/>
      <c r="I3" s="631"/>
      <c r="J3" s="631"/>
      <c r="K3" s="631"/>
      <c r="L3" s="631"/>
      <c r="M3" s="631"/>
      <c r="N3" s="1221"/>
      <c r="O3" s="1245"/>
      <c r="P3" s="637"/>
      <c r="Q3" s="159"/>
      <c r="R3" s="901" t="s">
        <v>261</v>
      </c>
      <c r="S3" s="902"/>
      <c r="T3" s="902"/>
      <c r="U3" s="902"/>
      <c r="V3" s="902"/>
      <c r="W3" s="902"/>
      <c r="X3" s="903"/>
      <c r="Z3" s="159" t="s">
        <v>250</v>
      </c>
      <c r="AA3" s="120"/>
    </row>
    <row r="4" spans="1:29" s="53" customFormat="1" ht="15.5" x14ac:dyDescent="0.25">
      <c r="A4" s="904" t="s">
        <v>231</v>
      </c>
      <c r="B4" s="905"/>
      <c r="C4" s="905"/>
      <c r="D4" s="906">
        <f>M1</f>
        <v>0</v>
      </c>
      <c r="E4" s="907"/>
      <c r="F4" s="1173" t="s">
        <v>28</v>
      </c>
      <c r="G4" s="1087"/>
      <c r="H4" s="190"/>
      <c r="I4" s="1170"/>
      <c r="J4" s="1170"/>
      <c r="K4" s="1170"/>
      <c r="L4" s="1170"/>
      <c r="M4" s="1170"/>
      <c r="N4" s="910" t="s">
        <v>257</v>
      </c>
      <c r="O4" s="910"/>
      <c r="P4" s="191"/>
      <c r="Q4" s="95"/>
      <c r="R4" s="911" t="s">
        <v>236</v>
      </c>
      <c r="S4" s="912"/>
      <c r="T4" s="912"/>
      <c r="U4" s="912"/>
      <c r="V4" s="912"/>
      <c r="W4" s="912"/>
      <c r="X4" s="913"/>
      <c r="Z4" s="243" t="s">
        <v>308</v>
      </c>
      <c r="AA4" s="241" t="s">
        <v>309</v>
      </c>
      <c r="AB4" s="241" t="s">
        <v>310</v>
      </c>
    </row>
    <row r="5" spans="1:29" s="53" customFormat="1" ht="15.5" x14ac:dyDescent="0.25">
      <c r="A5" s="882" t="s">
        <v>4</v>
      </c>
      <c r="B5" s="883"/>
      <c r="C5" s="883"/>
      <c r="D5" s="894"/>
      <c r="E5" s="885"/>
      <c r="F5" s="1107" t="s">
        <v>244</v>
      </c>
      <c r="G5" s="1086"/>
      <c r="H5" s="167"/>
      <c r="I5" s="1160"/>
      <c r="J5" s="1160"/>
      <c r="K5" s="1160"/>
      <c r="L5" s="1160"/>
      <c r="M5" s="1160"/>
      <c r="N5" s="872" t="s">
        <v>22</v>
      </c>
      <c r="O5" s="872"/>
      <c r="P5" s="54"/>
      <c r="Q5" s="95"/>
      <c r="R5" s="897" t="s">
        <v>391</v>
      </c>
      <c r="S5" s="898"/>
      <c r="T5" s="898"/>
      <c r="U5" s="898"/>
      <c r="V5" s="898"/>
      <c r="W5" s="898"/>
      <c r="X5" s="899"/>
      <c r="Z5" s="157" t="s">
        <v>31</v>
      </c>
      <c r="AA5" s="161">
        <f>SUMIF($G$16:$G$40,"STATE",$L$16:$L$40)</f>
        <v>551.05000000000007</v>
      </c>
      <c r="AB5" s="161">
        <f>SUMIF($G$16:$G$40,"STATE",$T$16:$T$40)</f>
        <v>0</v>
      </c>
    </row>
    <row r="6" spans="1:29" s="53" customFormat="1" ht="16" thickBot="1" x14ac:dyDescent="0.3">
      <c r="A6" s="882" t="s">
        <v>12</v>
      </c>
      <c r="B6" s="883"/>
      <c r="C6" s="883"/>
      <c r="D6" s="884"/>
      <c r="E6" s="885"/>
      <c r="F6" s="1107" t="s">
        <v>20</v>
      </c>
      <c r="G6" s="1086"/>
      <c r="H6" s="167"/>
      <c r="I6" s="1160" t="s">
        <v>11</v>
      </c>
      <c r="J6" s="1160"/>
      <c r="K6" s="1160"/>
      <c r="L6" s="1160"/>
      <c r="M6" s="1160"/>
      <c r="N6" s="848" t="s">
        <v>233</v>
      </c>
      <c r="O6" s="848"/>
      <c r="P6" s="194">
        <f>P4+P5*10</f>
        <v>0</v>
      </c>
      <c r="Q6" s="95"/>
      <c r="R6" s="891" t="s">
        <v>573</v>
      </c>
      <c r="S6" s="892"/>
      <c r="T6" s="892"/>
      <c r="U6" s="892"/>
      <c r="V6" s="892"/>
      <c r="W6" s="892"/>
      <c r="X6" s="893"/>
      <c r="Z6" s="157" t="s">
        <v>32</v>
      </c>
      <c r="AA6" s="161">
        <f>SUMIF($G$16:$G$40,"COUNTY",$L$16:$L$40)</f>
        <v>369.9500000000001</v>
      </c>
      <c r="AB6" s="161">
        <f>SUMIF($G$16:$G$40,"COUNTY",$T$16:$T$40)</f>
        <v>0</v>
      </c>
    </row>
    <row r="7" spans="1:29" s="53" customFormat="1" ht="16" thickBot="1" x14ac:dyDescent="0.3">
      <c r="A7" s="882" t="s">
        <v>5</v>
      </c>
      <c r="B7" s="883"/>
      <c r="C7" s="883"/>
      <c r="D7" s="884"/>
      <c r="E7" s="885"/>
      <c r="F7" s="1106" t="s">
        <v>21</v>
      </c>
      <c r="G7" s="1077"/>
      <c r="H7" s="219"/>
      <c r="I7" s="1162"/>
      <c r="J7" s="1162"/>
      <c r="K7" s="1162"/>
      <c r="L7" s="1162"/>
      <c r="M7" s="967"/>
      <c r="N7" s="216"/>
      <c r="O7" s="220"/>
      <c r="P7" s="217"/>
      <c r="Q7" s="95"/>
      <c r="R7" s="888" t="s">
        <v>332</v>
      </c>
      <c r="S7" s="889"/>
      <c r="T7" s="889"/>
      <c r="U7" s="889"/>
      <c r="V7" s="889"/>
      <c r="W7" s="889"/>
      <c r="X7" s="890"/>
      <c r="Z7" s="157" t="s">
        <v>52</v>
      </c>
      <c r="AA7" s="161">
        <f>SUMIF($G$16:$G$40,"CITY",$L$16:$L$40)</f>
        <v>0</v>
      </c>
      <c r="AB7" s="161">
        <f>SUMIF($G$16:$G$40,"CITY",$T$16:$T$40)</f>
        <v>0</v>
      </c>
    </row>
    <row r="8" spans="1:29" s="53" customFormat="1" ht="15.75" customHeight="1" x14ac:dyDescent="0.25">
      <c r="A8" s="873" t="s">
        <v>444</v>
      </c>
      <c r="B8" s="874"/>
      <c r="C8" s="874"/>
      <c r="D8" s="1163" t="s">
        <v>436</v>
      </c>
      <c r="E8" s="1184"/>
      <c r="F8" s="904" t="s">
        <v>253</v>
      </c>
      <c r="G8" s="905"/>
      <c r="H8" s="169"/>
      <c r="I8" s="1167"/>
      <c r="J8" s="1167"/>
      <c r="K8" s="1167"/>
      <c r="L8" s="1167"/>
      <c r="M8" s="1167"/>
      <c r="N8" s="881" t="s">
        <v>257</v>
      </c>
      <c r="O8" s="881"/>
      <c r="P8" s="51">
        <v>0</v>
      </c>
      <c r="Q8" s="138"/>
      <c r="R8" s="862" t="s">
        <v>303</v>
      </c>
      <c r="S8" s="863"/>
      <c r="T8" s="863"/>
      <c r="U8" s="863"/>
      <c r="V8" s="863"/>
      <c r="W8" s="863"/>
      <c r="X8" s="864"/>
      <c r="Z8" s="157" t="s">
        <v>230</v>
      </c>
      <c r="AA8" s="161">
        <f>SUMIF($G$16:$G$40,"COURT",$L$16:$L$40)</f>
        <v>0</v>
      </c>
      <c r="AB8" s="161">
        <f>SUMIF($G$16:$G$40,"COURT",$T$16:$T$40)</f>
        <v>0</v>
      </c>
    </row>
    <row r="9" spans="1:29" s="53" customFormat="1" ht="18" customHeight="1" thickBot="1" x14ac:dyDescent="0.3">
      <c r="A9" s="868" t="s">
        <v>85</v>
      </c>
      <c r="B9" s="869"/>
      <c r="C9" s="869"/>
      <c r="D9" s="870" t="str">
        <f>IF(D8="Yes", "No", "Yes")</f>
        <v>No</v>
      </c>
      <c r="E9" s="871"/>
      <c r="F9" s="1107" t="s">
        <v>244</v>
      </c>
      <c r="G9" s="1086"/>
      <c r="H9" s="167"/>
      <c r="I9" s="1160"/>
      <c r="J9" s="1160"/>
      <c r="K9" s="1160"/>
      <c r="L9" s="1160"/>
      <c r="M9" s="1160"/>
      <c r="N9" s="872" t="s">
        <v>22</v>
      </c>
      <c r="O9" s="872"/>
      <c r="P9" s="54"/>
      <c r="Q9" s="138"/>
      <c r="R9" s="865"/>
      <c r="S9" s="866"/>
      <c r="T9" s="866"/>
      <c r="U9" s="866"/>
      <c r="V9" s="866"/>
      <c r="W9" s="866"/>
      <c r="X9" s="867"/>
      <c r="Z9" s="84" t="s">
        <v>456</v>
      </c>
      <c r="AA9" s="161">
        <f>SUMIF($G$16:$G$40,"ST or CNTY",$L$16:$L$40)</f>
        <v>49</v>
      </c>
      <c r="AB9" s="161">
        <f>SUMIF($G$16:$G$40,"ST or CNTY",$T$16:$T$40)</f>
        <v>0</v>
      </c>
    </row>
    <row r="10" spans="1:29" s="53" customFormat="1" ht="16.5" customHeight="1" thickBot="1" x14ac:dyDescent="0.3">
      <c r="A10" s="840" t="s">
        <v>276</v>
      </c>
      <c r="B10" s="841"/>
      <c r="C10" s="841"/>
      <c r="D10" s="1066">
        <f>P6+P10+I16+I17</f>
        <v>200</v>
      </c>
      <c r="E10" s="1067"/>
      <c r="F10" s="1107" t="s">
        <v>20</v>
      </c>
      <c r="G10" s="1086"/>
      <c r="H10" s="167"/>
      <c r="I10" s="1160"/>
      <c r="J10" s="1160"/>
      <c r="K10" s="1160"/>
      <c r="L10" s="1160"/>
      <c r="M10" s="1160"/>
      <c r="N10" s="848" t="s">
        <v>233</v>
      </c>
      <c r="O10" s="848"/>
      <c r="P10" s="194">
        <f>P8+P9*10</f>
        <v>0</v>
      </c>
      <c r="Q10" s="218"/>
      <c r="R10" s="849" t="s">
        <v>239</v>
      </c>
      <c r="S10" s="850"/>
      <c r="T10" s="850"/>
      <c r="U10" s="850"/>
      <c r="V10" s="850"/>
      <c r="W10" s="850"/>
      <c r="X10" s="851"/>
      <c r="Z10" s="158" t="s">
        <v>246</v>
      </c>
      <c r="AA10" s="134">
        <f>SUM(AA5:AA9)</f>
        <v>970.00000000000023</v>
      </c>
      <c r="AB10" s="134">
        <f>SUM(AB5:AB9)</f>
        <v>0</v>
      </c>
    </row>
    <row r="11" spans="1:29" s="53" customFormat="1" ht="16.5" customHeight="1" thickBot="1" x14ac:dyDescent="0.3">
      <c r="A11" s="852" t="s">
        <v>277</v>
      </c>
      <c r="B11" s="853"/>
      <c r="C11" s="853"/>
      <c r="D11" s="854">
        <f>ROUNDUP(D10/10,0)</f>
        <v>20</v>
      </c>
      <c r="E11" s="855"/>
      <c r="F11" s="1153" t="s">
        <v>21</v>
      </c>
      <c r="G11" s="1069"/>
      <c r="H11" s="168"/>
      <c r="I11" s="1154"/>
      <c r="J11" s="1154"/>
      <c r="K11" s="1154"/>
      <c r="L11" s="1154"/>
      <c r="M11" s="1354"/>
      <c r="N11" s="860" t="s">
        <v>568</v>
      </c>
      <c r="O11" s="1239"/>
      <c r="P11" s="632">
        <f>'1-DUI (Reduce Base)'!P11</f>
        <v>5</v>
      </c>
      <c r="Q11" s="218"/>
      <c r="R11" s="837" t="s">
        <v>430</v>
      </c>
      <c r="S11" s="838"/>
      <c r="T11" s="838"/>
      <c r="U11" s="838"/>
      <c r="V11" s="838"/>
      <c r="W11" s="838"/>
      <c r="X11" s="839"/>
      <c r="AA11" s="242">
        <f>AA10-L42</f>
        <v>0</v>
      </c>
      <c r="AB11" s="242">
        <f>AB10-T42</f>
        <v>0</v>
      </c>
    </row>
    <row r="12" spans="1:29" s="53" customFormat="1" ht="15.75" customHeight="1" thickBot="1" x14ac:dyDescent="0.3">
      <c r="A12" s="193"/>
      <c r="B12" s="193"/>
      <c r="C12" s="173"/>
      <c r="D12" s="173"/>
      <c r="E12" s="173"/>
      <c r="F12" s="60"/>
      <c r="G12" s="55"/>
      <c r="H12" s="56"/>
      <c r="I12" s="57"/>
      <c r="J12" s="57"/>
      <c r="K12" s="57"/>
      <c r="L12" s="57"/>
      <c r="M12" s="57"/>
      <c r="P12" s="52"/>
      <c r="Q12" s="52"/>
      <c r="R12" s="52"/>
      <c r="S12" s="52"/>
      <c r="T12" s="52"/>
      <c r="U12" s="52"/>
      <c r="V12" s="58"/>
      <c r="W12" s="58"/>
      <c r="X12" s="56"/>
      <c r="AB12" s="59"/>
    </row>
    <row r="13" spans="1:29" s="98" customFormat="1" ht="18.75" customHeight="1" thickBot="1" x14ac:dyDescent="0.3">
      <c r="A13" s="174"/>
      <c r="B13" s="174"/>
      <c r="C13" s="174"/>
      <c r="D13" s="174"/>
      <c r="E13" s="174"/>
      <c r="F13" s="96"/>
      <c r="G13" s="97"/>
      <c r="I13" s="821" t="s">
        <v>297</v>
      </c>
      <c r="J13" s="822"/>
      <c r="K13" s="822"/>
      <c r="L13" s="823"/>
      <c r="M13" s="99"/>
      <c r="N13" s="1155" t="s">
        <v>229</v>
      </c>
      <c r="O13" s="1156"/>
      <c r="P13" s="1157"/>
      <c r="Q13" s="100"/>
      <c r="R13" s="824" t="s">
        <v>295</v>
      </c>
      <c r="S13" s="825"/>
      <c r="T13" s="826"/>
      <c r="U13" s="207"/>
      <c r="V13" s="143"/>
      <c r="W13" s="143"/>
      <c r="X13" s="144"/>
      <c r="Y13" s="97"/>
      <c r="Z13" s="97"/>
      <c r="AA13" s="97"/>
      <c r="AB13" s="97"/>
      <c r="AC13" s="97"/>
    </row>
    <row r="14" spans="1:29" ht="44.25" customHeight="1" thickBot="1" x14ac:dyDescent="0.3">
      <c r="A14" s="101">
        <v>0.02</v>
      </c>
      <c r="B14" s="101" t="s">
        <v>58</v>
      </c>
      <c r="C14" s="827" t="s">
        <v>226</v>
      </c>
      <c r="D14" s="828"/>
      <c r="E14" s="828"/>
      <c r="F14" s="829"/>
      <c r="G14" s="102" t="s">
        <v>249</v>
      </c>
      <c r="H14" s="103" t="s">
        <v>0</v>
      </c>
      <c r="I14" s="170" t="s">
        <v>298</v>
      </c>
      <c r="J14" s="109" t="s">
        <v>252</v>
      </c>
      <c r="K14" s="835" t="s">
        <v>6</v>
      </c>
      <c r="L14" s="215" t="s">
        <v>299</v>
      </c>
      <c r="M14" s="61"/>
      <c r="N14" s="1122" t="s">
        <v>260</v>
      </c>
      <c r="O14" s="1123"/>
      <c r="P14" s="109" t="s">
        <v>248</v>
      </c>
      <c r="Q14" s="110"/>
      <c r="R14" s="564" t="s">
        <v>428</v>
      </c>
      <c r="S14" s="835" t="s">
        <v>6</v>
      </c>
      <c r="T14" s="215" t="s">
        <v>299</v>
      </c>
      <c r="U14" s="209"/>
      <c r="V14" s="189" t="s">
        <v>256</v>
      </c>
      <c r="W14" s="1148" t="s">
        <v>61</v>
      </c>
      <c r="X14" s="1150" t="s">
        <v>384</v>
      </c>
    </row>
    <row r="15" spans="1:29" ht="30.75" customHeight="1" thickBot="1" x14ac:dyDescent="0.3">
      <c r="A15" s="104"/>
      <c r="B15" s="104"/>
      <c r="C15" s="830"/>
      <c r="D15" s="831"/>
      <c r="E15" s="831"/>
      <c r="F15" s="832"/>
      <c r="G15" s="105"/>
      <c r="H15" s="105"/>
      <c r="I15" s="106"/>
      <c r="J15" s="146">
        <f>J34/I34</f>
        <v>2.3466666666666667</v>
      </c>
      <c r="K15" s="836"/>
      <c r="L15" s="222" t="s">
        <v>42</v>
      </c>
      <c r="M15" s="62"/>
      <c r="N15" s="1120"/>
      <c r="O15" s="1121"/>
      <c r="P15" s="223" t="s">
        <v>43</v>
      </c>
      <c r="Q15" s="110"/>
      <c r="R15" s="224">
        <f>R34/I34</f>
        <v>0</v>
      </c>
      <c r="S15" s="836"/>
      <c r="T15" s="222" t="s">
        <v>44</v>
      </c>
      <c r="U15" s="209"/>
      <c r="V15" s="262" t="s">
        <v>300</v>
      </c>
      <c r="W15" s="1149"/>
      <c r="X15" s="1151"/>
    </row>
    <row r="16" spans="1:29" s="68" customFormat="1" ht="15.75" customHeight="1" thickTop="1" x14ac:dyDescent="0.25">
      <c r="A16" s="63" t="s">
        <v>8</v>
      </c>
      <c r="B16" s="1375" t="s">
        <v>241</v>
      </c>
      <c r="C16" s="1146" t="s">
        <v>465</v>
      </c>
      <c r="D16" s="1105"/>
      <c r="E16" s="1105"/>
      <c r="F16" s="1105"/>
      <c r="G16" s="567" t="s">
        <v>456</v>
      </c>
      <c r="H16" s="65" t="s">
        <v>329</v>
      </c>
      <c r="I16" s="186">
        <v>50</v>
      </c>
      <c r="J16" s="145">
        <f>I16</f>
        <v>50</v>
      </c>
      <c r="K16" s="147">
        <f t="shared" ref="K16:K33" si="0">IF(A16="Y", I16*2%,0)</f>
        <v>1</v>
      </c>
      <c r="L16" s="180">
        <f>I16-K16</f>
        <v>49</v>
      </c>
      <c r="M16" s="149"/>
      <c r="N16" s="1135"/>
      <c r="O16" s="1136"/>
      <c r="P16" s="172"/>
      <c r="Q16" s="66"/>
      <c r="R16" s="140">
        <f>IF($R$42=0,,IF($R$15*$I$16&gt;50,$I$16,$R$15*$I$16))</f>
        <v>0</v>
      </c>
      <c r="S16" s="147">
        <f t="shared" ref="S16:S33" si="1">IF(A16="Y", R16*2%,)</f>
        <v>0</v>
      </c>
      <c r="T16" s="151">
        <f>R16-S16</f>
        <v>0</v>
      </c>
      <c r="U16" s="210"/>
      <c r="V16" s="145">
        <f>IF($V$15="BASE-UP   (B-A)", P16-L16,P16-T16)</f>
        <v>-49</v>
      </c>
      <c r="W16" s="548"/>
      <c r="X16" s="94"/>
      <c r="Y16" s="114"/>
      <c r="Z16" s="114"/>
      <c r="AA16" s="114"/>
      <c r="AB16" s="114"/>
      <c r="AC16" s="114"/>
    </row>
    <row r="17" spans="1:29" s="68" customFormat="1" ht="15.75" customHeight="1" x14ac:dyDescent="0.25">
      <c r="A17" s="63" t="s">
        <v>8</v>
      </c>
      <c r="B17" s="1073"/>
      <c r="C17" s="1146" t="s">
        <v>420</v>
      </c>
      <c r="D17" s="1105"/>
      <c r="E17" s="1105"/>
      <c r="F17" s="1105"/>
      <c r="G17" s="566" t="s">
        <v>32</v>
      </c>
      <c r="H17" s="71" t="s">
        <v>71</v>
      </c>
      <c r="I17" s="186">
        <v>150</v>
      </c>
      <c r="J17" s="140">
        <f>I17</f>
        <v>150</v>
      </c>
      <c r="K17" s="147">
        <f t="shared" si="0"/>
        <v>3</v>
      </c>
      <c r="L17" s="152">
        <f t="shared" ref="L17:L39" si="2">I17-K17</f>
        <v>147</v>
      </c>
      <c r="M17" s="149"/>
      <c r="N17" s="804"/>
      <c r="O17" s="1078"/>
      <c r="P17" s="72"/>
      <c r="Q17" s="66"/>
      <c r="R17" s="140">
        <f>IF($R$42=0,,IF($R$15*$I$17&gt;$I$17,$I$17,$R$15*$I$17))</f>
        <v>0</v>
      </c>
      <c r="S17" s="147">
        <f t="shared" si="1"/>
        <v>0</v>
      </c>
      <c r="T17" s="152">
        <f>R17-S17</f>
        <v>0</v>
      </c>
      <c r="U17" s="210"/>
      <c r="V17" s="145">
        <f t="shared" ref="V17:V40" si="3">IF($V$15="BASE-UP   (B-A)", P17-L17,P17-T17)</f>
        <v>-147</v>
      </c>
      <c r="W17" s="548"/>
      <c r="X17" s="67"/>
      <c r="Y17" s="114"/>
      <c r="Z17" s="114"/>
      <c r="AA17" s="114"/>
      <c r="AB17" s="114"/>
      <c r="AC17" s="114"/>
    </row>
    <row r="18" spans="1:29" s="68" customFormat="1" ht="15.75" customHeight="1" x14ac:dyDescent="0.25">
      <c r="A18" s="63" t="s">
        <v>8</v>
      </c>
      <c r="B18" s="1073"/>
      <c r="C18" s="1146" t="s">
        <v>496</v>
      </c>
      <c r="D18" s="1105"/>
      <c r="E18" s="1105"/>
      <c r="F18" s="1105"/>
      <c r="G18" s="566" t="s">
        <v>32</v>
      </c>
      <c r="H18" s="71"/>
      <c r="I18" s="140">
        <v>50</v>
      </c>
      <c r="J18" s="140" t="e">
        <f>((SUM(I15:I19)*J14)-SUM(J15:J17))*D7</f>
        <v>#VALUE!</v>
      </c>
      <c r="K18" s="147">
        <f>IF(A18="Y", I18*2%,0)</f>
        <v>1</v>
      </c>
      <c r="L18" s="152">
        <f>I18-K18</f>
        <v>49</v>
      </c>
      <c r="M18" s="149"/>
      <c r="N18" s="804"/>
      <c r="O18" s="1078"/>
      <c r="P18" s="72"/>
      <c r="Q18" s="66"/>
      <c r="R18" s="140">
        <f>IF($R$42=0,,IF($R$15*$I$18&gt;$I$18,$I$18,$R$15*$I$18))</f>
        <v>0</v>
      </c>
      <c r="S18" s="147">
        <f>IF(A18="Y", R18*2%,)</f>
        <v>0</v>
      </c>
      <c r="T18" s="152">
        <f>R18-S18</f>
        <v>0</v>
      </c>
      <c r="U18" s="210"/>
      <c r="V18" s="145">
        <f t="shared" si="3"/>
        <v>-49</v>
      </c>
      <c r="W18" s="548"/>
      <c r="X18" s="67"/>
      <c r="Y18" s="114"/>
      <c r="Z18" s="114"/>
      <c r="AA18" s="114"/>
      <c r="AB18" s="114"/>
      <c r="AC18" s="114"/>
    </row>
    <row r="19" spans="1:29" s="68" customFormat="1" ht="15.75" customHeight="1" x14ac:dyDescent="0.25">
      <c r="A19" s="63" t="s">
        <v>8</v>
      </c>
      <c r="B19" s="1073"/>
      <c r="C19" s="812" t="s">
        <v>330</v>
      </c>
      <c r="D19" s="812"/>
      <c r="E19" s="812"/>
      <c r="F19" s="812"/>
      <c r="G19" s="566" t="s">
        <v>31</v>
      </c>
      <c r="H19" s="71" t="s">
        <v>10</v>
      </c>
      <c r="I19" s="140">
        <f>($D$10-SUM($I$16:$I$18))*75%</f>
        <v>-37.5</v>
      </c>
      <c r="J19" s="140" t="e">
        <f>((SUM(I16:I20)*J15)-SUM(J16:J18))*D8</f>
        <v>#VALUE!</v>
      </c>
      <c r="K19" s="147">
        <f t="shared" si="0"/>
        <v>-0.75</v>
      </c>
      <c r="L19" s="152">
        <f t="shared" si="2"/>
        <v>-36.75</v>
      </c>
      <c r="M19" s="149"/>
      <c r="N19" s="804"/>
      <c r="O19" s="1078"/>
      <c r="P19" s="72"/>
      <c r="Q19" s="66"/>
      <c r="R19" s="140">
        <f>IF($R$42=0,,(($R$15*$D$10)-SUM($R$16:$R$18))*75%)</f>
        <v>0</v>
      </c>
      <c r="S19" s="147">
        <f t="shared" si="1"/>
        <v>0</v>
      </c>
      <c r="T19" s="152">
        <f t="shared" ref="T19:T39" si="4">R19-S19</f>
        <v>0</v>
      </c>
      <c r="U19" s="210"/>
      <c r="V19" s="145">
        <f t="shared" si="3"/>
        <v>36.75</v>
      </c>
      <c r="W19" s="548"/>
      <c r="X19" s="67"/>
      <c r="Y19" s="114"/>
      <c r="Z19" s="114"/>
      <c r="AA19" s="114"/>
      <c r="AB19" s="114"/>
      <c r="AC19" s="114"/>
    </row>
    <row r="20" spans="1:29" s="68" customFormat="1" ht="15.75" customHeight="1" x14ac:dyDescent="0.25">
      <c r="A20" s="63" t="s">
        <v>8</v>
      </c>
      <c r="B20" s="1074"/>
      <c r="C20" s="812" t="s">
        <v>331</v>
      </c>
      <c r="D20" s="812"/>
      <c r="E20" s="812"/>
      <c r="F20" s="812"/>
      <c r="G20" s="572" t="str">
        <f>IF(D8="Yes","COUNTY","CITY")</f>
        <v>COUNTY</v>
      </c>
      <c r="H20" s="71" t="s">
        <v>24</v>
      </c>
      <c r="I20" s="140">
        <f>($D$10-SUM($I$16:$I$18))*25%</f>
        <v>-12.5</v>
      </c>
      <c r="J20" s="140" t="e">
        <f>((SUM(I16:I20)*J15)-SUM(J16:J18))*D9</f>
        <v>#VALUE!</v>
      </c>
      <c r="K20" s="147">
        <f t="shared" si="0"/>
        <v>-0.25</v>
      </c>
      <c r="L20" s="152">
        <f t="shared" si="2"/>
        <v>-12.25</v>
      </c>
      <c r="M20" s="149"/>
      <c r="N20" s="804"/>
      <c r="O20" s="1078"/>
      <c r="P20" s="72"/>
      <c r="Q20" s="66"/>
      <c r="R20" s="140">
        <f>IF($R$42=0,,(($R$15*$D$10)-SUM($R$16:$R$18))*25%)</f>
        <v>0</v>
      </c>
      <c r="S20" s="147">
        <f t="shared" si="1"/>
        <v>0</v>
      </c>
      <c r="T20" s="152">
        <f t="shared" si="4"/>
        <v>0</v>
      </c>
      <c r="U20" s="210"/>
      <c r="V20" s="145">
        <f t="shared" si="3"/>
        <v>12.25</v>
      </c>
      <c r="W20" s="548"/>
      <c r="X20" s="67"/>
      <c r="Y20" s="114"/>
      <c r="Z20" s="114"/>
      <c r="AA20" s="114"/>
      <c r="AB20" s="114"/>
      <c r="AC20" s="114"/>
    </row>
    <row r="21" spans="1:29" s="68" customFormat="1" ht="15.75" customHeight="1" x14ac:dyDescent="0.25">
      <c r="A21" s="63" t="s">
        <v>8</v>
      </c>
      <c r="B21" s="69">
        <v>7</v>
      </c>
      <c r="C21" s="812" t="s">
        <v>546</v>
      </c>
      <c r="D21" s="812"/>
      <c r="E21" s="812"/>
      <c r="F21" s="812"/>
      <c r="G21" s="566" t="s">
        <v>31</v>
      </c>
      <c r="H21" s="71" t="s">
        <v>26</v>
      </c>
      <c r="I21" s="140">
        <f>$D$11*B21</f>
        <v>140</v>
      </c>
      <c r="J21" s="140">
        <f>$J$15*I21</f>
        <v>328.53333333333336</v>
      </c>
      <c r="K21" s="147">
        <f t="shared" si="0"/>
        <v>2.8000000000000003</v>
      </c>
      <c r="L21" s="152">
        <f t="shared" si="2"/>
        <v>137.19999999999999</v>
      </c>
      <c r="M21" s="149"/>
      <c r="N21" s="804"/>
      <c r="O21" s="1078"/>
      <c r="P21" s="74"/>
      <c r="Q21" s="75"/>
      <c r="R21" s="140">
        <f t="shared" ref="R21:R33" si="5">IF($R$42=0,,$R$15*I21)</f>
        <v>0</v>
      </c>
      <c r="S21" s="147">
        <f t="shared" si="1"/>
        <v>0</v>
      </c>
      <c r="T21" s="152">
        <f t="shared" si="4"/>
        <v>0</v>
      </c>
      <c r="U21" s="210"/>
      <c r="V21" s="145">
        <f t="shared" si="3"/>
        <v>-137.19999999999999</v>
      </c>
      <c r="W21" s="548"/>
      <c r="X21" s="67"/>
      <c r="Y21" s="114"/>
      <c r="Z21" s="114"/>
      <c r="AA21" s="114"/>
      <c r="AB21" s="114"/>
      <c r="AC21" s="114"/>
    </row>
    <row r="22" spans="1:29" s="68" customFormat="1" ht="15.75" customHeight="1" x14ac:dyDescent="0.25">
      <c r="A22" s="63" t="s">
        <v>8</v>
      </c>
      <c r="B22" s="69">
        <v>3</v>
      </c>
      <c r="C22" s="812" t="s">
        <v>547</v>
      </c>
      <c r="D22" s="812"/>
      <c r="E22" s="812"/>
      <c r="F22" s="812"/>
      <c r="G22" s="566" t="s">
        <v>32</v>
      </c>
      <c r="H22" s="71" t="s">
        <v>27</v>
      </c>
      <c r="I22" s="140">
        <f t="shared" ref="I22:I32" si="6">$D$11*B22</f>
        <v>60</v>
      </c>
      <c r="J22" s="140">
        <f t="shared" ref="J22:J33" si="7">$J$15*I22</f>
        <v>140.80000000000001</v>
      </c>
      <c r="K22" s="147">
        <f t="shared" si="0"/>
        <v>1.2</v>
      </c>
      <c r="L22" s="152">
        <f t="shared" si="2"/>
        <v>58.8</v>
      </c>
      <c r="M22" s="149"/>
      <c r="N22" s="804"/>
      <c r="O22" s="1078"/>
      <c r="P22" s="72"/>
      <c r="Q22" s="66"/>
      <c r="R22" s="140">
        <f t="shared" si="5"/>
        <v>0</v>
      </c>
      <c r="S22" s="147">
        <f t="shared" si="1"/>
        <v>0</v>
      </c>
      <c r="T22" s="152">
        <f t="shared" si="4"/>
        <v>0</v>
      </c>
      <c r="U22" s="210"/>
      <c r="V22" s="145">
        <f t="shared" si="3"/>
        <v>-58.8</v>
      </c>
      <c r="W22" s="548"/>
      <c r="X22" s="67"/>
      <c r="Y22" s="114"/>
      <c r="Z22" s="114"/>
      <c r="AA22" s="114"/>
      <c r="AB22" s="114"/>
      <c r="AC22" s="114"/>
    </row>
    <row r="23" spans="1:29" s="68" customFormat="1" ht="15.75" customHeight="1" x14ac:dyDescent="0.25">
      <c r="A23" s="63" t="s">
        <v>8</v>
      </c>
      <c r="B23" s="69">
        <v>1</v>
      </c>
      <c r="C23" s="804" t="s">
        <v>216</v>
      </c>
      <c r="D23" s="805"/>
      <c r="E23" s="805"/>
      <c r="F23" s="945"/>
      <c r="G23" s="566" t="s">
        <v>32</v>
      </c>
      <c r="H23" s="71" t="s">
        <v>55</v>
      </c>
      <c r="I23" s="140">
        <f t="shared" si="6"/>
        <v>20</v>
      </c>
      <c r="J23" s="140">
        <f t="shared" si="7"/>
        <v>46.933333333333337</v>
      </c>
      <c r="K23" s="147">
        <f t="shared" si="0"/>
        <v>0.4</v>
      </c>
      <c r="L23" s="152">
        <f t="shared" si="2"/>
        <v>19.600000000000001</v>
      </c>
      <c r="M23" s="149"/>
      <c r="N23" s="804"/>
      <c r="O23" s="1078"/>
      <c r="P23" s="72"/>
      <c r="Q23" s="66"/>
      <c r="R23" s="140">
        <f t="shared" si="5"/>
        <v>0</v>
      </c>
      <c r="S23" s="147">
        <f t="shared" si="1"/>
        <v>0</v>
      </c>
      <c r="T23" s="152">
        <f t="shared" si="4"/>
        <v>0</v>
      </c>
      <c r="U23" s="210"/>
      <c r="V23" s="145">
        <f t="shared" si="3"/>
        <v>-19.600000000000001</v>
      </c>
      <c r="W23" s="548"/>
      <c r="X23" s="67"/>
      <c r="Y23" s="114"/>
      <c r="Z23" s="114"/>
      <c r="AA23" s="114"/>
      <c r="AB23" s="114"/>
      <c r="AC23" s="114"/>
    </row>
    <row r="24" spans="1:29" s="68" customFormat="1" ht="15.75" customHeight="1" x14ac:dyDescent="0.25">
      <c r="A24" s="63" t="s">
        <v>8</v>
      </c>
      <c r="B24" s="69">
        <v>4</v>
      </c>
      <c r="C24" s="804" t="s">
        <v>466</v>
      </c>
      <c r="D24" s="805"/>
      <c r="E24" s="805"/>
      <c r="F24" s="945"/>
      <c r="G24" s="566" t="s">
        <v>31</v>
      </c>
      <c r="H24" s="71" t="s">
        <v>72</v>
      </c>
      <c r="I24" s="140">
        <f t="shared" si="6"/>
        <v>80</v>
      </c>
      <c r="J24" s="140">
        <f t="shared" si="7"/>
        <v>187.73333333333335</v>
      </c>
      <c r="K24" s="147">
        <f t="shared" si="0"/>
        <v>1.6</v>
      </c>
      <c r="L24" s="152">
        <f t="shared" si="2"/>
        <v>78.400000000000006</v>
      </c>
      <c r="M24" s="149"/>
      <c r="N24" s="804"/>
      <c r="O24" s="1078"/>
      <c r="P24" s="72"/>
      <c r="Q24" s="66"/>
      <c r="R24" s="140">
        <f t="shared" si="5"/>
        <v>0</v>
      </c>
      <c r="S24" s="147">
        <f t="shared" si="1"/>
        <v>0</v>
      </c>
      <c r="T24" s="152">
        <f t="shared" si="4"/>
        <v>0</v>
      </c>
      <c r="U24" s="210"/>
      <c r="V24" s="145">
        <f t="shared" si="3"/>
        <v>-78.400000000000006</v>
      </c>
      <c r="W24" s="548"/>
      <c r="X24" s="67"/>
      <c r="Y24" s="114"/>
      <c r="Z24" s="114"/>
      <c r="AA24" s="114"/>
      <c r="AB24" s="114"/>
      <c r="AC24" s="114"/>
    </row>
    <row r="25" spans="1:29" s="68" customFormat="1" ht="15.75" customHeight="1" x14ac:dyDescent="0.25">
      <c r="A25" s="63" t="s">
        <v>8</v>
      </c>
      <c r="B25" s="634">
        <f>'1-DUI (Reduce Base)'!$B$25</f>
        <v>0</v>
      </c>
      <c r="C25" s="812" t="s">
        <v>217</v>
      </c>
      <c r="D25" s="812"/>
      <c r="E25" s="813" t="str">
        <f>IF(SUM(B25:B29)=P11,"GC 76000 PA ($" &amp;P11 &amp; " for every 10) breakdown per local board of supervisor resolution (BOS).","ERROR! GC 76000 PA total is not $" &amp;P11&amp; ". Check Court's board resolution.")</f>
        <v>ERROR! GC 76000 PA total is not $5. Check Court's board resolution.</v>
      </c>
      <c r="F25" s="1143"/>
      <c r="G25" s="566" t="s">
        <v>32</v>
      </c>
      <c r="H25" s="71" t="s">
        <v>64</v>
      </c>
      <c r="I25" s="140">
        <f t="shared" si="6"/>
        <v>0</v>
      </c>
      <c r="J25" s="140">
        <f t="shared" si="7"/>
        <v>0</v>
      </c>
      <c r="K25" s="147">
        <f t="shared" si="0"/>
        <v>0</v>
      </c>
      <c r="L25" s="152">
        <f t="shared" si="2"/>
        <v>0</v>
      </c>
      <c r="M25" s="149"/>
      <c r="N25" s="804"/>
      <c r="O25" s="1078"/>
      <c r="P25" s="72"/>
      <c r="Q25" s="66"/>
      <c r="R25" s="140">
        <f t="shared" si="5"/>
        <v>0</v>
      </c>
      <c r="S25" s="147">
        <f t="shared" si="1"/>
        <v>0</v>
      </c>
      <c r="T25" s="152">
        <f t="shared" si="4"/>
        <v>0</v>
      </c>
      <c r="U25" s="210"/>
      <c r="V25" s="145">
        <f t="shared" si="3"/>
        <v>0</v>
      </c>
      <c r="W25" s="548"/>
      <c r="X25" s="67"/>
      <c r="Y25" s="114"/>
      <c r="Z25" s="114"/>
      <c r="AA25" s="114"/>
      <c r="AB25" s="114"/>
      <c r="AC25" s="114"/>
    </row>
    <row r="26" spans="1:29" s="68" customFormat="1" ht="15.75" customHeight="1" x14ac:dyDescent="0.25">
      <c r="A26" s="63" t="s">
        <v>8</v>
      </c>
      <c r="B26" s="634">
        <f>'1-DUI (Reduce Base)'!$B$26</f>
        <v>1</v>
      </c>
      <c r="C26" s="812" t="s">
        <v>218</v>
      </c>
      <c r="D26" s="812"/>
      <c r="E26" s="815"/>
      <c r="F26" s="1144"/>
      <c r="G26" s="566" t="s">
        <v>32</v>
      </c>
      <c r="H26" s="71" t="s">
        <v>35</v>
      </c>
      <c r="I26" s="140">
        <f t="shared" si="6"/>
        <v>20</v>
      </c>
      <c r="J26" s="140">
        <f t="shared" si="7"/>
        <v>46.933333333333337</v>
      </c>
      <c r="K26" s="147">
        <f t="shared" si="0"/>
        <v>0.4</v>
      </c>
      <c r="L26" s="152">
        <f t="shared" si="2"/>
        <v>19.600000000000001</v>
      </c>
      <c r="M26" s="149"/>
      <c r="N26" s="804"/>
      <c r="O26" s="1078"/>
      <c r="P26" s="72"/>
      <c r="Q26" s="66"/>
      <c r="R26" s="140">
        <f t="shared" si="5"/>
        <v>0</v>
      </c>
      <c r="S26" s="147">
        <f t="shared" si="1"/>
        <v>0</v>
      </c>
      <c r="T26" s="152">
        <f t="shared" si="4"/>
        <v>0</v>
      </c>
      <c r="U26" s="210"/>
      <c r="V26" s="145">
        <f t="shared" si="3"/>
        <v>-19.600000000000001</v>
      </c>
      <c r="W26" s="548"/>
      <c r="X26" s="67"/>
      <c r="Y26" s="114"/>
      <c r="Z26" s="114"/>
      <c r="AA26" s="114"/>
      <c r="AB26" s="114"/>
      <c r="AC26" s="114"/>
    </row>
    <row r="27" spans="1:29" s="68" customFormat="1" ht="15.75" customHeight="1" x14ac:dyDescent="0.25">
      <c r="A27" s="63" t="s">
        <v>8</v>
      </c>
      <c r="B27" s="634">
        <f>'1-DUI (Reduce Base)'!$B$27</f>
        <v>1</v>
      </c>
      <c r="C27" s="812" t="s">
        <v>219</v>
      </c>
      <c r="D27" s="812"/>
      <c r="E27" s="815"/>
      <c r="F27" s="1144"/>
      <c r="G27" s="566" t="s">
        <v>32</v>
      </c>
      <c r="H27" s="71" t="s">
        <v>65</v>
      </c>
      <c r="I27" s="140">
        <f t="shared" si="6"/>
        <v>20</v>
      </c>
      <c r="J27" s="140">
        <f t="shared" si="7"/>
        <v>46.933333333333337</v>
      </c>
      <c r="K27" s="147">
        <f t="shared" si="0"/>
        <v>0.4</v>
      </c>
      <c r="L27" s="152">
        <f t="shared" si="2"/>
        <v>19.600000000000001</v>
      </c>
      <c r="M27" s="149"/>
      <c r="N27" s="804"/>
      <c r="O27" s="1078"/>
      <c r="P27" s="72"/>
      <c r="Q27" s="66"/>
      <c r="R27" s="140">
        <f t="shared" si="5"/>
        <v>0</v>
      </c>
      <c r="S27" s="147">
        <f t="shared" si="1"/>
        <v>0</v>
      </c>
      <c r="T27" s="152">
        <f t="shared" si="4"/>
        <v>0</v>
      </c>
      <c r="U27" s="210"/>
      <c r="V27" s="145">
        <f t="shared" si="3"/>
        <v>-19.600000000000001</v>
      </c>
      <c r="W27" s="548"/>
      <c r="X27" s="67"/>
      <c r="Y27" s="114"/>
      <c r="Z27" s="114"/>
      <c r="AA27" s="114"/>
      <c r="AB27" s="114"/>
      <c r="AC27" s="114"/>
    </row>
    <row r="28" spans="1:29" s="68" customFormat="1" ht="15.75" customHeight="1" x14ac:dyDescent="0.25">
      <c r="A28" s="63" t="s">
        <v>8</v>
      </c>
      <c r="B28" s="634">
        <f>'1-DUI (Reduce Base)'!$B$28</f>
        <v>0.5</v>
      </c>
      <c r="C28" s="812" t="s">
        <v>401</v>
      </c>
      <c r="D28" s="812"/>
      <c r="E28" s="815"/>
      <c r="F28" s="1144"/>
      <c r="G28" s="566" t="s">
        <v>32</v>
      </c>
      <c r="H28" s="71" t="s">
        <v>65</v>
      </c>
      <c r="I28" s="140">
        <f>$D$11*B28</f>
        <v>10</v>
      </c>
      <c r="J28" s="140">
        <f>$J$15*I28</f>
        <v>23.466666666666669</v>
      </c>
      <c r="K28" s="147">
        <f>IF(A28="Y", I28*2%,0)</f>
        <v>0.2</v>
      </c>
      <c r="L28" s="152">
        <f>I28-K28</f>
        <v>9.8000000000000007</v>
      </c>
      <c r="M28" s="149"/>
      <c r="N28" s="804"/>
      <c r="O28" s="1078"/>
      <c r="P28" s="72"/>
      <c r="Q28" s="66"/>
      <c r="R28" s="140">
        <f t="shared" si="5"/>
        <v>0</v>
      </c>
      <c r="S28" s="147">
        <f>IF(A28="Y", R28*2%,)</f>
        <v>0</v>
      </c>
      <c r="T28" s="152">
        <f>R28-S28</f>
        <v>0</v>
      </c>
      <c r="U28" s="210"/>
      <c r="V28" s="145">
        <f>IF($V$15="BASE-UP   (B-A)", P28-L28,P28-T28)</f>
        <v>-9.8000000000000007</v>
      </c>
      <c r="W28" s="548"/>
      <c r="X28" s="67"/>
      <c r="Y28" s="114"/>
      <c r="Z28" s="114"/>
      <c r="AA28" s="114"/>
      <c r="AB28" s="114"/>
      <c r="AC28" s="114"/>
    </row>
    <row r="29" spans="1:29" s="68" customFormat="1" ht="15.75" customHeight="1" x14ac:dyDescent="0.25">
      <c r="A29" s="63" t="s">
        <v>8</v>
      </c>
      <c r="B29" s="634">
        <f>'1-DUI (Reduce Base)'!$B$29</f>
        <v>1</v>
      </c>
      <c r="C29" s="812" t="s">
        <v>254</v>
      </c>
      <c r="D29" s="812"/>
      <c r="E29" s="817"/>
      <c r="F29" s="1145"/>
      <c r="G29" s="566" t="s">
        <v>32</v>
      </c>
      <c r="H29" s="71"/>
      <c r="I29" s="140">
        <f t="shared" si="6"/>
        <v>20</v>
      </c>
      <c r="J29" s="140">
        <f t="shared" si="7"/>
        <v>46.933333333333337</v>
      </c>
      <c r="K29" s="147">
        <f t="shared" si="0"/>
        <v>0.4</v>
      </c>
      <c r="L29" s="152">
        <f t="shared" si="2"/>
        <v>19.600000000000001</v>
      </c>
      <c r="M29" s="149"/>
      <c r="N29" s="804"/>
      <c r="O29" s="1078"/>
      <c r="P29" s="72"/>
      <c r="Q29" s="66"/>
      <c r="R29" s="140">
        <f t="shared" si="5"/>
        <v>0</v>
      </c>
      <c r="S29" s="147">
        <f t="shared" si="1"/>
        <v>0</v>
      </c>
      <c r="T29" s="152">
        <f t="shared" si="4"/>
        <v>0</v>
      </c>
      <c r="U29" s="210"/>
      <c r="V29" s="145">
        <f t="shared" si="3"/>
        <v>-19.600000000000001</v>
      </c>
      <c r="W29" s="548"/>
      <c r="X29" s="67"/>
      <c r="Y29" s="114"/>
      <c r="Z29" s="114"/>
      <c r="AA29" s="114"/>
      <c r="AB29" s="114"/>
      <c r="AC29" s="114"/>
    </row>
    <row r="30" spans="1:29" s="68" customFormat="1" ht="15.75" customHeight="1" x14ac:dyDescent="0.25">
      <c r="A30" s="63" t="s">
        <v>8</v>
      </c>
      <c r="B30" s="634">
        <f>'1-DUI (Reduce Base)'!$B$30</f>
        <v>2</v>
      </c>
      <c r="C30" s="804" t="s">
        <v>286</v>
      </c>
      <c r="D30" s="805"/>
      <c r="E30" s="805"/>
      <c r="F30" s="945"/>
      <c r="G30" s="566" t="s">
        <v>32</v>
      </c>
      <c r="H30" s="71" t="s">
        <v>36</v>
      </c>
      <c r="I30" s="140">
        <f t="shared" si="6"/>
        <v>40</v>
      </c>
      <c r="J30" s="140">
        <f t="shared" si="7"/>
        <v>93.866666666666674</v>
      </c>
      <c r="K30" s="147">
        <f t="shared" si="0"/>
        <v>0.8</v>
      </c>
      <c r="L30" s="152">
        <f t="shared" si="2"/>
        <v>39.200000000000003</v>
      </c>
      <c r="M30" s="149"/>
      <c r="N30" s="804"/>
      <c r="O30" s="1078"/>
      <c r="P30" s="72"/>
      <c r="Q30" s="66"/>
      <c r="R30" s="140">
        <f t="shared" si="5"/>
        <v>0</v>
      </c>
      <c r="S30" s="147">
        <f t="shared" si="1"/>
        <v>0</v>
      </c>
      <c r="T30" s="152">
        <f t="shared" si="4"/>
        <v>0</v>
      </c>
      <c r="U30" s="210"/>
      <c r="V30" s="145">
        <f t="shared" si="3"/>
        <v>-39.200000000000003</v>
      </c>
      <c r="W30" s="548"/>
      <c r="X30" s="67"/>
      <c r="Y30" s="114"/>
      <c r="Z30" s="114"/>
      <c r="AA30" s="114"/>
      <c r="AB30" s="114"/>
      <c r="AC30" s="114"/>
    </row>
    <row r="31" spans="1:29" s="68" customFormat="1" ht="15.75" customHeight="1" x14ac:dyDescent="0.25">
      <c r="A31" s="63" t="s">
        <v>8</v>
      </c>
      <c r="B31" s="634">
        <f>'1-DUI (Reduce Base)'!$B$32</f>
        <v>2</v>
      </c>
      <c r="C31" s="804" t="s">
        <v>555</v>
      </c>
      <c r="D31" s="805"/>
      <c r="E31" s="945"/>
      <c r="F31" s="1008" t="s">
        <v>281</v>
      </c>
      <c r="G31" s="566" t="s">
        <v>31</v>
      </c>
      <c r="H31" s="71" t="s">
        <v>37</v>
      </c>
      <c r="I31" s="140">
        <f t="shared" si="6"/>
        <v>40</v>
      </c>
      <c r="J31" s="140">
        <f t="shared" si="7"/>
        <v>93.866666666666674</v>
      </c>
      <c r="K31" s="147">
        <f t="shared" si="0"/>
        <v>0.8</v>
      </c>
      <c r="L31" s="152">
        <f t="shared" si="2"/>
        <v>39.200000000000003</v>
      </c>
      <c r="M31" s="149"/>
      <c r="N31" s="804"/>
      <c r="O31" s="1078"/>
      <c r="P31" s="72"/>
      <c r="Q31" s="66"/>
      <c r="R31" s="140">
        <f t="shared" si="5"/>
        <v>0</v>
      </c>
      <c r="S31" s="147">
        <f t="shared" si="1"/>
        <v>0</v>
      </c>
      <c r="T31" s="152">
        <f t="shared" si="4"/>
        <v>0</v>
      </c>
      <c r="U31" s="210"/>
      <c r="V31" s="145">
        <f t="shared" si="3"/>
        <v>-39.200000000000003</v>
      </c>
      <c r="W31" s="548"/>
      <c r="X31" s="67"/>
      <c r="Y31" s="114"/>
      <c r="Z31" s="114"/>
      <c r="AA31" s="114"/>
      <c r="AB31" s="114"/>
      <c r="AC31" s="114"/>
    </row>
    <row r="32" spans="1:29" s="68" customFormat="1" ht="15.75" customHeight="1" x14ac:dyDescent="0.25">
      <c r="A32" s="63" t="s">
        <v>8</v>
      </c>
      <c r="B32" s="164">
        <f>5-B31</f>
        <v>3</v>
      </c>
      <c r="C32" s="804" t="s">
        <v>556</v>
      </c>
      <c r="D32" s="805"/>
      <c r="E32" s="945"/>
      <c r="F32" s="1009"/>
      <c r="G32" s="566" t="s">
        <v>31</v>
      </c>
      <c r="H32" s="71" t="s">
        <v>197</v>
      </c>
      <c r="I32" s="140">
        <f t="shared" si="6"/>
        <v>60</v>
      </c>
      <c r="J32" s="140">
        <f t="shared" si="7"/>
        <v>140.80000000000001</v>
      </c>
      <c r="K32" s="147">
        <f t="shared" si="0"/>
        <v>1.2</v>
      </c>
      <c r="L32" s="152">
        <f t="shared" si="2"/>
        <v>58.8</v>
      </c>
      <c r="M32" s="149"/>
      <c r="N32" s="804"/>
      <c r="O32" s="1078"/>
      <c r="P32" s="72"/>
      <c r="Q32" s="66"/>
      <c r="R32" s="140">
        <f t="shared" si="5"/>
        <v>0</v>
      </c>
      <c r="S32" s="147">
        <f t="shared" si="1"/>
        <v>0</v>
      </c>
      <c r="T32" s="152">
        <f t="shared" si="4"/>
        <v>0</v>
      </c>
      <c r="U32" s="210"/>
      <c r="V32" s="145">
        <f t="shared" si="3"/>
        <v>-58.8</v>
      </c>
      <c r="W32" s="548"/>
      <c r="X32" s="67"/>
      <c r="Y32" s="114"/>
      <c r="Z32" s="114"/>
      <c r="AA32" s="114"/>
      <c r="AB32" s="114"/>
      <c r="AC32" s="114"/>
    </row>
    <row r="33" spans="1:29" s="68" customFormat="1" ht="15.75" customHeight="1" x14ac:dyDescent="0.25">
      <c r="A33" s="63" t="s">
        <v>7</v>
      </c>
      <c r="B33" s="69"/>
      <c r="C33" s="804" t="s">
        <v>220</v>
      </c>
      <c r="D33" s="805"/>
      <c r="E33" s="805"/>
      <c r="F33" s="945"/>
      <c r="G33" s="566" t="s">
        <v>31</v>
      </c>
      <c r="H33" s="71" t="s">
        <v>10</v>
      </c>
      <c r="I33" s="140">
        <f>$D$10*20%</f>
        <v>40</v>
      </c>
      <c r="J33" s="140">
        <f t="shared" si="7"/>
        <v>93.866666666666674</v>
      </c>
      <c r="K33" s="147">
        <f t="shared" si="0"/>
        <v>0</v>
      </c>
      <c r="L33" s="152">
        <f t="shared" si="2"/>
        <v>40</v>
      </c>
      <c r="M33" s="149"/>
      <c r="N33" s="804"/>
      <c r="O33" s="1078"/>
      <c r="P33" s="72"/>
      <c r="Q33" s="66"/>
      <c r="R33" s="140">
        <f t="shared" si="5"/>
        <v>0</v>
      </c>
      <c r="S33" s="147">
        <f t="shared" si="1"/>
        <v>0</v>
      </c>
      <c r="T33" s="152">
        <f t="shared" si="4"/>
        <v>0</v>
      </c>
      <c r="U33" s="210"/>
      <c r="V33" s="145">
        <f t="shared" si="3"/>
        <v>-40</v>
      </c>
      <c r="W33" s="548"/>
      <c r="X33" s="67"/>
      <c r="Y33" s="114"/>
      <c r="Z33" s="114"/>
      <c r="AA33" s="114"/>
      <c r="AB33" s="114"/>
      <c r="AC33" s="114"/>
    </row>
    <row r="34" spans="1:29" s="80" customFormat="1" ht="15.75" customHeight="1" x14ac:dyDescent="0.25">
      <c r="A34" s="63"/>
      <c r="B34" s="76"/>
      <c r="C34" s="810" t="s">
        <v>221</v>
      </c>
      <c r="D34" s="811"/>
      <c r="E34" s="811"/>
      <c r="F34" s="946"/>
      <c r="G34" s="573"/>
      <c r="H34" s="78"/>
      <c r="I34" s="142">
        <f>SUM(I16:I33)</f>
        <v>750</v>
      </c>
      <c r="J34" s="142">
        <f>J42-SUM(J35:J39)</f>
        <v>1760</v>
      </c>
      <c r="K34" s="147"/>
      <c r="L34" s="153">
        <f>SUM(L16:L33)</f>
        <v>735.80000000000007</v>
      </c>
      <c r="M34" s="150"/>
      <c r="N34" s="804"/>
      <c r="O34" s="1078"/>
      <c r="P34" s="166">
        <f>SUM(P16:P33)</f>
        <v>0</v>
      </c>
      <c r="Q34" s="111"/>
      <c r="R34" s="142">
        <f>IF($R$42=0,,R42-SUM(R35:R39))</f>
        <v>0</v>
      </c>
      <c r="S34" s="147"/>
      <c r="T34" s="153">
        <f>SUM(T16:T33)</f>
        <v>0</v>
      </c>
      <c r="U34" s="211"/>
      <c r="V34" s="145">
        <f>SUM(V16:V33)</f>
        <v>-735.80000000000007</v>
      </c>
      <c r="W34" s="548"/>
      <c r="X34" s="79"/>
      <c r="Y34" s="129"/>
      <c r="Z34" s="129"/>
      <c r="AA34" s="129"/>
      <c r="AB34" s="129"/>
      <c r="AC34" s="129"/>
    </row>
    <row r="35" spans="1:29" s="68" customFormat="1" ht="15.75" customHeight="1" x14ac:dyDescent="0.25">
      <c r="A35" s="63" t="s">
        <v>7</v>
      </c>
      <c r="B35" s="69"/>
      <c r="C35" s="804" t="s">
        <v>419</v>
      </c>
      <c r="D35" s="805"/>
      <c r="E35" s="805"/>
      <c r="F35" s="945"/>
      <c r="G35" s="566" t="s">
        <v>31</v>
      </c>
      <c r="H35" s="81"/>
      <c r="I35" s="186">
        <v>40</v>
      </c>
      <c r="J35" s="140"/>
      <c r="K35" s="147">
        <f>IF(A35="Y", I35*2%,0)</f>
        <v>0</v>
      </c>
      <c r="L35" s="152">
        <f>I35-K35</f>
        <v>40</v>
      </c>
      <c r="M35" s="149"/>
      <c r="N35" s="804"/>
      <c r="O35" s="1078"/>
      <c r="P35" s="72"/>
      <c r="Q35" s="66"/>
      <c r="R35" s="140">
        <f>IF($R$42=0,,I35)</f>
        <v>0</v>
      </c>
      <c r="S35" s="147">
        <f>IF(A35="Y", R35*2%,)</f>
        <v>0</v>
      </c>
      <c r="T35" s="152">
        <f>R35-S35</f>
        <v>0</v>
      </c>
      <c r="U35" s="210"/>
      <c r="V35" s="145">
        <f>IF($V$15="BASE-UP   (B-A)", P35-L35,P35-T35)</f>
        <v>-40</v>
      </c>
      <c r="W35" s="548"/>
      <c r="X35" s="67"/>
      <c r="Y35" s="114"/>
      <c r="Z35" s="114"/>
      <c r="AA35" s="114"/>
      <c r="AB35" s="114"/>
      <c r="AC35" s="114"/>
    </row>
    <row r="36" spans="1:29" s="68" customFormat="1" ht="15.75" customHeight="1" x14ac:dyDescent="0.25">
      <c r="A36" s="63" t="s">
        <v>7</v>
      </c>
      <c r="B36" s="69"/>
      <c r="C36" s="806" t="s">
        <v>259</v>
      </c>
      <c r="D36" s="807"/>
      <c r="E36" s="807"/>
      <c r="F36" s="944"/>
      <c r="G36" s="574" t="s">
        <v>31</v>
      </c>
      <c r="H36" s="82" t="s">
        <v>197</v>
      </c>
      <c r="I36" s="186">
        <v>30</v>
      </c>
      <c r="J36" s="140">
        <f>I36</f>
        <v>30</v>
      </c>
      <c r="K36" s="147">
        <f>IF(A36="Y", I36*2%,0)</f>
        <v>0</v>
      </c>
      <c r="L36" s="152">
        <f>I36-K36</f>
        <v>30</v>
      </c>
      <c r="M36" s="149"/>
      <c r="N36" s="804"/>
      <c r="O36" s="1078"/>
      <c r="P36" s="72"/>
      <c r="Q36" s="66"/>
      <c r="R36" s="140">
        <f>IF($R$42=0,,I36)</f>
        <v>0</v>
      </c>
      <c r="S36" s="147">
        <f>IF(A36="Y", R36*2%,)</f>
        <v>0</v>
      </c>
      <c r="T36" s="152">
        <f t="shared" si="4"/>
        <v>0</v>
      </c>
      <c r="U36" s="210"/>
      <c r="V36" s="145">
        <f>IF($V$15="BASE-UP   (B-A)", P36-L36,P36-T36)</f>
        <v>-30</v>
      </c>
      <c r="W36" s="548"/>
      <c r="X36" s="67"/>
      <c r="Y36" s="114"/>
      <c r="Z36" s="114"/>
      <c r="AA36" s="114"/>
      <c r="AB36" s="114"/>
      <c r="AC36" s="114"/>
    </row>
    <row r="37" spans="1:29" s="68" customFormat="1" ht="15.75" customHeight="1" x14ac:dyDescent="0.25">
      <c r="A37" s="63" t="s">
        <v>8</v>
      </c>
      <c r="B37" s="83"/>
      <c r="C37" s="1358" t="s">
        <v>560</v>
      </c>
      <c r="D37" s="1358"/>
      <c r="E37" s="1358"/>
      <c r="F37" s="1358"/>
      <c r="G37" s="574" t="s">
        <v>31</v>
      </c>
      <c r="H37" s="82"/>
      <c r="I37" s="186">
        <v>150</v>
      </c>
      <c r="J37" s="140">
        <f>I37</f>
        <v>150</v>
      </c>
      <c r="K37" s="147">
        <f>IF(A37="Y", I37*2%,0)</f>
        <v>3</v>
      </c>
      <c r="L37" s="152">
        <f>I37-K37</f>
        <v>147</v>
      </c>
      <c r="M37" s="149"/>
      <c r="N37" s="804"/>
      <c r="O37" s="1078"/>
      <c r="P37" s="72"/>
      <c r="Q37" s="66"/>
      <c r="R37" s="140">
        <f>IF($R$42=0,,I37)</f>
        <v>0</v>
      </c>
      <c r="S37" s="147">
        <f>IF(A37="Y", R37*2%,)</f>
        <v>0</v>
      </c>
      <c r="T37" s="152">
        <f t="shared" si="4"/>
        <v>0</v>
      </c>
      <c r="U37" s="210"/>
      <c r="V37" s="145">
        <f>IF($V$15="BASE-UP   (B-A)", P37-L37,P37-T37)</f>
        <v>-147</v>
      </c>
      <c r="W37" s="548"/>
      <c r="X37" s="71"/>
      <c r="Y37" s="114"/>
      <c r="Z37" s="114"/>
      <c r="AA37" s="114"/>
      <c r="AB37" s="114"/>
      <c r="AC37" s="114"/>
    </row>
    <row r="38" spans="1:29" s="68" customFormat="1" ht="15.75" customHeight="1" x14ac:dyDescent="0.25">
      <c r="A38" s="63" t="s">
        <v>7</v>
      </c>
      <c r="B38" s="83"/>
      <c r="C38" s="806" t="s">
        <v>454</v>
      </c>
      <c r="D38" s="807"/>
      <c r="E38" s="807"/>
      <c r="F38" s="944"/>
      <c r="G38" s="566" t="s">
        <v>32</v>
      </c>
      <c r="H38" s="82"/>
      <c r="I38" s="186"/>
      <c r="J38" s="140">
        <f>I38</f>
        <v>0</v>
      </c>
      <c r="K38" s="147">
        <f>IF(A38="Y", I38*2%,0)</f>
        <v>0</v>
      </c>
      <c r="L38" s="152">
        <f>I38-K38</f>
        <v>0</v>
      </c>
      <c r="M38" s="149"/>
      <c r="N38" s="804"/>
      <c r="O38" s="1078"/>
      <c r="P38" s="72"/>
      <c r="Q38" s="66"/>
      <c r="R38" s="140">
        <f>IF($R$42=0,,I38)</f>
        <v>0</v>
      </c>
      <c r="S38" s="147">
        <f>IF(A38="Y", R38*2%,)</f>
        <v>0</v>
      </c>
      <c r="T38" s="152">
        <f t="shared" si="4"/>
        <v>0</v>
      </c>
      <c r="U38" s="210"/>
      <c r="V38" s="145">
        <f>IF($V$15="BASE-UP   (B-A)", P38-L38,P38-T38)</f>
        <v>0</v>
      </c>
      <c r="W38" s="548"/>
      <c r="X38" s="71"/>
      <c r="Y38" s="114"/>
      <c r="Z38" s="114"/>
      <c r="AA38" s="114"/>
      <c r="AB38" s="114"/>
      <c r="AC38" s="114"/>
    </row>
    <row r="39" spans="1:29" s="68" customFormat="1" ht="35.25" customHeight="1" x14ac:dyDescent="0.25">
      <c r="A39" s="63" t="s">
        <v>7</v>
      </c>
      <c r="B39" s="83"/>
      <c r="C39" s="804" t="s">
        <v>520</v>
      </c>
      <c r="D39" s="805"/>
      <c r="E39" s="805"/>
      <c r="F39" s="945"/>
      <c r="G39" s="574" t="s">
        <v>230</v>
      </c>
      <c r="H39" s="82" t="s">
        <v>82</v>
      </c>
      <c r="I39" s="186"/>
      <c r="J39" s="140">
        <f>I39</f>
        <v>0</v>
      </c>
      <c r="K39" s="147">
        <f>IF(A39="Y", I39*2%,0)</f>
        <v>0</v>
      </c>
      <c r="L39" s="152">
        <f t="shared" si="2"/>
        <v>0</v>
      </c>
      <c r="M39" s="149"/>
      <c r="N39" s="804"/>
      <c r="O39" s="1078"/>
      <c r="P39" s="72"/>
      <c r="Q39" s="66"/>
      <c r="R39" s="140">
        <f>IF($R$42=0,,I39)</f>
        <v>0</v>
      </c>
      <c r="S39" s="147">
        <f>IF(A39="Y", R39*2%,)</f>
        <v>0</v>
      </c>
      <c r="T39" s="152">
        <f t="shared" si="4"/>
        <v>0</v>
      </c>
      <c r="U39" s="210"/>
      <c r="V39" s="145">
        <f t="shared" si="3"/>
        <v>0</v>
      </c>
      <c r="W39" s="548"/>
      <c r="X39" s="71"/>
      <c r="Y39" s="114"/>
      <c r="Z39" s="114"/>
      <c r="AA39" s="114"/>
      <c r="AB39" s="114"/>
      <c r="AC39" s="114"/>
    </row>
    <row r="40" spans="1:29" s="68" customFormat="1" ht="30.75" customHeight="1" x14ac:dyDescent="0.25">
      <c r="A40" s="83" t="s">
        <v>7</v>
      </c>
      <c r="B40" s="83"/>
      <c r="C40" s="804" t="s">
        <v>492</v>
      </c>
      <c r="D40" s="805"/>
      <c r="E40" s="805"/>
      <c r="F40" s="945"/>
      <c r="G40" s="574" t="s">
        <v>31</v>
      </c>
      <c r="H40" s="85" t="s">
        <v>41</v>
      </c>
      <c r="I40" s="86"/>
      <c r="J40" s="93"/>
      <c r="K40" s="148"/>
      <c r="L40" s="154">
        <f>K41</f>
        <v>17.200000000000003</v>
      </c>
      <c r="M40" s="149"/>
      <c r="N40" s="804"/>
      <c r="O40" s="1078"/>
      <c r="P40" s="72"/>
      <c r="Q40" s="66"/>
      <c r="R40" s="93"/>
      <c r="S40" s="148"/>
      <c r="T40" s="154">
        <f>S41</f>
        <v>0</v>
      </c>
      <c r="U40" s="212"/>
      <c r="V40" s="145">
        <f t="shared" si="3"/>
        <v>-17.200000000000003</v>
      </c>
      <c r="W40" s="548"/>
      <c r="X40" s="71"/>
      <c r="Y40" s="114"/>
      <c r="Z40" s="114"/>
      <c r="AA40" s="114"/>
      <c r="AB40" s="114"/>
      <c r="AC40" s="114"/>
    </row>
    <row r="41" spans="1:29" s="114" customFormat="1" ht="14.5" x14ac:dyDescent="0.25">
      <c r="A41" s="112"/>
      <c r="B41" s="112"/>
      <c r="C41" s="112"/>
      <c r="D41" s="112"/>
      <c r="E41" s="113"/>
      <c r="F41" s="113"/>
      <c r="K41" s="115">
        <f>SUM(K16:K40)</f>
        <v>17.200000000000003</v>
      </c>
      <c r="L41" s="155"/>
      <c r="P41" s="116"/>
      <c r="Q41" s="117"/>
      <c r="S41" s="115">
        <f>SUM(S16:S40)</f>
        <v>0</v>
      </c>
      <c r="T41" s="155"/>
      <c r="U41" s="213"/>
      <c r="V41" s="165"/>
      <c r="W41" s="165"/>
      <c r="X41" s="118"/>
    </row>
    <row r="42" spans="1:29" s="95" customFormat="1" ht="16" thickBot="1" x14ac:dyDescent="0.3">
      <c r="A42" s="130"/>
      <c r="B42" s="130"/>
      <c r="C42" s="130"/>
      <c r="D42" s="130"/>
      <c r="E42" s="119"/>
      <c r="F42" s="131" t="s">
        <v>81</v>
      </c>
      <c r="G42" s="132"/>
      <c r="H42" s="133" t="s">
        <v>1</v>
      </c>
      <c r="I42" s="134">
        <f>SUM(I34:I41)</f>
        <v>970</v>
      </c>
      <c r="J42" s="188">
        <v>1940</v>
      </c>
      <c r="K42" s="135"/>
      <c r="L42" s="156">
        <f>SUM(L34:L41)</f>
        <v>970.00000000000011</v>
      </c>
      <c r="M42" s="136"/>
      <c r="N42" s="130" t="s">
        <v>1</v>
      </c>
      <c r="O42" s="130"/>
      <c r="P42" s="137">
        <f>SUM(P34:P41)</f>
        <v>0</v>
      </c>
      <c r="Q42" s="136"/>
      <c r="R42" s="188"/>
      <c r="S42" s="135"/>
      <c r="T42" s="156">
        <f>SUM(T34:T41)</f>
        <v>0</v>
      </c>
      <c r="U42" s="214"/>
      <c r="V42" s="175">
        <f>SUM(V34:V41)</f>
        <v>-970.00000000000011</v>
      </c>
      <c r="W42" s="530"/>
      <c r="X42" s="138"/>
    </row>
    <row r="43" spans="1:29" s="50" customFormat="1" ht="15.75" customHeight="1" thickTop="1" x14ac:dyDescent="0.25">
      <c r="A43" s="1140" t="s">
        <v>61</v>
      </c>
      <c r="B43" s="1140"/>
      <c r="C43" s="1140"/>
      <c r="D43" s="192"/>
      <c r="E43" s="121"/>
      <c r="F43" s="121"/>
      <c r="J43" s="122"/>
      <c r="L43" s="123"/>
      <c r="M43" s="122"/>
      <c r="V43" s="124"/>
      <c r="W43" s="124"/>
      <c r="X43" s="125"/>
    </row>
    <row r="44" spans="1:29" s="127" customFormat="1" ht="18" customHeight="1" x14ac:dyDescent="0.25">
      <c r="A44" s="624">
        <v>1</v>
      </c>
      <c r="B44" s="1372"/>
      <c r="C44" s="1373"/>
      <c r="D44" s="1373"/>
      <c r="E44" s="1373"/>
      <c r="F44" s="1373"/>
      <c r="G44" s="1373"/>
      <c r="H44" s="1373"/>
      <c r="I44" s="1373"/>
      <c r="J44" s="1373"/>
      <c r="K44" s="1373"/>
      <c r="L44" s="1373"/>
      <c r="M44" s="1373"/>
      <c r="N44" s="1373"/>
      <c r="O44" s="1373"/>
      <c r="P44" s="1373"/>
      <c r="Q44" s="1373"/>
      <c r="R44" s="1373"/>
      <c r="S44" s="1373"/>
      <c r="T44" s="1373"/>
      <c r="U44" s="1373"/>
      <c r="V44" s="1373"/>
      <c r="W44" s="1373"/>
      <c r="X44" s="1374"/>
    </row>
    <row r="45" spans="1:29" s="127" customFormat="1" ht="18" customHeight="1" x14ac:dyDescent="0.25">
      <c r="A45" s="624">
        <v>2</v>
      </c>
      <c r="B45" s="1372"/>
      <c r="C45" s="1373"/>
      <c r="D45" s="1373"/>
      <c r="E45" s="1373"/>
      <c r="F45" s="1373"/>
      <c r="G45" s="1373"/>
      <c r="H45" s="1373"/>
      <c r="I45" s="1373"/>
      <c r="J45" s="1373"/>
      <c r="K45" s="1373"/>
      <c r="L45" s="1373"/>
      <c r="M45" s="1373"/>
      <c r="N45" s="1373"/>
      <c r="O45" s="1373"/>
      <c r="P45" s="1373"/>
      <c r="Q45" s="1373"/>
      <c r="R45" s="1373"/>
      <c r="S45" s="1373"/>
      <c r="T45" s="1373"/>
      <c r="U45" s="1373"/>
      <c r="V45" s="1373"/>
      <c r="W45" s="1373"/>
      <c r="X45" s="1374"/>
    </row>
    <row r="46" spans="1:29" s="127" customFormat="1" ht="18" customHeight="1" x14ac:dyDescent="0.25">
      <c r="A46" s="624">
        <v>3</v>
      </c>
      <c r="B46" s="1372"/>
      <c r="C46" s="1373"/>
      <c r="D46" s="1373"/>
      <c r="E46" s="1373"/>
      <c r="F46" s="1373"/>
      <c r="G46" s="1373"/>
      <c r="H46" s="1373"/>
      <c r="I46" s="1373"/>
      <c r="J46" s="1373"/>
      <c r="K46" s="1373"/>
      <c r="L46" s="1373"/>
      <c r="M46" s="1373"/>
      <c r="N46" s="1373"/>
      <c r="O46" s="1373"/>
      <c r="P46" s="1373"/>
      <c r="Q46" s="1373"/>
      <c r="R46" s="1373"/>
      <c r="S46" s="1373"/>
      <c r="T46" s="1373"/>
      <c r="U46" s="1373"/>
      <c r="V46" s="1373"/>
      <c r="W46" s="1373"/>
      <c r="X46" s="1374"/>
    </row>
    <row r="47" spans="1:29" s="50" customFormat="1" ht="21" customHeight="1" x14ac:dyDescent="0.25">
      <c r="A47" s="624">
        <v>4</v>
      </c>
      <c r="B47" s="1372"/>
      <c r="C47" s="1373"/>
      <c r="D47" s="1373"/>
      <c r="E47" s="1373"/>
      <c r="F47" s="1373"/>
      <c r="G47" s="1373"/>
      <c r="H47" s="1373"/>
      <c r="I47" s="1373"/>
      <c r="J47" s="1373"/>
      <c r="K47" s="1373"/>
      <c r="L47" s="1373"/>
      <c r="M47" s="1373"/>
      <c r="N47" s="1373"/>
      <c r="O47" s="1373"/>
      <c r="P47" s="1373"/>
      <c r="Q47" s="1373"/>
      <c r="R47" s="1373"/>
      <c r="S47" s="1373"/>
      <c r="T47" s="1373"/>
      <c r="U47" s="1373"/>
      <c r="V47" s="1373"/>
      <c r="W47" s="1373"/>
      <c r="X47" s="1374"/>
    </row>
    <row r="48" spans="1:29" s="50" customFormat="1" x14ac:dyDescent="0.25">
      <c r="A48" s="120"/>
      <c r="B48" s="120"/>
      <c r="C48" s="120"/>
      <c r="D48" s="120"/>
      <c r="E48" s="121"/>
      <c r="F48" s="121"/>
      <c r="L48" s="128"/>
      <c r="V48" s="124"/>
      <c r="W48" s="124"/>
      <c r="X48" s="125"/>
    </row>
    <row r="49" spans="1:24" s="50" customFormat="1" x14ac:dyDescent="0.25">
      <c r="A49" s="120"/>
      <c r="B49" s="120"/>
      <c r="C49" s="120"/>
      <c r="D49" s="120"/>
      <c r="E49" s="121"/>
      <c r="F49" s="121"/>
      <c r="L49" s="128"/>
      <c r="V49" s="124"/>
      <c r="W49" s="124"/>
      <c r="X49" s="125"/>
    </row>
  </sheetData>
  <sheetProtection insertRows="0"/>
  <mergeCells count="118">
    <mergeCell ref="N3:O3"/>
    <mergeCell ref="N11:O11"/>
    <mergeCell ref="A43:C43"/>
    <mergeCell ref="B44:X44"/>
    <mergeCell ref="B45:X45"/>
    <mergeCell ref="B46:X46"/>
    <mergeCell ref="C39:F39"/>
    <mergeCell ref="N39:O39"/>
    <mergeCell ref="C40:F40"/>
    <mergeCell ref="N40:O40"/>
    <mergeCell ref="C38:F38"/>
    <mergeCell ref="N38:O38"/>
    <mergeCell ref="C34:F34"/>
    <mergeCell ref="N34:O34"/>
    <mergeCell ref="C35:F35"/>
    <mergeCell ref="C36:F36"/>
    <mergeCell ref="N36:O36"/>
    <mergeCell ref="C37:F37"/>
    <mergeCell ref="N37:O37"/>
    <mergeCell ref="C31:E31"/>
    <mergeCell ref="F31:F32"/>
    <mergeCell ref="N31:O31"/>
    <mergeCell ref="C32:E32"/>
    <mergeCell ref="N32:O32"/>
    <mergeCell ref="C33:F33"/>
    <mergeCell ref="N33:O33"/>
    <mergeCell ref="N35:O35"/>
    <mergeCell ref="N28:O28"/>
    <mergeCell ref="C29:D29"/>
    <mergeCell ref="N29:O29"/>
    <mergeCell ref="C30:F30"/>
    <mergeCell ref="N30:O30"/>
    <mergeCell ref="C24:F24"/>
    <mergeCell ref="N24:O24"/>
    <mergeCell ref="C25:D25"/>
    <mergeCell ref="E25:F29"/>
    <mergeCell ref="N25:O25"/>
    <mergeCell ref="C26:D26"/>
    <mergeCell ref="N26:O26"/>
    <mergeCell ref="C27:D27"/>
    <mergeCell ref="N27:O27"/>
    <mergeCell ref="C28:D28"/>
    <mergeCell ref="N20:O20"/>
    <mergeCell ref="C21:F21"/>
    <mergeCell ref="N21:O21"/>
    <mergeCell ref="C22:F22"/>
    <mergeCell ref="N22:O22"/>
    <mergeCell ref="C23:F23"/>
    <mergeCell ref="N23:O23"/>
    <mergeCell ref="B16:B20"/>
    <mergeCell ref="C16:F16"/>
    <mergeCell ref="N16:O16"/>
    <mergeCell ref="C17:F17"/>
    <mergeCell ref="N17:O17"/>
    <mergeCell ref="C18:F18"/>
    <mergeCell ref="N18:O18"/>
    <mergeCell ref="C19:F19"/>
    <mergeCell ref="N19:O19"/>
    <mergeCell ref="C20:F20"/>
    <mergeCell ref="C14:F15"/>
    <mergeCell ref="K14:K15"/>
    <mergeCell ref="N14:O14"/>
    <mergeCell ref="S14:S15"/>
    <mergeCell ref="W14:W15"/>
    <mergeCell ref="X14:X15"/>
    <mergeCell ref="N15:O15"/>
    <mergeCell ref="A11:C11"/>
    <mergeCell ref="D11:E11"/>
    <mergeCell ref="F11:G11"/>
    <mergeCell ref="I11:M11"/>
    <mergeCell ref="R11:X11"/>
    <mergeCell ref="I13:L13"/>
    <mergeCell ref="N13:P13"/>
    <mergeCell ref="R13:T13"/>
    <mergeCell ref="F7:G7"/>
    <mergeCell ref="I7:M7"/>
    <mergeCell ref="R7:X7"/>
    <mergeCell ref="A8:C8"/>
    <mergeCell ref="D8:E8"/>
    <mergeCell ref="F8:G8"/>
    <mergeCell ref="I8:M8"/>
    <mergeCell ref="N8:O8"/>
    <mergeCell ref="A10:C10"/>
    <mergeCell ref="D10:E10"/>
    <mergeCell ref="F10:G10"/>
    <mergeCell ref="I10:M10"/>
    <mergeCell ref="N10:O10"/>
    <mergeCell ref="R10:X10"/>
    <mergeCell ref="R8:X9"/>
    <mergeCell ref="A9:C9"/>
    <mergeCell ref="D9:E9"/>
    <mergeCell ref="F9:G9"/>
    <mergeCell ref="I9:M9"/>
    <mergeCell ref="N9:O9"/>
    <mergeCell ref="B47:X47"/>
    <mergeCell ref="A1:L1"/>
    <mergeCell ref="R3:X3"/>
    <mergeCell ref="A4:C4"/>
    <mergeCell ref="D4:E4"/>
    <mergeCell ref="F4:G4"/>
    <mergeCell ref="I4:M4"/>
    <mergeCell ref="N4:O4"/>
    <mergeCell ref="R4:X4"/>
    <mergeCell ref="M1:V1"/>
    <mergeCell ref="A6:C6"/>
    <mergeCell ref="D6:E6"/>
    <mergeCell ref="F6:G6"/>
    <mergeCell ref="I6:M6"/>
    <mergeCell ref="N6:O6"/>
    <mergeCell ref="R6:X6"/>
    <mergeCell ref="A5:C5"/>
    <mergeCell ref="D5:E5"/>
    <mergeCell ref="F5:G5"/>
    <mergeCell ref="I5:M5"/>
    <mergeCell ref="N5:O5"/>
    <mergeCell ref="R5:X5"/>
    <mergeCell ref="A7:C7"/>
    <mergeCell ref="D7:E7"/>
  </mergeCells>
  <conditionalFormatting sqref="E25">
    <cfRule type="cellIs" dxfId="15" priority="1" operator="notEqual">
      <formula>"GC 76000 PA ($" &amp;P11 &amp;" for every 10) breakdown per local board of supervisor resolution (BOS)."</formula>
    </cfRule>
  </conditionalFormatting>
  <conditionalFormatting sqref="H25:H30">
    <cfRule type="expression" dxfId="14" priority="10" stopIfTrue="1">
      <formula>MOD(ROW(), 2)=0</formula>
    </cfRule>
  </conditionalFormatting>
  <conditionalFormatting sqref="H30:H33 H16:H24">
    <cfRule type="expression" dxfId="13" priority="12" stopIfTrue="1">
      <formula>MOD(ROW(),2)=0</formula>
    </cfRule>
  </conditionalFormatting>
  <conditionalFormatting sqref="I18">
    <cfRule type="cellIs" dxfId="12" priority="9" stopIfTrue="1" operator="equal">
      <formula>0</formula>
    </cfRule>
  </conditionalFormatting>
  <conditionalFormatting sqref="K16:L40 I18:I34">
    <cfRule type="cellIs" dxfId="11" priority="6" operator="equal">
      <formula>0</formula>
    </cfRule>
  </conditionalFormatting>
  <conditionalFormatting sqref="N16:P40">
    <cfRule type="expression" dxfId="10" priority="7">
      <formula>MOD(ROW(),2)=0</formula>
    </cfRule>
  </conditionalFormatting>
  <conditionalFormatting sqref="R16:T40">
    <cfRule type="cellIs" dxfId="9" priority="13" stopIfTrue="1" operator="equal">
      <formula>0</formula>
    </cfRule>
  </conditionalFormatting>
  <conditionalFormatting sqref="V12:W13 V43:W43 V48:W65533">
    <cfRule type="cellIs" dxfId="8" priority="11" stopIfTrue="1" operator="notEqual">
      <formula>0</formula>
    </cfRule>
  </conditionalFormatting>
  <conditionalFormatting sqref="W16:W40">
    <cfRule type="cellIs" dxfId="7" priority="5" operator="greaterThan">
      <formula>0</formula>
    </cfRule>
  </conditionalFormatting>
  <dataValidations count="2">
    <dataValidation type="list" allowBlank="1" showInputMessage="1" showErrorMessage="1" sqref="V15" xr:uid="{00000000-0002-0000-2800-000000000000}">
      <formula1>Distribution_Method</formula1>
    </dataValidation>
    <dataValidation type="list" allowBlank="1" showInputMessage="1" showErrorMessage="1" sqref="D8:E8" xr:uid="{00000000-0002-0000-2800-000001000000}">
      <formula1>Yes_No</formula1>
    </dataValidation>
  </dataValidations>
  <printOptions horizontalCentered="1"/>
  <pageMargins left="0.25" right="0.25" top="0.75" bottom="0.5" header="0.25" footer="0.25"/>
  <pageSetup scale="65" orientation="landscape" r:id="rId1"/>
  <headerFooter alignWithMargins="0">
    <oddHeader>&amp;CSUPERIOR OF COURT OF _________ COUNTY
Revenue Calculation and Distribution Worksheet</oddHeader>
    <oddFooter>&amp;L&amp;F&amp;R&amp;P of &amp;N</oddFooter>
  </headerFooter>
  <ignoredErrors>
    <ignoredError sqref="L34 T34 V34"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55329" r:id="rId4" name="Button 1">
              <controlPr defaultSize="0" print="0" autoFill="0" autoPict="0" macro="mcr_GoToSummary">
                <anchor moveWithCells="1">
                  <from>
                    <xdr:col>0</xdr:col>
                    <xdr:colOff>88900</xdr:colOff>
                    <xdr:row>0</xdr:row>
                    <xdr:rowOff>0</xdr:rowOff>
                  </from>
                  <to>
                    <xdr:col>3</xdr:col>
                    <xdr:colOff>127000</xdr:colOff>
                    <xdr:row>1</xdr:row>
                    <xdr:rowOff>31750</xdr:rowOff>
                  </to>
                </anchor>
              </controlPr>
            </control>
          </mc:Choice>
        </mc:AlternateContent>
        <mc:AlternateContent xmlns:mc="http://schemas.openxmlformats.org/markup-compatibility/2006">
          <mc:Choice Requires="x14">
            <control shapeId="355330" r:id="rId5" name="Button 2">
              <controlPr defaultSize="0" print="0" autoFill="0" autoPict="0" macro="[0]!mcrDisableTwoPercentUnprotect">
                <anchor moveWithCells="1">
                  <from>
                    <xdr:col>0</xdr:col>
                    <xdr:colOff>12700</xdr:colOff>
                    <xdr:row>13</xdr:row>
                    <xdr:rowOff>527050</xdr:rowOff>
                  </from>
                  <to>
                    <xdr:col>0</xdr:col>
                    <xdr:colOff>279400</xdr:colOff>
                    <xdr:row>14</xdr:row>
                    <xdr:rowOff>222250</xdr:rowOff>
                  </to>
                </anchor>
              </controlPr>
            </control>
          </mc:Choice>
        </mc:AlternateContent>
        <mc:AlternateContent xmlns:mc="http://schemas.openxmlformats.org/markup-compatibility/2006">
          <mc:Choice Requires="x14">
            <control shapeId="355331" r:id="rId6" name="Button 3">
              <controlPr defaultSize="0" print="0" autoFill="0" autoPict="0" macro="[0]!mcrEnableTwoPercentUnprotect">
                <anchor moveWithCells="1">
                  <from>
                    <xdr:col>0</xdr:col>
                    <xdr:colOff>0</xdr:colOff>
                    <xdr:row>13</xdr:row>
                    <xdr:rowOff>222250</xdr:rowOff>
                  </from>
                  <to>
                    <xdr:col>0</xdr:col>
                    <xdr:colOff>266700</xdr:colOff>
                    <xdr:row>13</xdr:row>
                    <xdr:rowOff>552450</xdr:rowOff>
                  </to>
                </anchor>
              </controlPr>
            </control>
          </mc:Choice>
        </mc:AlternateContent>
      </controls>
    </mc:Choice>
  </mc:AlternateConten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3">
    <tabColor theme="6"/>
    <pageSetUpPr fitToPage="1"/>
  </sheetPr>
  <dimension ref="A1:AB47"/>
  <sheetViews>
    <sheetView zoomScale="80" zoomScaleNormal="80" workbookViewId="0">
      <pane ySplit="1" topLeftCell="A2" activePane="bottomLeft" state="frozen"/>
      <selection pane="bottomLeft" activeCell="I36" sqref="I36"/>
    </sheetView>
  </sheetViews>
  <sheetFormatPr defaultColWidth="9.1796875" defaultRowHeight="18.5" x14ac:dyDescent="0.25"/>
  <cols>
    <col min="1" max="1" width="4.26953125" style="87" customWidth="1"/>
    <col min="2" max="2" width="4.7265625" style="87" customWidth="1"/>
    <col min="3" max="3" width="13.54296875" style="87" customWidth="1"/>
    <col min="4" max="4" width="12" style="87" customWidth="1"/>
    <col min="5" max="5" width="11" style="88" customWidth="1"/>
    <col min="6" max="6" width="18.81640625" style="121" customWidth="1"/>
    <col min="7" max="7" width="9.1796875" style="46" customWidth="1"/>
    <col min="8" max="8" width="29.453125" style="46" hidden="1" customWidth="1"/>
    <col min="9" max="9" width="8.1796875" style="46" customWidth="1"/>
    <col min="10" max="10" width="6" style="46" customWidth="1"/>
    <col min="11" max="11" width="11.54296875" style="92" customWidth="1"/>
    <col min="12" max="12" width="1.7265625" style="89" customWidth="1"/>
    <col min="13" max="13" width="15.26953125" style="46" customWidth="1"/>
    <col min="14" max="14" width="1.54296875" style="46" customWidth="1"/>
    <col min="15" max="15" width="11" style="46" customWidth="1"/>
    <col min="16" max="16" width="1.81640625" style="89" customWidth="1"/>
    <col min="17" max="17" width="10.81640625" style="89" customWidth="1"/>
    <col min="18" max="18" width="5.7265625" style="89" customWidth="1"/>
    <col min="19" max="19" width="10.7265625" style="89" customWidth="1"/>
    <col min="20" max="20" width="1.81640625" style="50" customWidth="1"/>
    <col min="21" max="21" width="12.453125" style="90" customWidth="1"/>
    <col min="22" max="22" width="5.81640625" style="90" customWidth="1"/>
    <col min="23" max="23" width="18.453125" style="91" customWidth="1"/>
    <col min="24" max="24" width="2.1796875" style="50" customWidth="1"/>
    <col min="25" max="25" width="11.7265625" style="50" customWidth="1"/>
    <col min="26" max="26" width="11.1796875" style="50" customWidth="1"/>
    <col min="27" max="28" width="9.1796875" style="50"/>
    <col min="29" max="16384" width="9.1796875" style="46"/>
  </cols>
  <sheetData>
    <row r="1" spans="1:28" ht="20.25" customHeight="1" thickBot="1" x14ac:dyDescent="0.3">
      <c r="A1" s="1081" t="s">
        <v>334</v>
      </c>
      <c r="B1" s="1082"/>
      <c r="C1" s="1082"/>
      <c r="D1" s="1082"/>
      <c r="E1" s="1082"/>
      <c r="F1" s="1082"/>
      <c r="G1" s="1082"/>
      <c r="H1" s="1082"/>
      <c r="I1" s="1082"/>
      <c r="J1" s="1082"/>
      <c r="K1" s="1082"/>
      <c r="L1" s="1079"/>
      <c r="M1" s="1079"/>
      <c r="N1" s="1079"/>
      <c r="O1" s="1079"/>
      <c r="P1" s="1079"/>
      <c r="Q1" s="1079"/>
      <c r="R1" s="1079"/>
      <c r="S1" s="1079"/>
      <c r="T1" s="1079"/>
      <c r="U1" s="1079"/>
      <c r="V1" s="592" t="s">
        <v>485</v>
      </c>
      <c r="W1" s="612" t="str">
        <f>'Cover Page'!A3</f>
        <v>January 2014</v>
      </c>
    </row>
    <row r="2" spans="1:28" s="50" customFormat="1" ht="6" customHeight="1" thickBot="1" x14ac:dyDescent="0.3">
      <c r="A2" s="47"/>
      <c r="B2" s="47"/>
      <c r="C2" s="47"/>
      <c r="D2" s="47"/>
      <c r="E2" s="47"/>
      <c r="F2" s="47"/>
      <c r="G2" s="47"/>
      <c r="H2" s="47"/>
      <c r="I2" s="47"/>
      <c r="J2" s="48"/>
      <c r="K2" s="48"/>
      <c r="L2" s="48"/>
      <c r="M2" s="48"/>
      <c r="N2" s="48"/>
      <c r="O2" s="49"/>
      <c r="P2" s="49"/>
      <c r="Q2" s="49"/>
      <c r="R2" s="49"/>
      <c r="S2" s="49"/>
      <c r="T2" s="49"/>
      <c r="U2" s="49"/>
      <c r="V2" s="49"/>
      <c r="W2" s="49"/>
    </row>
    <row r="3" spans="1:28" s="50" customFormat="1" ht="19" thickBot="1" x14ac:dyDescent="0.3">
      <c r="A3" s="630" t="s">
        <v>234</v>
      </c>
      <c r="B3" s="631"/>
      <c r="C3" s="631"/>
      <c r="D3" s="631"/>
      <c r="E3" s="631"/>
      <c r="F3" s="631"/>
      <c r="G3" s="631"/>
      <c r="H3" s="631"/>
      <c r="I3" s="631"/>
      <c r="J3" s="631"/>
      <c r="K3" s="631"/>
      <c r="L3" s="631"/>
      <c r="M3" s="1221"/>
      <c r="N3" s="1245"/>
      <c r="O3" s="637"/>
      <c r="P3" s="159"/>
      <c r="Q3" s="901" t="s">
        <v>261</v>
      </c>
      <c r="R3" s="902"/>
      <c r="S3" s="902"/>
      <c r="T3" s="902"/>
      <c r="U3" s="902"/>
      <c r="V3" s="902"/>
      <c r="W3" s="903"/>
      <c r="Y3" s="159" t="s">
        <v>250</v>
      </c>
      <c r="Z3" s="120"/>
    </row>
    <row r="4" spans="1:28" s="53" customFormat="1" ht="15.5" x14ac:dyDescent="0.25">
      <c r="A4" s="904" t="s">
        <v>231</v>
      </c>
      <c r="B4" s="905"/>
      <c r="C4" s="905"/>
      <c r="D4" s="906">
        <f>L1</f>
        <v>0</v>
      </c>
      <c r="E4" s="907"/>
      <c r="F4" s="877" t="s">
        <v>28</v>
      </c>
      <c r="G4" s="878"/>
      <c r="H4" s="169"/>
      <c r="I4" s="879"/>
      <c r="J4" s="879"/>
      <c r="K4" s="879"/>
      <c r="L4" s="880"/>
      <c r="M4" s="910" t="s">
        <v>257</v>
      </c>
      <c r="N4" s="910"/>
      <c r="O4" s="191"/>
      <c r="P4" s="95"/>
      <c r="Q4" s="911" t="s">
        <v>236</v>
      </c>
      <c r="R4" s="912"/>
      <c r="S4" s="912"/>
      <c r="T4" s="912"/>
      <c r="U4" s="912"/>
      <c r="V4" s="912"/>
      <c r="W4" s="913"/>
      <c r="Y4" s="243" t="s">
        <v>308</v>
      </c>
      <c r="Z4" s="241" t="s">
        <v>309</v>
      </c>
      <c r="AA4" s="241" t="s">
        <v>310</v>
      </c>
    </row>
    <row r="5" spans="1:28" s="53" customFormat="1" ht="15.5" x14ac:dyDescent="0.25">
      <c r="A5" s="882" t="s">
        <v>4</v>
      </c>
      <c r="B5" s="883"/>
      <c r="C5" s="883"/>
      <c r="D5" s="894"/>
      <c r="E5" s="885"/>
      <c r="F5" s="844" t="s">
        <v>244</v>
      </c>
      <c r="G5" s="845"/>
      <c r="H5" s="167"/>
      <c r="I5" s="846"/>
      <c r="J5" s="846"/>
      <c r="K5" s="846"/>
      <c r="L5" s="847"/>
      <c r="M5" s="872" t="s">
        <v>22</v>
      </c>
      <c r="N5" s="872"/>
      <c r="O5" s="54"/>
      <c r="P5" s="95"/>
      <c r="Q5" s="897" t="s">
        <v>302</v>
      </c>
      <c r="R5" s="898"/>
      <c r="S5" s="898"/>
      <c r="T5" s="898"/>
      <c r="U5" s="898"/>
      <c r="V5" s="898"/>
      <c r="W5" s="899"/>
      <c r="Y5" s="157" t="s">
        <v>31</v>
      </c>
      <c r="Z5" s="161">
        <f>SUMIF($G$16:$G$38,"STATE",$K$16:$K$38)</f>
        <v>90</v>
      </c>
      <c r="AA5" s="161">
        <f>SUMIF($G$16:$G$38,"STATE",$S$16:$S$38)</f>
        <v>0</v>
      </c>
    </row>
    <row r="6" spans="1:28" s="53" customFormat="1" ht="16" thickBot="1" x14ac:dyDescent="0.3">
      <c r="A6" s="882" t="s">
        <v>12</v>
      </c>
      <c r="B6" s="883"/>
      <c r="C6" s="883"/>
      <c r="D6" s="894"/>
      <c r="E6" s="885"/>
      <c r="F6" s="844" t="s">
        <v>20</v>
      </c>
      <c r="G6" s="845"/>
      <c r="H6" s="167"/>
      <c r="I6" s="846" t="s">
        <v>380</v>
      </c>
      <c r="J6" s="846"/>
      <c r="K6" s="846"/>
      <c r="L6" s="847"/>
      <c r="M6" s="848" t="s">
        <v>233</v>
      </c>
      <c r="N6" s="848"/>
      <c r="O6" s="194">
        <f>O4+O5*10</f>
        <v>0</v>
      </c>
      <c r="P6" s="95"/>
      <c r="Q6" s="891" t="s">
        <v>573</v>
      </c>
      <c r="R6" s="892"/>
      <c r="S6" s="892"/>
      <c r="T6" s="892"/>
      <c r="U6" s="892"/>
      <c r="V6" s="892"/>
      <c r="W6" s="893"/>
      <c r="Y6" s="157" t="s">
        <v>32</v>
      </c>
      <c r="Z6" s="161">
        <f>SUMIF($G$16:$G$38,"COUNTY",$K$16:$K$38)</f>
        <v>0</v>
      </c>
      <c r="AA6" s="161">
        <f>SUMIF($G$16:$G$38,"COUNTY",$S$16:$S$38)</f>
        <v>0</v>
      </c>
    </row>
    <row r="7" spans="1:28" s="53" customFormat="1" ht="16" thickBot="1" x14ac:dyDescent="0.3">
      <c r="A7" s="882" t="s">
        <v>5</v>
      </c>
      <c r="B7" s="883"/>
      <c r="C7" s="883"/>
      <c r="D7" s="884"/>
      <c r="E7" s="885"/>
      <c r="F7" s="856" t="s">
        <v>21</v>
      </c>
      <c r="G7" s="857"/>
      <c r="H7" s="168"/>
      <c r="I7" s="858" t="s">
        <v>3</v>
      </c>
      <c r="J7" s="858"/>
      <c r="K7" s="858"/>
      <c r="L7" s="859"/>
      <c r="M7" s="216"/>
      <c r="N7" s="220"/>
      <c r="O7" s="217"/>
      <c r="P7" s="95"/>
      <c r="Q7" s="888" t="s">
        <v>235</v>
      </c>
      <c r="R7" s="889"/>
      <c r="S7" s="889"/>
      <c r="T7" s="889"/>
      <c r="U7" s="889"/>
      <c r="V7" s="889"/>
      <c r="W7" s="890"/>
      <c r="Y7" s="157" t="s">
        <v>52</v>
      </c>
      <c r="Z7" s="161">
        <f>SUMIF($G$16:$G$38,"CITY",$K$16:$K$38)</f>
        <v>0</v>
      </c>
      <c r="AA7" s="161">
        <f>SUMIF($G$16:$G$38,"CITY",$S$16:$S$38)</f>
        <v>0</v>
      </c>
    </row>
    <row r="8" spans="1:28" s="53" customFormat="1" ht="15.75" customHeight="1" x14ac:dyDescent="0.25">
      <c r="A8" s="1107" t="s">
        <v>54</v>
      </c>
      <c r="B8" s="1086"/>
      <c r="C8" s="1086"/>
      <c r="D8" s="1369" t="s">
        <v>342</v>
      </c>
      <c r="E8" s="1370"/>
      <c r="F8" s="877" t="s">
        <v>253</v>
      </c>
      <c r="G8" s="878"/>
      <c r="H8" s="169"/>
      <c r="I8" s="879"/>
      <c r="J8" s="879"/>
      <c r="K8" s="879"/>
      <c r="L8" s="880"/>
      <c r="M8" s="881" t="s">
        <v>257</v>
      </c>
      <c r="N8" s="881"/>
      <c r="O8" s="51"/>
      <c r="P8" s="138"/>
      <c r="Q8" s="862" t="s">
        <v>303</v>
      </c>
      <c r="R8" s="863"/>
      <c r="S8" s="863"/>
      <c r="T8" s="863"/>
      <c r="U8" s="863"/>
      <c r="V8" s="863"/>
      <c r="W8" s="864"/>
      <c r="Y8" s="157" t="s">
        <v>230</v>
      </c>
      <c r="Z8" s="161">
        <f>SUMIF($G$16:$G$38,"COURT",$K$16:$K$38)</f>
        <v>0</v>
      </c>
      <c r="AA8" s="161">
        <f>SUMIF($G$16:$G$38,"COURT",$S$16:$S$38)</f>
        <v>0</v>
      </c>
    </row>
    <row r="9" spans="1:28" s="53" customFormat="1" ht="18" customHeight="1" thickBot="1" x14ac:dyDescent="0.3">
      <c r="A9" s="1106" t="s">
        <v>53</v>
      </c>
      <c r="B9" s="1077"/>
      <c r="C9" s="1077"/>
      <c r="D9" s="870" t="s">
        <v>342</v>
      </c>
      <c r="E9" s="871"/>
      <c r="F9" s="844" t="s">
        <v>244</v>
      </c>
      <c r="G9" s="845"/>
      <c r="H9" s="167"/>
      <c r="I9" s="846"/>
      <c r="J9" s="846"/>
      <c r="K9" s="846"/>
      <c r="L9" s="847"/>
      <c r="M9" s="872" t="s">
        <v>22</v>
      </c>
      <c r="N9" s="872"/>
      <c r="O9" s="54"/>
      <c r="P9" s="138"/>
      <c r="Q9" s="865"/>
      <c r="R9" s="866"/>
      <c r="S9" s="866"/>
      <c r="T9" s="866"/>
      <c r="U9" s="866"/>
      <c r="V9" s="866"/>
      <c r="W9" s="867"/>
      <c r="Y9" s="84" t="s">
        <v>446</v>
      </c>
      <c r="Z9" s="161">
        <f>SUMIF($G$16:$G$45,"CNTY or CTY",$L$16:$L$45)</f>
        <v>0</v>
      </c>
      <c r="AA9" s="161">
        <f>SUMIF($G$16:$G$45,"CNTY or CTY",$T$16:$T$45)</f>
        <v>0</v>
      </c>
    </row>
    <row r="10" spans="1:28" s="53" customFormat="1" ht="16.5" customHeight="1" thickBot="1" x14ac:dyDescent="0.3">
      <c r="A10" s="840" t="s">
        <v>276</v>
      </c>
      <c r="B10" s="841"/>
      <c r="C10" s="841"/>
      <c r="D10" s="1066">
        <f>O6+O10</f>
        <v>0</v>
      </c>
      <c r="E10" s="1067"/>
      <c r="F10" s="844" t="s">
        <v>20</v>
      </c>
      <c r="G10" s="845"/>
      <c r="H10" s="167"/>
      <c r="I10" s="846"/>
      <c r="J10" s="846"/>
      <c r="K10" s="846"/>
      <c r="L10" s="847"/>
      <c r="M10" s="848" t="s">
        <v>233</v>
      </c>
      <c r="N10" s="848"/>
      <c r="O10" s="194">
        <f>O8+O9*10</f>
        <v>0</v>
      </c>
      <c r="P10" s="218"/>
      <c r="Q10" s="849" t="s">
        <v>239</v>
      </c>
      <c r="R10" s="850"/>
      <c r="S10" s="850"/>
      <c r="T10" s="850"/>
      <c r="U10" s="850"/>
      <c r="V10" s="850"/>
      <c r="W10" s="851"/>
      <c r="Y10" s="158" t="s">
        <v>246</v>
      </c>
      <c r="Z10" s="134">
        <f>SUM(Z5:Z9)</f>
        <v>90</v>
      </c>
      <c r="AA10" s="134">
        <f>SUM(AA5:AA9)</f>
        <v>0</v>
      </c>
    </row>
    <row r="11" spans="1:28" s="53" customFormat="1" ht="16.5" customHeight="1" thickBot="1" x14ac:dyDescent="0.3">
      <c r="A11" s="852" t="s">
        <v>277</v>
      </c>
      <c r="B11" s="853"/>
      <c r="C11" s="853"/>
      <c r="D11" s="854">
        <f>ROUNDUP(D10/10,0)</f>
        <v>0</v>
      </c>
      <c r="E11" s="855"/>
      <c r="F11" s="856" t="s">
        <v>21</v>
      </c>
      <c r="G11" s="857"/>
      <c r="H11" s="168"/>
      <c r="I11" s="858"/>
      <c r="J11" s="858"/>
      <c r="K11" s="858"/>
      <c r="L11" s="859"/>
      <c r="M11" s="860" t="s">
        <v>568</v>
      </c>
      <c r="N11" s="1239"/>
      <c r="O11" s="632">
        <f>'1-DUI (Reduce Base)'!P11</f>
        <v>5</v>
      </c>
      <c r="P11" s="218"/>
      <c r="Q11" s="837" t="s">
        <v>430</v>
      </c>
      <c r="R11" s="838"/>
      <c r="S11" s="838"/>
      <c r="T11" s="838"/>
      <c r="U11" s="838"/>
      <c r="V11" s="838"/>
      <c r="W11" s="839"/>
      <c r="Z11" s="242">
        <f>Z10-K40</f>
        <v>0</v>
      </c>
      <c r="AA11" s="242">
        <f>AA10-S40</f>
        <v>0</v>
      </c>
    </row>
    <row r="12" spans="1:28" s="53" customFormat="1" ht="15.75" customHeight="1" thickBot="1" x14ac:dyDescent="0.3">
      <c r="A12" s="193"/>
      <c r="B12" s="193"/>
      <c r="C12" s="173"/>
      <c r="D12" s="173"/>
      <c r="E12" s="173"/>
      <c r="F12" s="60"/>
      <c r="G12" s="55"/>
      <c r="H12" s="56"/>
      <c r="I12" s="57"/>
      <c r="J12" s="57"/>
      <c r="K12" s="57"/>
      <c r="L12" s="57"/>
      <c r="O12" s="52"/>
      <c r="P12" s="52"/>
      <c r="Q12" s="52"/>
      <c r="R12" s="52"/>
      <c r="S12" s="52"/>
      <c r="T12" s="52"/>
      <c r="U12" s="58"/>
      <c r="V12" s="58"/>
      <c r="W12" s="56"/>
      <c r="AA12" s="59"/>
    </row>
    <row r="13" spans="1:28" s="98" customFormat="1" ht="18.75" customHeight="1" thickBot="1" x14ac:dyDescent="0.3">
      <c r="A13" s="174"/>
      <c r="B13" s="174"/>
      <c r="C13" s="174"/>
      <c r="D13" s="174"/>
      <c r="E13" s="174"/>
      <c r="F13" s="96"/>
      <c r="G13" s="97"/>
      <c r="I13" s="821" t="s">
        <v>297</v>
      </c>
      <c r="J13" s="822"/>
      <c r="K13" s="823"/>
      <c r="L13" s="99"/>
      <c r="M13" s="1155" t="s">
        <v>229</v>
      </c>
      <c r="N13" s="1156"/>
      <c r="O13" s="1157"/>
      <c r="P13" s="100"/>
      <c r="Q13" s="824" t="s">
        <v>295</v>
      </c>
      <c r="R13" s="825"/>
      <c r="S13" s="826"/>
      <c r="T13" s="207"/>
      <c r="U13" s="143"/>
      <c r="V13" s="143"/>
      <c r="W13" s="144"/>
      <c r="X13" s="97"/>
      <c r="Y13" s="97"/>
      <c r="Z13" s="97"/>
      <c r="AA13" s="97"/>
      <c r="AB13" s="97"/>
    </row>
    <row r="14" spans="1:28" ht="44.25" customHeight="1" thickBot="1" x14ac:dyDescent="0.3">
      <c r="A14" s="101">
        <v>0.02</v>
      </c>
      <c r="B14" s="101" t="s">
        <v>58</v>
      </c>
      <c r="C14" s="827" t="s">
        <v>226</v>
      </c>
      <c r="D14" s="828"/>
      <c r="E14" s="828"/>
      <c r="F14" s="829"/>
      <c r="G14" s="102" t="s">
        <v>249</v>
      </c>
      <c r="H14" s="103" t="s">
        <v>0</v>
      </c>
      <c r="I14" s="833" t="s">
        <v>298</v>
      </c>
      <c r="J14" s="835" t="s">
        <v>6</v>
      </c>
      <c r="K14" s="215" t="s">
        <v>299</v>
      </c>
      <c r="L14" s="61"/>
      <c r="M14" s="1122" t="s">
        <v>260</v>
      </c>
      <c r="N14" s="1123"/>
      <c r="O14" s="109" t="s">
        <v>248</v>
      </c>
      <c r="P14" s="110"/>
      <c r="Q14" s="564" t="s">
        <v>428</v>
      </c>
      <c r="R14" s="835" t="s">
        <v>6</v>
      </c>
      <c r="S14" s="215" t="s">
        <v>299</v>
      </c>
      <c r="T14" s="209"/>
      <c r="U14" s="189" t="s">
        <v>256</v>
      </c>
      <c r="V14" s="1148" t="s">
        <v>61</v>
      </c>
      <c r="W14" s="1150" t="s">
        <v>384</v>
      </c>
    </row>
    <row r="15" spans="1:28" ht="30.75" customHeight="1" thickBot="1" x14ac:dyDescent="0.3">
      <c r="A15" s="104"/>
      <c r="B15" s="104"/>
      <c r="C15" s="830"/>
      <c r="D15" s="831"/>
      <c r="E15" s="831"/>
      <c r="F15" s="832"/>
      <c r="G15" s="105"/>
      <c r="H15" s="105"/>
      <c r="I15" s="834"/>
      <c r="J15" s="836"/>
      <c r="K15" s="222" t="s">
        <v>42</v>
      </c>
      <c r="L15" s="62"/>
      <c r="M15" s="1120"/>
      <c r="N15" s="1121"/>
      <c r="O15" s="261" t="s">
        <v>43</v>
      </c>
      <c r="P15" s="110"/>
      <c r="Q15" s="224" t="e">
        <f>Q31/I31</f>
        <v>#DIV/0!</v>
      </c>
      <c r="R15" s="836"/>
      <c r="S15" s="222" t="s">
        <v>44</v>
      </c>
      <c r="T15" s="209"/>
      <c r="U15" s="262" t="s">
        <v>300</v>
      </c>
      <c r="V15" s="1149"/>
      <c r="W15" s="1151"/>
    </row>
    <row r="16" spans="1:28" s="68" customFormat="1" ht="15.75" customHeight="1" thickTop="1" x14ac:dyDescent="0.25">
      <c r="A16" s="63" t="s">
        <v>8</v>
      </c>
      <c r="B16" s="1249" t="s">
        <v>241</v>
      </c>
      <c r="C16" s="1105" t="s">
        <v>335</v>
      </c>
      <c r="D16" s="1105"/>
      <c r="E16" s="1105"/>
      <c r="F16" s="1105"/>
      <c r="G16" s="572" t="s">
        <v>31</v>
      </c>
      <c r="H16" s="71" t="s">
        <v>337</v>
      </c>
      <c r="I16" s="141">
        <f>$D$10*50%</f>
        <v>0</v>
      </c>
      <c r="J16" s="147">
        <f>IF(A16="Y",I16* 2%,0)</f>
        <v>0</v>
      </c>
      <c r="K16" s="152">
        <f>I16-J16</f>
        <v>0</v>
      </c>
      <c r="L16" s="149"/>
      <c r="M16" s="804"/>
      <c r="N16" s="1078"/>
      <c r="O16" s="172"/>
      <c r="P16" s="66"/>
      <c r="Q16" s="145">
        <f>IF($Q$40=0,,(I16*$Q$15))</f>
        <v>0</v>
      </c>
      <c r="R16" s="147">
        <f>IF(A16="Y", Q16*2%,)</f>
        <v>0</v>
      </c>
      <c r="S16" s="152">
        <f t="shared" ref="S16:S37" si="0">Q16-R16</f>
        <v>0</v>
      </c>
      <c r="T16" s="210"/>
      <c r="U16" s="145">
        <f t="shared" ref="U16:U30" si="1">IF($U$15="BASE-UP   (B-A)", O16-K16,O16-S16)</f>
        <v>0</v>
      </c>
      <c r="V16" s="548"/>
      <c r="W16" s="67"/>
      <c r="X16" s="114"/>
      <c r="Y16" s="114"/>
      <c r="Z16" s="114"/>
      <c r="AA16" s="114"/>
      <c r="AB16" s="114"/>
    </row>
    <row r="17" spans="1:28" s="68" customFormat="1" ht="15.75" customHeight="1" x14ac:dyDescent="0.25">
      <c r="A17" s="63" t="s">
        <v>8</v>
      </c>
      <c r="B17" s="1249"/>
      <c r="C17" s="1105" t="s">
        <v>336</v>
      </c>
      <c r="D17" s="1105"/>
      <c r="E17" s="1105"/>
      <c r="F17" s="1105"/>
      <c r="G17" s="572" t="s">
        <v>32</v>
      </c>
      <c r="H17" s="71" t="s">
        <v>338</v>
      </c>
      <c r="I17" s="141">
        <f>$D$10*50%</f>
        <v>0</v>
      </c>
      <c r="J17" s="147">
        <f>IF(A17="Y",I17* 2%,0)</f>
        <v>0</v>
      </c>
      <c r="K17" s="152">
        <f>I17-J17</f>
        <v>0</v>
      </c>
      <c r="L17" s="149"/>
      <c r="M17" s="804"/>
      <c r="N17" s="1078"/>
      <c r="O17" s="72"/>
      <c r="P17" s="66"/>
      <c r="Q17" s="145">
        <f>IF($Q$40=0,,(I17*$Q$15))</f>
        <v>0</v>
      </c>
      <c r="R17" s="147">
        <f>IF(A17="Y", Q17*2%,)</f>
        <v>0</v>
      </c>
      <c r="S17" s="152">
        <f t="shared" si="0"/>
        <v>0</v>
      </c>
      <c r="T17" s="210"/>
      <c r="U17" s="145">
        <f t="shared" si="1"/>
        <v>0</v>
      </c>
      <c r="V17" s="548"/>
      <c r="W17" s="67"/>
      <c r="X17" s="114"/>
      <c r="Y17" s="114"/>
      <c r="Z17" s="114"/>
      <c r="AA17" s="114"/>
      <c r="AB17" s="114"/>
    </row>
    <row r="18" spans="1:28" s="68" customFormat="1" ht="15.75" customHeight="1" x14ac:dyDescent="0.25">
      <c r="A18" s="63" t="s">
        <v>8</v>
      </c>
      <c r="B18" s="69">
        <v>7</v>
      </c>
      <c r="C18" s="812" t="s">
        <v>546</v>
      </c>
      <c r="D18" s="812"/>
      <c r="E18" s="812"/>
      <c r="F18" s="812"/>
      <c r="G18" s="566" t="s">
        <v>31</v>
      </c>
      <c r="H18" s="71" t="s">
        <v>26</v>
      </c>
      <c r="I18" s="140">
        <f>$D$11*B18</f>
        <v>0</v>
      </c>
      <c r="J18" s="147">
        <f t="shared" ref="J18:J30" si="2">IF(A18="Y",I18* 2%,0)</f>
        <v>0</v>
      </c>
      <c r="K18" s="152">
        <f t="shared" ref="K18:K29" si="3">I18-J18</f>
        <v>0</v>
      </c>
      <c r="L18" s="149"/>
      <c r="M18" s="804"/>
      <c r="N18" s="1078"/>
      <c r="O18" s="74"/>
      <c r="P18" s="75"/>
      <c r="Q18" s="145">
        <f t="shared" ref="Q18:Q30" si="4">IF($Q$40=0,,I18*$Q$15)</f>
        <v>0</v>
      </c>
      <c r="R18" s="147">
        <f t="shared" ref="R18:R30" si="5">IF(A18="Y", Q18*2%,)</f>
        <v>0</v>
      </c>
      <c r="S18" s="152">
        <f t="shared" si="0"/>
        <v>0</v>
      </c>
      <c r="T18" s="210"/>
      <c r="U18" s="145">
        <f t="shared" si="1"/>
        <v>0</v>
      </c>
      <c r="V18" s="548"/>
      <c r="W18" s="67"/>
      <c r="X18" s="114"/>
      <c r="Y18" s="114"/>
      <c r="Z18" s="114"/>
      <c r="AA18" s="114"/>
      <c r="AB18" s="114"/>
    </row>
    <row r="19" spans="1:28" s="68" customFormat="1" ht="15.75" customHeight="1" x14ac:dyDescent="0.25">
      <c r="A19" s="63" t="s">
        <v>8</v>
      </c>
      <c r="B19" s="69">
        <v>3</v>
      </c>
      <c r="C19" s="812" t="s">
        <v>547</v>
      </c>
      <c r="D19" s="812"/>
      <c r="E19" s="812"/>
      <c r="F19" s="812"/>
      <c r="G19" s="566" t="s">
        <v>32</v>
      </c>
      <c r="H19" s="71" t="s">
        <v>27</v>
      </c>
      <c r="I19" s="140">
        <f t="shared" ref="I19:I29" si="6">$D$11*B19</f>
        <v>0</v>
      </c>
      <c r="J19" s="147">
        <f t="shared" si="2"/>
        <v>0</v>
      </c>
      <c r="K19" s="152">
        <f t="shared" si="3"/>
        <v>0</v>
      </c>
      <c r="L19" s="149"/>
      <c r="M19" s="804"/>
      <c r="N19" s="1078"/>
      <c r="O19" s="72"/>
      <c r="P19" s="66"/>
      <c r="Q19" s="145">
        <f t="shared" si="4"/>
        <v>0</v>
      </c>
      <c r="R19" s="147">
        <f t="shared" si="5"/>
        <v>0</v>
      </c>
      <c r="S19" s="152">
        <f t="shared" si="0"/>
        <v>0</v>
      </c>
      <c r="T19" s="210"/>
      <c r="U19" s="145">
        <f t="shared" si="1"/>
        <v>0</v>
      </c>
      <c r="V19" s="548"/>
      <c r="W19" s="67"/>
      <c r="X19" s="114"/>
      <c r="Y19" s="114"/>
      <c r="Z19" s="114"/>
      <c r="AA19" s="114"/>
      <c r="AB19" s="114"/>
    </row>
    <row r="20" spans="1:28" s="68" customFormat="1" ht="15.75" customHeight="1" x14ac:dyDescent="0.25">
      <c r="A20" s="63" t="s">
        <v>8</v>
      </c>
      <c r="B20" s="69">
        <v>1</v>
      </c>
      <c r="C20" s="804" t="s">
        <v>216</v>
      </c>
      <c r="D20" s="805"/>
      <c r="E20" s="805"/>
      <c r="F20" s="945"/>
      <c r="G20" s="566" t="s">
        <v>32</v>
      </c>
      <c r="H20" s="71" t="s">
        <v>55</v>
      </c>
      <c r="I20" s="140">
        <f t="shared" si="6"/>
        <v>0</v>
      </c>
      <c r="J20" s="147">
        <f t="shared" si="2"/>
        <v>0</v>
      </c>
      <c r="K20" s="152">
        <f t="shared" si="3"/>
        <v>0</v>
      </c>
      <c r="L20" s="149"/>
      <c r="M20" s="804"/>
      <c r="N20" s="1078"/>
      <c r="O20" s="72"/>
      <c r="P20" s="66"/>
      <c r="Q20" s="145">
        <f t="shared" si="4"/>
        <v>0</v>
      </c>
      <c r="R20" s="147">
        <f t="shared" si="5"/>
        <v>0</v>
      </c>
      <c r="S20" s="152">
        <f t="shared" si="0"/>
        <v>0</v>
      </c>
      <c r="T20" s="210"/>
      <c r="U20" s="145">
        <f t="shared" si="1"/>
        <v>0</v>
      </c>
      <c r="V20" s="548"/>
      <c r="W20" s="67"/>
      <c r="X20" s="114"/>
      <c r="Y20" s="114"/>
      <c r="Z20" s="114"/>
      <c r="AA20" s="114"/>
      <c r="AB20" s="114"/>
    </row>
    <row r="21" spans="1:28" s="68" customFormat="1" ht="15.75" customHeight="1" x14ac:dyDescent="0.25">
      <c r="A21" s="63" t="s">
        <v>8</v>
      </c>
      <c r="B21" s="69">
        <v>4</v>
      </c>
      <c r="C21" s="804" t="s">
        <v>466</v>
      </c>
      <c r="D21" s="805"/>
      <c r="E21" s="805"/>
      <c r="F21" s="945"/>
      <c r="G21" s="566" t="s">
        <v>31</v>
      </c>
      <c r="H21" s="71" t="s">
        <v>72</v>
      </c>
      <c r="I21" s="140">
        <f t="shared" si="6"/>
        <v>0</v>
      </c>
      <c r="J21" s="147">
        <f t="shared" si="2"/>
        <v>0</v>
      </c>
      <c r="K21" s="152">
        <f t="shared" si="3"/>
        <v>0</v>
      </c>
      <c r="L21" s="149"/>
      <c r="M21" s="804"/>
      <c r="N21" s="1078"/>
      <c r="O21" s="72"/>
      <c r="P21" s="66"/>
      <c r="Q21" s="145">
        <f t="shared" si="4"/>
        <v>0</v>
      </c>
      <c r="R21" s="147">
        <f t="shared" si="5"/>
        <v>0</v>
      </c>
      <c r="S21" s="152">
        <f t="shared" si="0"/>
        <v>0</v>
      </c>
      <c r="T21" s="210"/>
      <c r="U21" s="145">
        <f t="shared" si="1"/>
        <v>0</v>
      </c>
      <c r="V21" s="548"/>
      <c r="W21" s="67"/>
      <c r="X21" s="114"/>
      <c r="Y21" s="114"/>
      <c r="Z21" s="114"/>
      <c r="AA21" s="114"/>
      <c r="AB21" s="114"/>
    </row>
    <row r="22" spans="1:28" s="68" customFormat="1" ht="15.75" customHeight="1" x14ac:dyDescent="0.25">
      <c r="A22" s="63" t="s">
        <v>8</v>
      </c>
      <c r="B22" s="634">
        <f>'1-DUI (Reduce Base)'!$B$25</f>
        <v>0</v>
      </c>
      <c r="C22" s="812" t="s">
        <v>217</v>
      </c>
      <c r="D22" s="812"/>
      <c r="E22" s="813" t="str">
        <f>IF(SUM(B22:B26)=O11,"GC 76000 PA ($" &amp;O11 &amp; " for every 10) breakdown per local board of supervisor resolution (BOS).","ERROR! GC 76000 PA total is not $" &amp;O11&amp; ". Check Court's board resolution.")</f>
        <v>ERROR! GC 76000 PA total is not $5. Check Court's board resolution.</v>
      </c>
      <c r="F22" s="1143"/>
      <c r="G22" s="566" t="s">
        <v>32</v>
      </c>
      <c r="H22" s="71" t="s">
        <v>64</v>
      </c>
      <c r="I22" s="140">
        <f t="shared" si="6"/>
        <v>0</v>
      </c>
      <c r="J22" s="147">
        <f t="shared" si="2"/>
        <v>0</v>
      </c>
      <c r="K22" s="152">
        <f t="shared" si="3"/>
        <v>0</v>
      </c>
      <c r="L22" s="149"/>
      <c r="M22" s="804"/>
      <c r="N22" s="1078"/>
      <c r="O22" s="72"/>
      <c r="P22" s="66"/>
      <c r="Q22" s="145">
        <f t="shared" si="4"/>
        <v>0</v>
      </c>
      <c r="R22" s="147">
        <f t="shared" si="5"/>
        <v>0</v>
      </c>
      <c r="S22" s="152">
        <f t="shared" si="0"/>
        <v>0</v>
      </c>
      <c r="T22" s="210"/>
      <c r="U22" s="145">
        <f t="shared" si="1"/>
        <v>0</v>
      </c>
      <c r="V22" s="548"/>
      <c r="W22" s="67"/>
      <c r="X22" s="114"/>
      <c r="Y22" s="114"/>
      <c r="Z22" s="114"/>
      <c r="AA22" s="114"/>
      <c r="AB22" s="114"/>
    </row>
    <row r="23" spans="1:28" s="68" customFormat="1" ht="15.75" customHeight="1" x14ac:dyDescent="0.25">
      <c r="A23" s="63" t="s">
        <v>8</v>
      </c>
      <c r="B23" s="634">
        <f>'1-DUI (Reduce Base)'!$B$26</f>
        <v>1</v>
      </c>
      <c r="C23" s="812" t="s">
        <v>218</v>
      </c>
      <c r="D23" s="812"/>
      <c r="E23" s="815"/>
      <c r="F23" s="1144"/>
      <c r="G23" s="566" t="s">
        <v>32</v>
      </c>
      <c r="H23" s="71" t="s">
        <v>35</v>
      </c>
      <c r="I23" s="140">
        <f t="shared" si="6"/>
        <v>0</v>
      </c>
      <c r="J23" s="147">
        <f t="shared" si="2"/>
        <v>0</v>
      </c>
      <c r="K23" s="152">
        <f t="shared" si="3"/>
        <v>0</v>
      </c>
      <c r="L23" s="149"/>
      <c r="M23" s="804"/>
      <c r="N23" s="1078"/>
      <c r="O23" s="72"/>
      <c r="P23" s="66"/>
      <c r="Q23" s="145">
        <f t="shared" si="4"/>
        <v>0</v>
      </c>
      <c r="R23" s="147">
        <f t="shared" si="5"/>
        <v>0</v>
      </c>
      <c r="S23" s="152">
        <f t="shared" si="0"/>
        <v>0</v>
      </c>
      <c r="T23" s="210"/>
      <c r="U23" s="145">
        <f t="shared" si="1"/>
        <v>0</v>
      </c>
      <c r="V23" s="548"/>
      <c r="W23" s="67"/>
      <c r="X23" s="114"/>
      <c r="Y23" s="114"/>
      <c r="Z23" s="114"/>
      <c r="AA23" s="114"/>
      <c r="AB23" s="114"/>
    </row>
    <row r="24" spans="1:28" s="68" customFormat="1" ht="15.75" customHeight="1" x14ac:dyDescent="0.25">
      <c r="A24" s="63" t="s">
        <v>8</v>
      </c>
      <c r="B24" s="634">
        <f>'1-DUI (Reduce Base)'!$B$27</f>
        <v>1</v>
      </c>
      <c r="C24" s="812" t="s">
        <v>219</v>
      </c>
      <c r="D24" s="812"/>
      <c r="E24" s="815"/>
      <c r="F24" s="1144"/>
      <c r="G24" s="566" t="s">
        <v>32</v>
      </c>
      <c r="H24" s="71" t="s">
        <v>65</v>
      </c>
      <c r="I24" s="140">
        <f t="shared" si="6"/>
        <v>0</v>
      </c>
      <c r="J24" s="147">
        <f t="shared" si="2"/>
        <v>0</v>
      </c>
      <c r="K24" s="152">
        <f t="shared" si="3"/>
        <v>0</v>
      </c>
      <c r="L24" s="149"/>
      <c r="M24" s="804"/>
      <c r="N24" s="1078"/>
      <c r="O24" s="72"/>
      <c r="P24" s="66"/>
      <c r="Q24" s="145">
        <f t="shared" si="4"/>
        <v>0</v>
      </c>
      <c r="R24" s="147">
        <f t="shared" si="5"/>
        <v>0</v>
      </c>
      <c r="S24" s="152">
        <f t="shared" si="0"/>
        <v>0</v>
      </c>
      <c r="T24" s="210"/>
      <c r="U24" s="145">
        <f t="shared" si="1"/>
        <v>0</v>
      </c>
      <c r="V24" s="548"/>
      <c r="W24" s="67"/>
      <c r="X24" s="114"/>
      <c r="Y24" s="114"/>
      <c r="Z24" s="114"/>
      <c r="AA24" s="114"/>
      <c r="AB24" s="114"/>
    </row>
    <row r="25" spans="1:28" s="68" customFormat="1" ht="15.75" customHeight="1" x14ac:dyDescent="0.25">
      <c r="A25" s="63" t="s">
        <v>8</v>
      </c>
      <c r="B25" s="634">
        <f>'1-DUI (Reduce Base)'!$B$28</f>
        <v>0.5</v>
      </c>
      <c r="C25" s="812" t="s">
        <v>401</v>
      </c>
      <c r="D25" s="812"/>
      <c r="E25" s="815"/>
      <c r="F25" s="1144"/>
      <c r="G25" s="566" t="s">
        <v>32</v>
      </c>
      <c r="H25" s="71" t="s">
        <v>65</v>
      </c>
      <c r="I25" s="140">
        <f>$D$11*B25</f>
        <v>0</v>
      </c>
      <c r="J25" s="147">
        <f>IF(A25="Y",I25* 2%,0)</f>
        <v>0</v>
      </c>
      <c r="K25" s="152">
        <f>I25-J25</f>
        <v>0</v>
      </c>
      <c r="L25" s="149"/>
      <c r="M25" s="804"/>
      <c r="N25" s="1078"/>
      <c r="O25" s="72"/>
      <c r="P25" s="66"/>
      <c r="Q25" s="145">
        <f t="shared" si="4"/>
        <v>0</v>
      </c>
      <c r="R25" s="147">
        <f>IF(A25="Y", Q25*2%,)</f>
        <v>0</v>
      </c>
      <c r="S25" s="152">
        <f>Q25-R25</f>
        <v>0</v>
      </c>
      <c r="T25" s="210"/>
      <c r="U25" s="145">
        <f>IF($U$15="BASE-UP   (B-A)", O25-K25,O25-S25)</f>
        <v>0</v>
      </c>
      <c r="V25" s="548"/>
      <c r="W25" s="67"/>
      <c r="X25" s="114"/>
      <c r="Y25" s="114"/>
      <c r="Z25" s="114"/>
      <c r="AA25" s="114"/>
      <c r="AB25" s="114"/>
    </row>
    <row r="26" spans="1:28" s="68" customFormat="1" ht="15.75" customHeight="1" x14ac:dyDescent="0.25">
      <c r="A26" s="63" t="s">
        <v>8</v>
      </c>
      <c r="B26" s="634">
        <f>'1-DUI (Reduce Base)'!$B$29</f>
        <v>1</v>
      </c>
      <c r="C26" s="812" t="s">
        <v>254</v>
      </c>
      <c r="D26" s="812"/>
      <c r="E26" s="817"/>
      <c r="F26" s="1145"/>
      <c r="G26" s="566" t="s">
        <v>32</v>
      </c>
      <c r="H26" s="71"/>
      <c r="I26" s="140">
        <f t="shared" si="6"/>
        <v>0</v>
      </c>
      <c r="J26" s="147">
        <f t="shared" si="2"/>
        <v>0</v>
      </c>
      <c r="K26" s="152">
        <f t="shared" si="3"/>
        <v>0</v>
      </c>
      <c r="L26" s="149"/>
      <c r="M26" s="804"/>
      <c r="N26" s="1078"/>
      <c r="O26" s="72"/>
      <c r="P26" s="66"/>
      <c r="Q26" s="145">
        <f t="shared" si="4"/>
        <v>0</v>
      </c>
      <c r="R26" s="147">
        <f t="shared" si="5"/>
        <v>0</v>
      </c>
      <c r="S26" s="152">
        <f t="shared" si="0"/>
        <v>0</v>
      </c>
      <c r="T26" s="210"/>
      <c r="U26" s="145">
        <f t="shared" si="1"/>
        <v>0</v>
      </c>
      <c r="V26" s="548"/>
      <c r="W26" s="67"/>
      <c r="X26" s="114"/>
      <c r="Y26" s="114"/>
      <c r="Z26" s="114"/>
      <c r="AA26" s="114"/>
      <c r="AB26" s="114"/>
    </row>
    <row r="27" spans="1:28" s="68" customFormat="1" ht="15.75" customHeight="1" x14ac:dyDescent="0.25">
      <c r="A27" s="63" t="s">
        <v>8</v>
      </c>
      <c r="B27" s="634">
        <f>'1-DUI (Reduce Base)'!$B$30</f>
        <v>2</v>
      </c>
      <c r="C27" s="804" t="s">
        <v>286</v>
      </c>
      <c r="D27" s="805"/>
      <c r="E27" s="805"/>
      <c r="F27" s="945"/>
      <c r="G27" s="566" t="s">
        <v>32</v>
      </c>
      <c r="H27" s="71" t="s">
        <v>36</v>
      </c>
      <c r="I27" s="140">
        <f t="shared" si="6"/>
        <v>0</v>
      </c>
      <c r="J27" s="147">
        <f t="shared" si="2"/>
        <v>0</v>
      </c>
      <c r="K27" s="152">
        <f t="shared" si="3"/>
        <v>0</v>
      </c>
      <c r="L27" s="149"/>
      <c r="M27" s="804"/>
      <c r="N27" s="1078"/>
      <c r="O27" s="72"/>
      <c r="P27" s="66"/>
      <c r="Q27" s="145">
        <f t="shared" si="4"/>
        <v>0</v>
      </c>
      <c r="R27" s="147">
        <f t="shared" si="5"/>
        <v>0</v>
      </c>
      <c r="S27" s="152">
        <f t="shared" si="0"/>
        <v>0</v>
      </c>
      <c r="T27" s="210"/>
      <c r="U27" s="145">
        <f t="shared" si="1"/>
        <v>0</v>
      </c>
      <c r="V27" s="548"/>
      <c r="W27" s="67"/>
      <c r="X27" s="114"/>
      <c r="Y27" s="114"/>
      <c r="Z27" s="114"/>
      <c r="AA27" s="114"/>
      <c r="AB27" s="114"/>
    </row>
    <row r="28" spans="1:28" s="68" customFormat="1" ht="15.75" customHeight="1" x14ac:dyDescent="0.25">
      <c r="A28" s="63" t="s">
        <v>8</v>
      </c>
      <c r="B28" s="634">
        <f>'1-DUI (Reduce Base)'!$B$32</f>
        <v>2</v>
      </c>
      <c r="C28" s="804" t="s">
        <v>555</v>
      </c>
      <c r="D28" s="805"/>
      <c r="E28" s="945"/>
      <c r="F28" s="1008" t="s">
        <v>281</v>
      </c>
      <c r="G28" s="566" t="s">
        <v>31</v>
      </c>
      <c r="H28" s="71" t="s">
        <v>37</v>
      </c>
      <c r="I28" s="140">
        <f t="shared" si="6"/>
        <v>0</v>
      </c>
      <c r="J28" s="147">
        <f t="shared" si="2"/>
        <v>0</v>
      </c>
      <c r="K28" s="152">
        <f t="shared" si="3"/>
        <v>0</v>
      </c>
      <c r="L28" s="149"/>
      <c r="M28" s="804"/>
      <c r="N28" s="1078"/>
      <c r="O28" s="72"/>
      <c r="P28" s="66"/>
      <c r="Q28" s="145">
        <f t="shared" si="4"/>
        <v>0</v>
      </c>
      <c r="R28" s="147">
        <f t="shared" si="5"/>
        <v>0</v>
      </c>
      <c r="S28" s="152">
        <f t="shared" si="0"/>
        <v>0</v>
      </c>
      <c r="T28" s="210"/>
      <c r="U28" s="145">
        <f t="shared" si="1"/>
        <v>0</v>
      </c>
      <c r="V28" s="548"/>
      <c r="W28" s="67"/>
      <c r="X28" s="114"/>
      <c r="Y28" s="114"/>
      <c r="Z28" s="114"/>
      <c r="AA28" s="114"/>
      <c r="AB28" s="114"/>
    </row>
    <row r="29" spans="1:28" s="68" customFormat="1" ht="15.75" customHeight="1" x14ac:dyDescent="0.25">
      <c r="A29" s="63" t="s">
        <v>8</v>
      </c>
      <c r="B29" s="164">
        <f>5-B28</f>
        <v>3</v>
      </c>
      <c r="C29" s="804" t="s">
        <v>556</v>
      </c>
      <c r="D29" s="805"/>
      <c r="E29" s="945"/>
      <c r="F29" s="1009"/>
      <c r="G29" s="566" t="s">
        <v>31</v>
      </c>
      <c r="H29" s="71" t="s">
        <v>197</v>
      </c>
      <c r="I29" s="140">
        <f t="shared" si="6"/>
        <v>0</v>
      </c>
      <c r="J29" s="147">
        <f t="shared" si="2"/>
        <v>0</v>
      </c>
      <c r="K29" s="152">
        <f t="shared" si="3"/>
        <v>0</v>
      </c>
      <c r="L29" s="149"/>
      <c r="M29" s="804"/>
      <c r="N29" s="1078"/>
      <c r="O29" s="72"/>
      <c r="P29" s="66"/>
      <c r="Q29" s="145">
        <f t="shared" si="4"/>
        <v>0</v>
      </c>
      <c r="R29" s="147">
        <f t="shared" si="5"/>
        <v>0</v>
      </c>
      <c r="S29" s="152">
        <f t="shared" si="0"/>
        <v>0</v>
      </c>
      <c r="T29" s="210"/>
      <c r="U29" s="145">
        <f t="shared" si="1"/>
        <v>0</v>
      </c>
      <c r="V29" s="548"/>
      <c r="W29" s="67"/>
      <c r="X29" s="114"/>
      <c r="Y29" s="114"/>
      <c r="Z29" s="114"/>
      <c r="AA29" s="114"/>
      <c r="AB29" s="114"/>
    </row>
    <row r="30" spans="1:28" s="68" customFormat="1" ht="15.75" customHeight="1" x14ac:dyDescent="0.25">
      <c r="A30" s="63" t="s">
        <v>7</v>
      </c>
      <c r="B30" s="69"/>
      <c r="C30" s="804" t="s">
        <v>220</v>
      </c>
      <c r="D30" s="805"/>
      <c r="E30" s="805"/>
      <c r="F30" s="945"/>
      <c r="G30" s="566" t="s">
        <v>31</v>
      </c>
      <c r="H30" s="71" t="s">
        <v>10</v>
      </c>
      <c r="I30" s="140">
        <f>$D$10*20%</f>
        <v>0</v>
      </c>
      <c r="J30" s="147">
        <f t="shared" si="2"/>
        <v>0</v>
      </c>
      <c r="K30" s="152">
        <f>I30-J30</f>
        <v>0</v>
      </c>
      <c r="L30" s="149"/>
      <c r="M30" s="804"/>
      <c r="N30" s="1078"/>
      <c r="O30" s="72"/>
      <c r="P30" s="66"/>
      <c r="Q30" s="145">
        <f t="shared" si="4"/>
        <v>0</v>
      </c>
      <c r="R30" s="147">
        <f t="shared" si="5"/>
        <v>0</v>
      </c>
      <c r="S30" s="152">
        <f t="shared" si="0"/>
        <v>0</v>
      </c>
      <c r="T30" s="210"/>
      <c r="U30" s="145">
        <f t="shared" si="1"/>
        <v>0</v>
      </c>
      <c r="V30" s="548"/>
      <c r="W30" s="67"/>
      <c r="X30" s="114"/>
      <c r="Y30" s="114"/>
      <c r="Z30" s="114"/>
      <c r="AA30" s="114"/>
      <c r="AB30" s="114"/>
    </row>
    <row r="31" spans="1:28" s="80" customFormat="1" ht="15.75" customHeight="1" x14ac:dyDescent="0.25">
      <c r="A31" s="63"/>
      <c r="B31" s="76"/>
      <c r="C31" s="810" t="s">
        <v>221</v>
      </c>
      <c r="D31" s="811"/>
      <c r="E31" s="811"/>
      <c r="F31" s="946"/>
      <c r="G31" s="573"/>
      <c r="H31" s="78"/>
      <c r="I31" s="142">
        <f>SUM(I16:I30)</f>
        <v>0</v>
      </c>
      <c r="J31" s="147"/>
      <c r="K31" s="153">
        <f>SUM(K16:K30)</f>
        <v>0</v>
      </c>
      <c r="L31" s="150"/>
      <c r="M31" s="804"/>
      <c r="N31" s="1078"/>
      <c r="O31" s="166">
        <f>SUM(O16:O30)</f>
        <v>0</v>
      </c>
      <c r="P31" s="111"/>
      <c r="Q31" s="142">
        <f>IF($Q$40=0,,$Q$40-SUM(Q32:Q37))</f>
        <v>0</v>
      </c>
      <c r="R31" s="147"/>
      <c r="S31" s="153">
        <f>SUM(S16:S30)</f>
        <v>0</v>
      </c>
      <c r="T31" s="211"/>
      <c r="U31" s="145">
        <f>SUM(U16:U30)</f>
        <v>0</v>
      </c>
      <c r="V31" s="548"/>
      <c r="W31" s="79"/>
      <c r="X31" s="129"/>
      <c r="Y31" s="129"/>
      <c r="Z31" s="129"/>
      <c r="AA31" s="129"/>
      <c r="AB31" s="129"/>
    </row>
    <row r="32" spans="1:28" s="68" customFormat="1" ht="15.75" customHeight="1" x14ac:dyDescent="0.25">
      <c r="A32" s="63" t="s">
        <v>7</v>
      </c>
      <c r="B32" s="69"/>
      <c r="C32" s="804" t="s">
        <v>419</v>
      </c>
      <c r="D32" s="805"/>
      <c r="E32" s="805"/>
      <c r="F32" s="945"/>
      <c r="G32" s="566" t="s">
        <v>31</v>
      </c>
      <c r="H32" s="81"/>
      <c r="I32" s="186">
        <v>40</v>
      </c>
      <c r="J32" s="147">
        <f t="shared" ref="J32:J37" si="7">IF(A32="Y", I32*2%,0)</f>
        <v>0</v>
      </c>
      <c r="K32" s="152">
        <f t="shared" ref="K32:K37" si="8">I32-J32</f>
        <v>40</v>
      </c>
      <c r="L32" s="149"/>
      <c r="M32" s="804"/>
      <c r="N32" s="1078"/>
      <c r="O32" s="72"/>
      <c r="P32" s="66"/>
      <c r="Q32" s="140">
        <f t="shared" ref="Q32:Q37" si="9">IF($Q$40=0,,I32)</f>
        <v>0</v>
      </c>
      <c r="R32" s="147">
        <f t="shared" ref="R32:R37" si="10">IF(A32="Y", Q32*2%,)</f>
        <v>0</v>
      </c>
      <c r="S32" s="152">
        <f>Q32-R32</f>
        <v>0</v>
      </c>
      <c r="T32" s="210"/>
      <c r="U32" s="145">
        <f>IF($U$15="BASE-UP   (B-A)", O32-K32,O32-S32)</f>
        <v>-40</v>
      </c>
      <c r="V32" s="548"/>
      <c r="W32" s="67"/>
      <c r="X32" s="114"/>
      <c r="Y32" s="114"/>
      <c r="Z32" s="114"/>
      <c r="AA32" s="114"/>
      <c r="AB32" s="114"/>
    </row>
    <row r="33" spans="1:28" s="68" customFormat="1" ht="15.75" customHeight="1" x14ac:dyDescent="0.25">
      <c r="A33" s="63" t="s">
        <v>7</v>
      </c>
      <c r="B33" s="69"/>
      <c r="C33" s="806" t="s">
        <v>259</v>
      </c>
      <c r="D33" s="807"/>
      <c r="E33" s="807"/>
      <c r="F33" s="944"/>
      <c r="G33" s="574" t="s">
        <v>31</v>
      </c>
      <c r="H33" s="82" t="s">
        <v>197</v>
      </c>
      <c r="I33" s="186">
        <v>35</v>
      </c>
      <c r="J33" s="147">
        <f t="shared" si="7"/>
        <v>0</v>
      </c>
      <c r="K33" s="152">
        <f t="shared" si="8"/>
        <v>35</v>
      </c>
      <c r="L33" s="149"/>
      <c r="M33" s="804"/>
      <c r="N33" s="1078"/>
      <c r="O33" s="72"/>
      <c r="P33" s="66"/>
      <c r="Q33" s="140">
        <f t="shared" si="9"/>
        <v>0</v>
      </c>
      <c r="R33" s="147">
        <f t="shared" si="10"/>
        <v>0</v>
      </c>
      <c r="S33" s="152">
        <f t="shared" si="0"/>
        <v>0</v>
      </c>
      <c r="T33" s="210"/>
      <c r="U33" s="145">
        <f t="shared" ref="U33:U38" si="11">IF($U$15="BASE-UP   (B-A)", O33-K33,O33-S33)</f>
        <v>-35</v>
      </c>
      <c r="V33" s="548"/>
      <c r="W33" s="67"/>
      <c r="X33" s="114"/>
      <c r="Y33" s="114"/>
      <c r="Z33" s="114"/>
      <c r="AA33" s="114"/>
      <c r="AB33" s="114"/>
    </row>
    <row r="34" spans="1:28" s="68" customFormat="1" ht="15.75" customHeight="1" x14ac:dyDescent="0.25">
      <c r="A34" s="63" t="s">
        <v>8</v>
      </c>
      <c r="B34" s="83"/>
      <c r="C34" s="806" t="s">
        <v>497</v>
      </c>
      <c r="D34" s="807"/>
      <c r="E34" s="807"/>
      <c r="F34" s="944"/>
      <c r="G34" s="574" t="s">
        <v>31</v>
      </c>
      <c r="H34" s="82" t="s">
        <v>337</v>
      </c>
      <c r="I34" s="186">
        <v>15</v>
      </c>
      <c r="J34" s="147">
        <f t="shared" si="7"/>
        <v>0.3</v>
      </c>
      <c r="K34" s="152">
        <f t="shared" si="8"/>
        <v>14.7</v>
      </c>
      <c r="L34" s="149"/>
      <c r="M34" s="804"/>
      <c r="N34" s="1078"/>
      <c r="O34" s="72"/>
      <c r="P34" s="66"/>
      <c r="Q34" s="140">
        <f t="shared" si="9"/>
        <v>0</v>
      </c>
      <c r="R34" s="147">
        <f t="shared" si="10"/>
        <v>0</v>
      </c>
      <c r="S34" s="152">
        <f t="shared" si="0"/>
        <v>0</v>
      </c>
      <c r="T34" s="210"/>
      <c r="U34" s="145">
        <f t="shared" si="11"/>
        <v>-14.7</v>
      </c>
      <c r="V34" s="548"/>
      <c r="W34" s="71"/>
      <c r="X34" s="114"/>
      <c r="Y34" s="114"/>
      <c r="Z34" s="114"/>
      <c r="AA34" s="114"/>
      <c r="AB34" s="114"/>
    </row>
    <row r="35" spans="1:28" s="68" customFormat="1" ht="15.75" customHeight="1" x14ac:dyDescent="0.25">
      <c r="A35" s="63" t="s">
        <v>8</v>
      </c>
      <c r="B35" s="83"/>
      <c r="C35" s="1358" t="s">
        <v>560</v>
      </c>
      <c r="D35" s="1358"/>
      <c r="E35" s="1358"/>
      <c r="F35" s="1358"/>
      <c r="G35" s="574" t="s">
        <v>31</v>
      </c>
      <c r="H35" s="82" t="s">
        <v>13</v>
      </c>
      <c r="I35" s="186">
        <v>0</v>
      </c>
      <c r="J35" s="147">
        <f t="shared" si="7"/>
        <v>0</v>
      </c>
      <c r="K35" s="152">
        <f t="shared" si="8"/>
        <v>0</v>
      </c>
      <c r="L35" s="149"/>
      <c r="M35" s="804"/>
      <c r="N35" s="1078"/>
      <c r="O35" s="72"/>
      <c r="P35" s="66"/>
      <c r="Q35" s="140">
        <f t="shared" si="9"/>
        <v>0</v>
      </c>
      <c r="R35" s="147">
        <f t="shared" si="10"/>
        <v>0</v>
      </c>
      <c r="S35" s="152">
        <f t="shared" si="0"/>
        <v>0</v>
      </c>
      <c r="T35" s="210"/>
      <c r="U35" s="145">
        <f t="shared" si="11"/>
        <v>0</v>
      </c>
      <c r="V35" s="548"/>
      <c r="W35" s="71"/>
      <c r="X35" s="114"/>
      <c r="Y35" s="114"/>
      <c r="Z35" s="114"/>
      <c r="AA35" s="114"/>
      <c r="AB35" s="114"/>
    </row>
    <row r="36" spans="1:28" s="68" customFormat="1" ht="15.75" customHeight="1" x14ac:dyDescent="0.25">
      <c r="A36" s="63" t="s">
        <v>7</v>
      </c>
      <c r="B36" s="83"/>
      <c r="C36" s="806" t="s">
        <v>454</v>
      </c>
      <c r="D36" s="807"/>
      <c r="E36" s="807"/>
      <c r="F36" s="944"/>
      <c r="G36" s="574" t="s">
        <v>32</v>
      </c>
      <c r="H36" s="82" t="s">
        <v>27</v>
      </c>
      <c r="I36" s="186"/>
      <c r="J36" s="147">
        <f t="shared" si="7"/>
        <v>0</v>
      </c>
      <c r="K36" s="152">
        <f t="shared" si="8"/>
        <v>0</v>
      </c>
      <c r="L36" s="149"/>
      <c r="M36" s="804"/>
      <c r="N36" s="1078"/>
      <c r="O36" s="72"/>
      <c r="P36" s="66"/>
      <c r="Q36" s="140">
        <f t="shared" si="9"/>
        <v>0</v>
      </c>
      <c r="R36" s="147">
        <f t="shared" si="10"/>
        <v>0</v>
      </c>
      <c r="S36" s="152">
        <f t="shared" si="0"/>
        <v>0</v>
      </c>
      <c r="T36" s="210"/>
      <c r="U36" s="145">
        <f t="shared" si="11"/>
        <v>0</v>
      </c>
      <c r="V36" s="548"/>
      <c r="W36" s="71"/>
      <c r="X36" s="114"/>
      <c r="Y36" s="114"/>
      <c r="Z36" s="114"/>
      <c r="AA36" s="114"/>
      <c r="AB36" s="114"/>
    </row>
    <row r="37" spans="1:28" s="68" customFormat="1" ht="30.75" customHeight="1" x14ac:dyDescent="0.25">
      <c r="A37" s="63" t="s">
        <v>7</v>
      </c>
      <c r="B37" s="83"/>
      <c r="C37" s="804" t="s">
        <v>520</v>
      </c>
      <c r="D37" s="805"/>
      <c r="E37" s="805"/>
      <c r="F37" s="945"/>
      <c r="G37" s="574" t="s">
        <v>230</v>
      </c>
      <c r="H37" s="82" t="s">
        <v>82</v>
      </c>
      <c r="I37" s="186"/>
      <c r="J37" s="147">
        <f t="shared" si="7"/>
        <v>0</v>
      </c>
      <c r="K37" s="152">
        <f t="shared" si="8"/>
        <v>0</v>
      </c>
      <c r="L37" s="149"/>
      <c r="M37" s="804"/>
      <c r="N37" s="1078"/>
      <c r="O37" s="72"/>
      <c r="P37" s="66"/>
      <c r="Q37" s="140">
        <f t="shared" si="9"/>
        <v>0</v>
      </c>
      <c r="R37" s="147">
        <f t="shared" si="10"/>
        <v>0</v>
      </c>
      <c r="S37" s="152">
        <f t="shared" si="0"/>
        <v>0</v>
      </c>
      <c r="T37" s="210"/>
      <c r="U37" s="145">
        <f t="shared" si="11"/>
        <v>0</v>
      </c>
      <c r="V37" s="548"/>
      <c r="W37" s="71"/>
      <c r="X37" s="114"/>
      <c r="Y37" s="114"/>
      <c r="Z37" s="114"/>
      <c r="AA37" s="114"/>
      <c r="AB37" s="114"/>
    </row>
    <row r="38" spans="1:28" s="68" customFormat="1" ht="29.25" customHeight="1" x14ac:dyDescent="0.25">
      <c r="A38" s="83" t="s">
        <v>7</v>
      </c>
      <c r="B38" s="83"/>
      <c r="C38" s="804" t="s">
        <v>492</v>
      </c>
      <c r="D38" s="805"/>
      <c r="E38" s="805"/>
      <c r="F38" s="945"/>
      <c r="G38" s="574" t="s">
        <v>31</v>
      </c>
      <c r="H38" s="85" t="s">
        <v>41</v>
      </c>
      <c r="I38" s="86"/>
      <c r="J38" s="148"/>
      <c r="K38" s="154">
        <f>J39</f>
        <v>0.3</v>
      </c>
      <c r="L38" s="149"/>
      <c r="M38" s="804"/>
      <c r="N38" s="1078"/>
      <c r="O38" s="72"/>
      <c r="P38" s="66"/>
      <c r="Q38" s="93"/>
      <c r="R38" s="148"/>
      <c r="S38" s="154">
        <f>R39</f>
        <v>0</v>
      </c>
      <c r="T38" s="212"/>
      <c r="U38" s="145">
        <f t="shared" si="11"/>
        <v>-0.3</v>
      </c>
      <c r="V38" s="548"/>
      <c r="W38" s="71"/>
      <c r="X38" s="114"/>
      <c r="Y38" s="114"/>
      <c r="Z38" s="114"/>
      <c r="AA38" s="114"/>
      <c r="AB38" s="114"/>
    </row>
    <row r="39" spans="1:28" s="114" customFormat="1" ht="14.5" x14ac:dyDescent="0.25">
      <c r="A39" s="112"/>
      <c r="B39" s="112"/>
      <c r="C39" s="112"/>
      <c r="D39" s="112"/>
      <c r="E39" s="113"/>
      <c r="F39" s="113"/>
      <c r="J39" s="115">
        <f>SUM(J16:J38)</f>
        <v>0.3</v>
      </c>
      <c r="K39" s="155"/>
      <c r="O39" s="116"/>
      <c r="P39" s="117"/>
      <c r="R39" s="115">
        <f>SUM(R16:R38)</f>
        <v>0</v>
      </c>
      <c r="S39" s="155"/>
      <c r="T39" s="213"/>
      <c r="U39" s="165"/>
      <c r="V39" s="165"/>
      <c r="W39" s="118"/>
    </row>
    <row r="40" spans="1:28" s="95" customFormat="1" ht="16" thickBot="1" x14ac:dyDescent="0.3">
      <c r="A40" s="130"/>
      <c r="B40" s="130"/>
      <c r="C40" s="130"/>
      <c r="D40" s="130"/>
      <c r="E40" s="119"/>
      <c r="F40" s="131" t="s">
        <v>81</v>
      </c>
      <c r="G40" s="132"/>
      <c r="H40" s="133" t="s">
        <v>1</v>
      </c>
      <c r="I40" s="134">
        <f>SUM(I31:I39)</f>
        <v>90</v>
      </c>
      <c r="J40" s="135"/>
      <c r="K40" s="156">
        <f>SUM(K31:K39)</f>
        <v>90</v>
      </c>
      <c r="L40" s="136"/>
      <c r="M40" s="130" t="s">
        <v>1</v>
      </c>
      <c r="N40" s="130"/>
      <c r="O40" s="137">
        <f>SUM(O31:O39)</f>
        <v>0</v>
      </c>
      <c r="P40" s="136"/>
      <c r="Q40" s="188"/>
      <c r="R40" s="135"/>
      <c r="S40" s="156">
        <f>SUM(S31:S39)</f>
        <v>0</v>
      </c>
      <c r="T40" s="214"/>
      <c r="U40" s="175">
        <f>SUM(U31:U39)</f>
        <v>-90</v>
      </c>
      <c r="V40" s="530"/>
      <c r="W40" s="138"/>
    </row>
    <row r="41" spans="1:28" s="50" customFormat="1" ht="15.75" customHeight="1" thickTop="1" x14ac:dyDescent="0.25">
      <c r="A41" s="1140" t="s">
        <v>61</v>
      </c>
      <c r="B41" s="1140"/>
      <c r="C41" s="1140"/>
      <c r="D41" s="192"/>
      <c r="E41" s="121"/>
      <c r="F41" s="121"/>
      <c r="K41" s="123"/>
      <c r="L41" s="122"/>
      <c r="U41" s="124"/>
      <c r="V41" s="124"/>
      <c r="W41" s="125"/>
    </row>
    <row r="42" spans="1:28" s="127" customFormat="1" ht="18" customHeight="1" x14ac:dyDescent="0.25">
      <c r="A42" s="624">
        <v>1</v>
      </c>
      <c r="B42" s="1372"/>
      <c r="C42" s="1373"/>
      <c r="D42" s="1373"/>
      <c r="E42" s="1373"/>
      <c r="F42" s="1373"/>
      <c r="G42" s="1373"/>
      <c r="H42" s="1373"/>
      <c r="I42" s="1373"/>
      <c r="J42" s="1373"/>
      <c r="K42" s="1373"/>
      <c r="L42" s="1373"/>
      <c r="M42" s="1373"/>
      <c r="N42" s="1373"/>
      <c r="O42" s="1373"/>
      <c r="P42" s="1373"/>
      <c r="Q42" s="1373"/>
      <c r="R42" s="1373"/>
      <c r="S42" s="1373"/>
      <c r="T42" s="1373"/>
      <c r="U42" s="1373"/>
      <c r="V42" s="1373"/>
      <c r="W42" s="1374"/>
    </row>
    <row r="43" spans="1:28" s="127" customFormat="1" ht="18" customHeight="1" x14ac:dyDescent="0.25">
      <c r="A43" s="624">
        <v>2</v>
      </c>
      <c r="B43" s="1372"/>
      <c r="C43" s="1373"/>
      <c r="D43" s="1373"/>
      <c r="E43" s="1373"/>
      <c r="F43" s="1373"/>
      <c r="G43" s="1373"/>
      <c r="H43" s="1373"/>
      <c r="I43" s="1373"/>
      <c r="J43" s="1373"/>
      <c r="K43" s="1373"/>
      <c r="L43" s="1373"/>
      <c r="M43" s="1373"/>
      <c r="N43" s="1373"/>
      <c r="O43" s="1373"/>
      <c r="P43" s="1373"/>
      <c r="Q43" s="1373"/>
      <c r="R43" s="1373"/>
      <c r="S43" s="1373"/>
      <c r="T43" s="1373"/>
      <c r="U43" s="1373"/>
      <c r="V43" s="1373"/>
      <c r="W43" s="1374"/>
    </row>
    <row r="44" spans="1:28" s="127" customFormat="1" ht="18" customHeight="1" x14ac:dyDescent="0.25">
      <c r="A44" s="624">
        <v>3</v>
      </c>
      <c r="B44" s="1372"/>
      <c r="C44" s="1373"/>
      <c r="D44" s="1373"/>
      <c r="E44" s="1373"/>
      <c r="F44" s="1373"/>
      <c r="G44" s="1373"/>
      <c r="H44" s="1373"/>
      <c r="I44" s="1373"/>
      <c r="J44" s="1373"/>
      <c r="K44" s="1373"/>
      <c r="L44" s="1373"/>
      <c r="M44" s="1373"/>
      <c r="N44" s="1373"/>
      <c r="O44" s="1373"/>
      <c r="P44" s="1373"/>
      <c r="Q44" s="1373"/>
      <c r="R44" s="1373"/>
      <c r="S44" s="1373"/>
      <c r="T44" s="1373"/>
      <c r="U44" s="1373"/>
      <c r="V44" s="1373"/>
      <c r="W44" s="1374"/>
    </row>
    <row r="45" spans="1:28" s="50" customFormat="1" ht="23.25" customHeight="1" x14ac:dyDescent="0.25">
      <c r="A45" s="624">
        <v>4</v>
      </c>
      <c r="B45" s="1372"/>
      <c r="C45" s="1373"/>
      <c r="D45" s="1373"/>
      <c r="E45" s="1373"/>
      <c r="F45" s="1373"/>
      <c r="G45" s="1373"/>
      <c r="H45" s="1373"/>
      <c r="I45" s="1373"/>
      <c r="J45" s="1373"/>
      <c r="K45" s="1373"/>
      <c r="L45" s="1373"/>
      <c r="M45" s="1373"/>
      <c r="N45" s="1373"/>
      <c r="O45" s="1373"/>
      <c r="P45" s="1373"/>
      <c r="Q45" s="1373"/>
      <c r="R45" s="1373"/>
      <c r="S45" s="1373"/>
      <c r="T45" s="1373"/>
      <c r="U45" s="1373"/>
      <c r="V45" s="1373"/>
      <c r="W45" s="1374"/>
    </row>
    <row r="46" spans="1:28" s="50" customFormat="1" x14ac:dyDescent="0.25">
      <c r="A46" s="120"/>
      <c r="B46" s="120"/>
      <c r="C46" s="120"/>
      <c r="D46" s="120"/>
      <c r="E46" s="121"/>
      <c r="F46" s="121"/>
      <c r="K46" s="128"/>
      <c r="U46" s="124"/>
      <c r="V46" s="124"/>
      <c r="W46" s="125"/>
    </row>
    <row r="47" spans="1:28" s="50" customFormat="1" x14ac:dyDescent="0.25">
      <c r="A47" s="120"/>
      <c r="B47" s="120"/>
      <c r="C47" s="120"/>
      <c r="D47" s="120"/>
      <c r="E47" s="121"/>
      <c r="F47" s="121"/>
      <c r="K47" s="128"/>
      <c r="U47" s="124"/>
      <c r="V47" s="124"/>
      <c r="W47" s="125"/>
    </row>
  </sheetData>
  <sheetProtection insertRows="0"/>
  <mergeCells count="115">
    <mergeCell ref="M3:N3"/>
    <mergeCell ref="M11:N11"/>
    <mergeCell ref="A1:K1"/>
    <mergeCell ref="Q3:W3"/>
    <mergeCell ref="A4:C4"/>
    <mergeCell ref="D4:E4"/>
    <mergeCell ref="F4:G4"/>
    <mergeCell ref="Q5:W5"/>
    <mergeCell ref="A7:C7"/>
    <mergeCell ref="Q4:W4"/>
    <mergeCell ref="A6:C6"/>
    <mergeCell ref="D6:E6"/>
    <mergeCell ref="F6:G6"/>
    <mergeCell ref="I6:L6"/>
    <mergeCell ref="M6:N6"/>
    <mergeCell ref="Q6:W6"/>
    <mergeCell ref="A5:C5"/>
    <mergeCell ref="I4:L4"/>
    <mergeCell ref="M4:N4"/>
    <mergeCell ref="D7:E7"/>
    <mergeCell ref="F7:G7"/>
    <mergeCell ref="I7:L7"/>
    <mergeCell ref="I5:L5"/>
    <mergeCell ref="M5:N5"/>
    <mergeCell ref="D5:E5"/>
    <mergeCell ref="F5:G5"/>
    <mergeCell ref="Q7:W7"/>
    <mergeCell ref="A8:C8"/>
    <mergeCell ref="D8:E8"/>
    <mergeCell ref="F8:G8"/>
    <mergeCell ref="I8:L8"/>
    <mergeCell ref="M8:N8"/>
    <mergeCell ref="Q8:W9"/>
    <mergeCell ref="A9:C9"/>
    <mergeCell ref="D9:E9"/>
    <mergeCell ref="F9:G9"/>
    <mergeCell ref="I9:L9"/>
    <mergeCell ref="M9:N9"/>
    <mergeCell ref="V14:V15"/>
    <mergeCell ref="W14:W15"/>
    <mergeCell ref="A10:C10"/>
    <mergeCell ref="D10:E10"/>
    <mergeCell ref="F10:G10"/>
    <mergeCell ref="I10:L10"/>
    <mergeCell ref="M10:N10"/>
    <mergeCell ref="Q10:W10"/>
    <mergeCell ref="R14:R15"/>
    <mergeCell ref="M15:N15"/>
    <mergeCell ref="A11:C11"/>
    <mergeCell ref="D11:E11"/>
    <mergeCell ref="F11:G11"/>
    <mergeCell ref="I11:L11"/>
    <mergeCell ref="Q11:W11"/>
    <mergeCell ref="I13:K13"/>
    <mergeCell ref="M13:O13"/>
    <mergeCell ref="Q13:S13"/>
    <mergeCell ref="B16:B17"/>
    <mergeCell ref="C16:F16"/>
    <mergeCell ref="M16:N16"/>
    <mergeCell ref="C17:F17"/>
    <mergeCell ref="M17:N17"/>
    <mergeCell ref="C14:F15"/>
    <mergeCell ref="I14:I15"/>
    <mergeCell ref="J14:J15"/>
    <mergeCell ref="M14:N14"/>
    <mergeCell ref="C18:F18"/>
    <mergeCell ref="M18:N18"/>
    <mergeCell ref="C19:F19"/>
    <mergeCell ref="M19:N19"/>
    <mergeCell ref="C20:F20"/>
    <mergeCell ref="M20:N20"/>
    <mergeCell ref="M26:N26"/>
    <mergeCell ref="C27:F27"/>
    <mergeCell ref="M27:N27"/>
    <mergeCell ref="C28:E28"/>
    <mergeCell ref="F28:F29"/>
    <mergeCell ref="M28:N28"/>
    <mergeCell ref="C29:E29"/>
    <mergeCell ref="M29:N29"/>
    <mergeCell ref="C21:F21"/>
    <mergeCell ref="M21:N21"/>
    <mergeCell ref="C22:D22"/>
    <mergeCell ref="E22:F26"/>
    <mergeCell ref="M22:N22"/>
    <mergeCell ref="C23:D23"/>
    <mergeCell ref="M23:N23"/>
    <mergeCell ref="C24:D24"/>
    <mergeCell ref="M24:N24"/>
    <mergeCell ref="C26:D26"/>
    <mergeCell ref="C25:D25"/>
    <mergeCell ref="M25:N25"/>
    <mergeCell ref="B45:W45"/>
    <mergeCell ref="L1:U1"/>
    <mergeCell ref="C38:F38"/>
    <mergeCell ref="M38:N38"/>
    <mergeCell ref="C36:F36"/>
    <mergeCell ref="M36:N36"/>
    <mergeCell ref="A41:C41"/>
    <mergeCell ref="B42:W42"/>
    <mergeCell ref="B43:W43"/>
    <mergeCell ref="B44:W44"/>
    <mergeCell ref="C37:F37"/>
    <mergeCell ref="M37:N37"/>
    <mergeCell ref="C34:F34"/>
    <mergeCell ref="M34:N34"/>
    <mergeCell ref="C35:F35"/>
    <mergeCell ref="M35:N35"/>
    <mergeCell ref="C30:F30"/>
    <mergeCell ref="M30:N30"/>
    <mergeCell ref="C31:F31"/>
    <mergeCell ref="M31:N31"/>
    <mergeCell ref="C33:F33"/>
    <mergeCell ref="M33:N33"/>
    <mergeCell ref="C32:F32"/>
    <mergeCell ref="M32:N32"/>
  </mergeCells>
  <conditionalFormatting sqref="E22">
    <cfRule type="cellIs" dxfId="6" priority="1" operator="notEqual">
      <formula>"GC 76000 PA ($" &amp;O11 &amp;" for every 10) breakdown per local board of supervisor resolution (BOS)."</formula>
    </cfRule>
  </conditionalFormatting>
  <conditionalFormatting sqref="I16:I17">
    <cfRule type="cellIs" dxfId="5" priority="12" stopIfTrue="1" operator="equal">
      <formula>0</formula>
    </cfRule>
  </conditionalFormatting>
  <conditionalFormatting sqref="I16:K31 J32:K38">
    <cfRule type="cellIs" dxfId="4" priority="9" operator="equal">
      <formula>0</formula>
    </cfRule>
  </conditionalFormatting>
  <conditionalFormatting sqref="M16:O38">
    <cfRule type="expression" dxfId="3" priority="10">
      <formula>MOD(ROW(),2)=0</formula>
    </cfRule>
  </conditionalFormatting>
  <conditionalFormatting sqref="Q16:S38">
    <cfRule type="cellIs" dxfId="2" priority="14" stopIfTrue="1" operator="equal">
      <formula>0</formula>
    </cfRule>
  </conditionalFormatting>
  <conditionalFormatting sqref="U12:V13 U41:V41 U46:V65531">
    <cfRule type="cellIs" dxfId="1" priority="13" stopIfTrue="1" operator="notEqual">
      <formula>0</formula>
    </cfRule>
  </conditionalFormatting>
  <conditionalFormatting sqref="V16:V38">
    <cfRule type="cellIs" dxfId="0" priority="2" operator="greaterThan">
      <formula>0</formula>
    </cfRule>
  </conditionalFormatting>
  <dataValidations count="1">
    <dataValidation type="list" allowBlank="1" showInputMessage="1" showErrorMessage="1" sqref="U15" xr:uid="{00000000-0002-0000-2900-000000000000}">
      <formula1>Distribution_Method</formula1>
    </dataValidation>
  </dataValidations>
  <printOptions horizontalCentered="1"/>
  <pageMargins left="0.25" right="0.25" top="0.75" bottom="0.5" header="0.25" footer="0.25"/>
  <pageSetup scale="69" orientation="landscape" r:id="rId1"/>
  <headerFooter alignWithMargins="0">
    <oddHeader>&amp;CSUPERIOR OF COURT OF _________ COUNTY
Revenue Calculation and Distribution Worksheet</oddHeader>
    <oddFooter>&amp;L&amp;F&amp;R&amp;P of &amp;N</oddFooter>
  </headerFooter>
  <ignoredErrors>
    <ignoredError sqref="U31 S31 K31" formula="1"/>
    <ignoredError sqref="I16:I1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63169" r:id="rId4" name="Button 1">
              <controlPr defaultSize="0" print="0" autoFill="0" autoPict="0" macro="mcr_GoToSummary">
                <anchor moveWithCells="1">
                  <from>
                    <xdr:col>0</xdr:col>
                    <xdr:colOff>88900</xdr:colOff>
                    <xdr:row>0</xdr:row>
                    <xdr:rowOff>0</xdr:rowOff>
                  </from>
                  <to>
                    <xdr:col>3</xdr:col>
                    <xdr:colOff>127000</xdr:colOff>
                    <xdr:row>1</xdr:row>
                    <xdr:rowOff>31750</xdr:rowOff>
                  </to>
                </anchor>
              </controlPr>
            </control>
          </mc:Choice>
        </mc:AlternateContent>
        <mc:AlternateContent xmlns:mc="http://schemas.openxmlformats.org/markup-compatibility/2006">
          <mc:Choice Requires="x14">
            <control shapeId="263170" r:id="rId5" name="Button 2">
              <controlPr defaultSize="0" print="0" autoFill="0" autoPict="0" macro="[0]!mcrDisableTwoPercentUnprotect">
                <anchor moveWithCells="1">
                  <from>
                    <xdr:col>0</xdr:col>
                    <xdr:colOff>12700</xdr:colOff>
                    <xdr:row>13</xdr:row>
                    <xdr:rowOff>527050</xdr:rowOff>
                  </from>
                  <to>
                    <xdr:col>0</xdr:col>
                    <xdr:colOff>279400</xdr:colOff>
                    <xdr:row>14</xdr:row>
                    <xdr:rowOff>222250</xdr:rowOff>
                  </to>
                </anchor>
              </controlPr>
            </control>
          </mc:Choice>
        </mc:AlternateContent>
        <mc:AlternateContent xmlns:mc="http://schemas.openxmlformats.org/markup-compatibility/2006">
          <mc:Choice Requires="x14">
            <control shapeId="263171" r:id="rId6" name="Button 3">
              <controlPr defaultSize="0" print="0" autoFill="0" autoPict="0" macro="[0]!mcrEnableTwoPercentUnprotect">
                <anchor moveWithCells="1">
                  <from>
                    <xdr:col>0</xdr:col>
                    <xdr:colOff>0</xdr:colOff>
                    <xdr:row>13</xdr:row>
                    <xdr:rowOff>222250</xdr:rowOff>
                  </from>
                  <to>
                    <xdr:col>0</xdr:col>
                    <xdr:colOff>266700</xdr:colOff>
                    <xdr:row>13</xdr:row>
                    <xdr:rowOff>552450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AP22"/>
  <sheetViews>
    <sheetView zoomScaleNormal="100" zoomScaleSheetLayoutView="100" workbookViewId="0">
      <pane ySplit="1" topLeftCell="A2" activePane="bottomLeft" state="frozen"/>
      <selection activeCell="V27" sqref="V27"/>
      <selection pane="bottomLeft" activeCell="V27" sqref="V27"/>
    </sheetView>
  </sheetViews>
  <sheetFormatPr defaultColWidth="9.1796875" defaultRowHeight="15.5" x14ac:dyDescent="0.25"/>
  <cols>
    <col min="1" max="1" width="4.1796875" style="610" customWidth="1"/>
    <col min="2" max="2" width="6.26953125" style="611" customWidth="1"/>
    <col min="3" max="3" width="103.26953125" style="611" customWidth="1"/>
    <col min="4" max="4" width="20.81640625" style="602" customWidth="1"/>
    <col min="5" max="5" width="9.1796875" style="603"/>
    <col min="6" max="16384" width="9.1796875" style="604"/>
  </cols>
  <sheetData>
    <row r="1" spans="1:4" ht="18.75" customHeight="1" x14ac:dyDescent="0.25">
      <c r="A1" s="787" t="s">
        <v>16</v>
      </c>
      <c r="B1" s="787"/>
      <c r="C1" s="613" t="s">
        <v>522</v>
      </c>
    </row>
    <row r="2" spans="1:4" ht="24" customHeight="1" x14ac:dyDescent="0.25">
      <c r="A2" s="614">
        <v>1</v>
      </c>
      <c r="B2" s="605" t="s">
        <v>89</v>
      </c>
      <c r="C2" s="606" t="s">
        <v>531</v>
      </c>
      <c r="D2" s="786"/>
    </row>
    <row r="3" spans="1:4" ht="30.75" customHeight="1" x14ac:dyDescent="0.25">
      <c r="A3" s="614">
        <v>2</v>
      </c>
      <c r="B3" s="605" t="s">
        <v>89</v>
      </c>
      <c r="C3" s="606" t="s">
        <v>532</v>
      </c>
      <c r="D3" s="786"/>
    </row>
    <row r="4" spans="1:4" ht="24" customHeight="1" x14ac:dyDescent="0.25">
      <c r="A4" s="614">
        <v>3</v>
      </c>
      <c r="B4" s="605" t="s">
        <v>90</v>
      </c>
      <c r="C4" s="606" t="s">
        <v>533</v>
      </c>
      <c r="D4" s="786"/>
    </row>
    <row r="5" spans="1:4" ht="24" customHeight="1" x14ac:dyDescent="0.25">
      <c r="A5" s="615">
        <v>4</v>
      </c>
      <c r="B5" s="607" t="s">
        <v>91</v>
      </c>
      <c r="C5" s="606" t="s">
        <v>523</v>
      </c>
      <c r="D5" s="786"/>
    </row>
    <row r="6" spans="1:4" ht="24" customHeight="1" x14ac:dyDescent="0.25">
      <c r="A6" s="614">
        <v>5</v>
      </c>
      <c r="B6" s="605" t="s">
        <v>92</v>
      </c>
      <c r="C6" s="608" t="s">
        <v>524</v>
      </c>
      <c r="D6" s="786"/>
    </row>
    <row r="7" spans="1:4" ht="24" customHeight="1" x14ac:dyDescent="0.25">
      <c r="A7" s="614">
        <v>6</v>
      </c>
      <c r="B7" s="605" t="s">
        <v>93</v>
      </c>
      <c r="C7" s="606" t="s">
        <v>525</v>
      </c>
      <c r="D7" s="786"/>
    </row>
    <row r="8" spans="1:4" ht="24" customHeight="1" x14ac:dyDescent="0.25">
      <c r="A8" s="615">
        <v>7</v>
      </c>
      <c r="B8" s="607" t="s">
        <v>63</v>
      </c>
      <c r="C8" s="606" t="s">
        <v>526</v>
      </c>
      <c r="D8" s="786"/>
    </row>
    <row r="9" spans="1:4" ht="24" customHeight="1" x14ac:dyDescent="0.25">
      <c r="A9" s="615">
        <v>8</v>
      </c>
      <c r="B9" s="607" t="s">
        <v>93</v>
      </c>
      <c r="C9" s="606" t="s">
        <v>535</v>
      </c>
      <c r="D9" s="786"/>
    </row>
    <row r="10" spans="1:4" ht="24" customHeight="1" x14ac:dyDescent="0.25">
      <c r="A10" s="615">
        <v>9</v>
      </c>
      <c r="B10" s="607" t="s">
        <v>94</v>
      </c>
      <c r="C10" s="606" t="s">
        <v>527</v>
      </c>
      <c r="D10" s="786"/>
    </row>
    <row r="11" spans="1:4" ht="24" customHeight="1" x14ac:dyDescent="0.25">
      <c r="A11" s="615">
        <v>10</v>
      </c>
      <c r="B11" s="607" t="s">
        <v>95</v>
      </c>
      <c r="C11" s="606" t="s">
        <v>528</v>
      </c>
      <c r="D11" s="786"/>
    </row>
    <row r="12" spans="1:4" ht="24" customHeight="1" x14ac:dyDescent="0.25">
      <c r="A12" s="614">
        <v>11</v>
      </c>
      <c r="B12" s="605" t="s">
        <v>96</v>
      </c>
      <c r="C12" s="606" t="s">
        <v>540</v>
      </c>
      <c r="D12" s="786"/>
    </row>
    <row r="13" spans="1:4" ht="24" customHeight="1" x14ac:dyDescent="0.25">
      <c r="A13" s="614">
        <v>12</v>
      </c>
      <c r="B13" s="605" t="s">
        <v>97</v>
      </c>
      <c r="C13" s="606" t="s">
        <v>541</v>
      </c>
      <c r="D13" s="786"/>
    </row>
    <row r="14" spans="1:4" ht="24" customHeight="1" x14ac:dyDescent="0.25">
      <c r="A14" s="614">
        <v>13</v>
      </c>
      <c r="B14" s="605" t="s">
        <v>98</v>
      </c>
      <c r="C14" s="606" t="s">
        <v>539</v>
      </c>
      <c r="D14" s="786"/>
    </row>
    <row r="15" spans="1:4" ht="24" customHeight="1" x14ac:dyDescent="0.25">
      <c r="A15" s="615">
        <v>14</v>
      </c>
      <c r="B15" s="607" t="s">
        <v>23</v>
      </c>
      <c r="C15" s="606" t="s">
        <v>534</v>
      </c>
      <c r="D15" s="786"/>
    </row>
    <row r="16" spans="1:4" ht="24" customHeight="1" x14ac:dyDescent="0.25">
      <c r="A16" s="614">
        <v>15</v>
      </c>
      <c r="B16" s="605" t="s">
        <v>99</v>
      </c>
      <c r="C16" s="606" t="s">
        <v>536</v>
      </c>
      <c r="D16" s="786"/>
    </row>
    <row r="17" spans="1:42" ht="24" customHeight="1" x14ac:dyDescent="0.25">
      <c r="A17" s="615">
        <v>16</v>
      </c>
      <c r="B17" s="607" t="s">
        <v>100</v>
      </c>
      <c r="C17" s="606" t="s">
        <v>529</v>
      </c>
      <c r="D17" s="786"/>
    </row>
    <row r="18" spans="1:42" ht="24" customHeight="1" x14ac:dyDescent="0.25">
      <c r="A18" s="614">
        <v>17</v>
      </c>
      <c r="B18" s="605" t="s">
        <v>70</v>
      </c>
      <c r="C18" s="606" t="s">
        <v>537</v>
      </c>
      <c r="D18" s="786"/>
    </row>
    <row r="19" spans="1:42" ht="24" customHeight="1" x14ac:dyDescent="0.25">
      <c r="A19" s="614">
        <v>18</v>
      </c>
      <c r="B19" s="605" t="s">
        <v>70</v>
      </c>
      <c r="C19" s="606" t="s">
        <v>538</v>
      </c>
      <c r="D19" s="786"/>
      <c r="E19" s="602"/>
      <c r="F19" s="609"/>
    </row>
    <row r="20" spans="1:42" ht="24" customHeight="1" x14ac:dyDescent="0.25">
      <c r="A20" s="614">
        <v>19</v>
      </c>
      <c r="B20" s="605" t="s">
        <v>69</v>
      </c>
      <c r="C20" s="606" t="s">
        <v>530</v>
      </c>
      <c r="D20" s="299"/>
      <c r="E20" s="602"/>
      <c r="F20" s="609"/>
    </row>
    <row r="21" spans="1:42" s="602" customFormat="1" x14ac:dyDescent="0.25">
      <c r="A21" s="610"/>
      <c r="B21" s="611"/>
      <c r="C21" s="611"/>
      <c r="E21" s="603"/>
      <c r="F21" s="604"/>
      <c r="G21" s="604"/>
      <c r="H21" s="604"/>
      <c r="I21" s="604"/>
      <c r="J21" s="604"/>
      <c r="K21" s="604"/>
      <c r="L21" s="604"/>
      <c r="M21" s="604"/>
      <c r="N21" s="604"/>
      <c r="O21" s="604"/>
      <c r="P21" s="604"/>
      <c r="Q21" s="604"/>
      <c r="R21" s="604"/>
      <c r="S21" s="604"/>
      <c r="T21" s="604"/>
      <c r="U21" s="604"/>
      <c r="V21" s="604"/>
      <c r="W21" s="604"/>
      <c r="X21" s="604"/>
      <c r="Y21" s="604"/>
      <c r="Z21" s="604"/>
      <c r="AA21" s="604"/>
      <c r="AB21" s="604"/>
      <c r="AC21" s="604"/>
      <c r="AD21" s="604"/>
      <c r="AE21" s="604"/>
      <c r="AF21" s="604"/>
      <c r="AG21" s="604"/>
      <c r="AH21" s="604"/>
      <c r="AI21" s="604"/>
      <c r="AJ21" s="604"/>
      <c r="AK21" s="604"/>
      <c r="AL21" s="604"/>
      <c r="AM21" s="604"/>
      <c r="AN21" s="604"/>
      <c r="AO21" s="604"/>
      <c r="AP21" s="604"/>
    </row>
    <row r="22" spans="1:42" s="602" customFormat="1" x14ac:dyDescent="0.25">
      <c r="A22" s="610"/>
      <c r="B22" s="611"/>
      <c r="C22" s="611"/>
      <c r="E22" s="603"/>
      <c r="F22" s="604"/>
      <c r="G22" s="604"/>
      <c r="H22" s="604"/>
      <c r="I22" s="604"/>
      <c r="J22" s="604"/>
      <c r="K22" s="604"/>
      <c r="L22" s="604"/>
      <c r="M22" s="604"/>
      <c r="N22" s="604"/>
      <c r="O22" s="604"/>
      <c r="P22" s="604"/>
      <c r="Q22" s="604"/>
      <c r="R22" s="604"/>
      <c r="S22" s="604"/>
      <c r="T22" s="604"/>
      <c r="U22" s="604"/>
      <c r="V22" s="604"/>
      <c r="W22" s="604"/>
      <c r="X22" s="604"/>
      <c r="Y22" s="604"/>
      <c r="Z22" s="604"/>
      <c r="AA22" s="604"/>
      <c r="AB22" s="604"/>
      <c r="AC22" s="604"/>
      <c r="AD22" s="604"/>
      <c r="AE22" s="604"/>
      <c r="AF22" s="604"/>
      <c r="AG22" s="604"/>
      <c r="AH22" s="604"/>
      <c r="AI22" s="604"/>
      <c r="AJ22" s="604"/>
      <c r="AK22" s="604"/>
      <c r="AL22" s="604"/>
      <c r="AM22" s="604"/>
      <c r="AN22" s="604"/>
      <c r="AO22" s="604"/>
      <c r="AP22" s="604"/>
    </row>
  </sheetData>
  <sheetProtection formatCells="0" formatColumns="0" formatRows="0" insertColumns="0" insertRows="0" deleteColumns="0" deleteRows="0"/>
  <mergeCells count="10">
    <mergeCell ref="D6:D7"/>
    <mergeCell ref="D8:D9"/>
    <mergeCell ref="D2:D3"/>
    <mergeCell ref="D4:D5"/>
    <mergeCell ref="A1:B1"/>
    <mergeCell ref="D18:D19"/>
    <mergeCell ref="D14:D15"/>
    <mergeCell ref="D16:D17"/>
    <mergeCell ref="D10:D11"/>
    <mergeCell ref="D12:D13"/>
  </mergeCells>
  <conditionalFormatting sqref="A2:C20">
    <cfRule type="expression" dxfId="136" priority="2" stopIfTrue="1">
      <formula>MOD(ROW(),2)=0</formula>
    </cfRule>
  </conditionalFormatting>
  <hyperlinks>
    <hyperlink ref="A2:B2" location="'1-DUI (Reduce Base)'!A1" display="'1-DUI (Reduce Base)'!A1" xr:uid="{00000000-0004-0000-0300-000000000000}"/>
    <hyperlink ref="A3:B3" location="'2-DUI (Reduce Base)'!A1" display="'2-DUI (Reduce Base)'!A1" xr:uid="{00000000-0004-0000-0300-000001000000}"/>
    <hyperlink ref="A4:B4" location="'3-RD (Reduce Base)'!A1" display="'3-RD (Reduce Base)'!A1" xr:uid="{00000000-0004-0000-0300-000002000000}"/>
    <hyperlink ref="A5:B5" location="'4-RRBF'!A1" display="'4-RRBF'!A1" xr:uid="{00000000-0004-0000-0300-000003000000}"/>
    <hyperlink ref="A6:B6" location="'5-RRTS (BF &amp; No 2%)'!A1" display="'5-RRTS (BF &amp; No 2%)'!A1" xr:uid="{00000000-0004-0000-0300-000004000000}"/>
    <hyperlink ref="A7:B7" location="'6-RLBF'!A1" display="'6-RLBF'!A1" xr:uid="{00000000-0004-0000-0300-000005000000}"/>
    <hyperlink ref="A8:B8" location="'7-RLTS'!A1" display="'7-RLTS'!A1" xr:uid="{00000000-0004-0000-0300-000006000000}"/>
    <hyperlink ref="A9:B9" location="'8-RLBF (No 30%)'!A1" display="'8-RLBF (No 30%)'!A1" xr:uid="{00000000-0004-0000-0300-000007000000}"/>
    <hyperlink ref="A10:B10" location="'9-SpBF'!A1" display="'9-SpBF'!A1" xr:uid="{00000000-0004-0000-0300-000008000000}"/>
    <hyperlink ref="A11:B11" location="'10-SpTS'!A1" display="'10-SpTS'!A1" xr:uid="{00000000-0004-0000-0300-000009000000}"/>
    <hyperlink ref="A12:B12" location="'11-CSBF'!A1" display="'11-CSBF'!A1" xr:uid="{00000000-0004-0000-0300-00000A000000}"/>
    <hyperlink ref="A13:B13" location="'12-CSTS (BF &amp; 2%)'!A1" display="'12-CSTS (BF &amp; 2%)'!A1" xr:uid="{00000000-0004-0000-0300-00000B000000}"/>
    <hyperlink ref="A14:B14" location="'13-UC'!A1" display="'13-UC'!A1" xr:uid="{00000000-0004-0000-0300-00000C000000}"/>
    <hyperlink ref="A15:B15" location="'14-POC'!A1" display="'14-POC'!A1" xr:uid="{00000000-0004-0000-0300-00000D000000}"/>
    <hyperlink ref="A16:B16" location="'15-POI (Base Reduce)'!A1" display="'15-POI (Base Reduce)'!A1" xr:uid="{00000000-0004-0000-0300-00000E000000}"/>
    <hyperlink ref="A17:B17" location="'16-DV'!A1" display="'16-DV'!A1" xr:uid="{00000000-0004-0000-0300-00000F000000}"/>
    <hyperlink ref="A18:B18" location="'17-HS (Enhance Base)'!A1" display="'17-HS (Enhance Base)'!A1" xr:uid="{00000000-0004-0000-0300-000010000000}"/>
    <hyperlink ref="A19:B19" location="'18-HS (Enh-Red Base)'!A1" display="'18-HS (Enh-Red Base)'!A1" xr:uid="{00000000-0004-0000-0300-000011000000}"/>
    <hyperlink ref="A20:B20" location="'19-FG'!A1" display="'19-FG'!A1" xr:uid="{00000000-0004-0000-0300-000012000000}"/>
  </hyperlinks>
  <printOptions horizontalCentered="1"/>
  <pageMargins left="0.25" right="0.25" top="1" bottom="0.5" header="0.25" footer="0.25"/>
  <pageSetup scale="64" orientation="portrait" r:id="rId1"/>
  <headerFooter alignWithMargins="0">
    <oddHeader>&amp;LJudicial Council of California
Administrative Office of the Courts
Internal Audit Services&amp;C&amp;"Arial,Bold"&amp;14Revenue Distribution List of Worksheets</oddHeader>
    <oddFooter>&amp;L&amp;D&amp;R&amp;P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8"/>
  <sheetViews>
    <sheetView workbookViewId="0">
      <selection activeCell="V27" sqref="V27"/>
    </sheetView>
  </sheetViews>
  <sheetFormatPr defaultRowHeight="12.5" x14ac:dyDescent="0.25"/>
  <cols>
    <col min="1" max="1" width="20.26953125" bestFit="1" customWidth="1"/>
    <col min="2" max="2" width="9.7265625" bestFit="1" customWidth="1"/>
    <col min="3" max="3" width="31.453125" bestFit="1" customWidth="1"/>
    <col min="4" max="4" width="8.1796875" bestFit="1" customWidth="1"/>
    <col min="5" max="5" width="13.453125" bestFit="1" customWidth="1"/>
    <col min="6" max="6" width="7.1796875" bestFit="1" customWidth="1"/>
    <col min="7" max="7" width="19.81640625" bestFit="1" customWidth="1"/>
    <col min="8" max="8" width="10.54296875" bestFit="1" customWidth="1"/>
  </cols>
  <sheetData>
    <row r="1" spans="1:8" s="3" customFormat="1" ht="18" x14ac:dyDescent="0.25">
      <c r="A1" s="788" t="s">
        <v>481</v>
      </c>
      <c r="B1" s="788"/>
      <c r="C1" s="788"/>
      <c r="D1" s="788"/>
      <c r="E1" s="788"/>
      <c r="F1" s="788"/>
      <c r="G1" s="788"/>
      <c r="H1" s="788"/>
    </row>
    <row r="2" spans="1:8" s="3" customFormat="1" ht="13" x14ac:dyDescent="0.25">
      <c r="A2" s="44" t="s">
        <v>426</v>
      </c>
      <c r="B2" s="43"/>
      <c r="C2" s="43"/>
      <c r="D2" s="43"/>
      <c r="E2" s="43"/>
      <c r="F2" s="43"/>
      <c r="G2" s="43"/>
      <c r="H2" s="1"/>
    </row>
    <row r="3" spans="1:8" s="3" customFormat="1" ht="13" x14ac:dyDescent="0.25">
      <c r="A3" s="40" t="s">
        <v>173</v>
      </c>
      <c r="B3" s="40" t="s">
        <v>9</v>
      </c>
      <c r="C3" s="40" t="s">
        <v>176</v>
      </c>
      <c r="D3" s="789" t="s">
        <v>477</v>
      </c>
      <c r="E3" s="789"/>
      <c r="F3" s="789"/>
      <c r="G3" s="40" t="s">
        <v>210</v>
      </c>
      <c r="H3" s="40" t="s">
        <v>460</v>
      </c>
    </row>
    <row r="4" spans="1:8" s="3" customFormat="1" ht="13" x14ac:dyDescent="0.25">
      <c r="A4" s="790" t="s">
        <v>423</v>
      </c>
      <c r="B4" s="790" t="s">
        <v>424</v>
      </c>
      <c r="C4" s="791" t="s">
        <v>464</v>
      </c>
      <c r="D4" s="560"/>
      <c r="E4" s="562" t="s">
        <v>11</v>
      </c>
      <c r="F4" s="562" t="s">
        <v>425</v>
      </c>
      <c r="G4" s="794" t="s">
        <v>51</v>
      </c>
      <c r="H4" s="794"/>
    </row>
    <row r="5" spans="1:8" s="3" customFormat="1" x14ac:dyDescent="0.25">
      <c r="A5" s="790"/>
      <c r="B5" s="790"/>
      <c r="C5" s="792"/>
      <c r="D5" s="547" t="s">
        <v>459</v>
      </c>
      <c r="E5" s="563">
        <v>100</v>
      </c>
      <c r="F5" s="563">
        <v>200</v>
      </c>
      <c r="G5" s="794"/>
      <c r="H5" s="794"/>
    </row>
    <row r="6" spans="1:8" s="3" customFormat="1" x14ac:dyDescent="0.25">
      <c r="A6" s="790"/>
      <c r="B6" s="790"/>
      <c r="C6" s="792"/>
      <c r="D6" s="561">
        <v>40909</v>
      </c>
      <c r="E6" s="563">
        <v>120</v>
      </c>
      <c r="F6" s="563">
        <v>240</v>
      </c>
      <c r="G6" s="794"/>
      <c r="H6" s="794"/>
    </row>
    <row r="7" spans="1:8" s="3" customFormat="1" x14ac:dyDescent="0.25">
      <c r="A7" s="790"/>
      <c r="B7" s="790"/>
      <c r="C7" s="792"/>
      <c r="D7" s="561">
        <v>41275</v>
      </c>
      <c r="E7" s="563">
        <v>140</v>
      </c>
      <c r="F7" s="563">
        <v>280</v>
      </c>
      <c r="G7" s="794"/>
      <c r="H7" s="794"/>
    </row>
    <row r="8" spans="1:8" s="3" customFormat="1" x14ac:dyDescent="0.25">
      <c r="A8" s="790"/>
      <c r="B8" s="790"/>
      <c r="C8" s="793"/>
      <c r="D8" s="589">
        <v>41640</v>
      </c>
      <c r="E8" s="590">
        <v>150</v>
      </c>
      <c r="F8" s="590">
        <v>300</v>
      </c>
      <c r="G8" s="794"/>
      <c r="H8" s="794"/>
    </row>
  </sheetData>
  <mergeCells count="7">
    <mergeCell ref="A1:H1"/>
    <mergeCell ref="D3:F3"/>
    <mergeCell ref="A4:A8"/>
    <mergeCell ref="B4:B8"/>
    <mergeCell ref="C4:C8"/>
    <mergeCell ref="G4:G8"/>
    <mergeCell ref="H4:H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9FBBB"/>
    <pageSetUpPr fitToPage="1"/>
  </sheetPr>
  <dimension ref="A2:H24"/>
  <sheetViews>
    <sheetView topLeftCell="A10" zoomScaleNormal="100" workbookViewId="0">
      <selection activeCell="V27" sqref="V27"/>
    </sheetView>
  </sheetViews>
  <sheetFormatPr defaultColWidth="9.1796875" defaultRowHeight="12.5" x14ac:dyDescent="0.25"/>
  <cols>
    <col min="1" max="1" width="30.54296875" style="3" customWidth="1"/>
    <col min="2" max="3" width="16.1796875" style="3" customWidth="1"/>
    <col min="4" max="4" width="16" style="3" customWidth="1"/>
    <col min="5" max="6" width="30.26953125" style="3" customWidth="1"/>
    <col min="7" max="8" width="11.453125" style="3" customWidth="1"/>
    <col min="9" max="16384" width="9.1796875" style="3"/>
  </cols>
  <sheetData>
    <row r="2" spans="1:8" ht="18" x14ac:dyDescent="0.25">
      <c r="A2" s="788" t="s">
        <v>481</v>
      </c>
      <c r="B2" s="788"/>
      <c r="C2" s="788"/>
      <c r="D2" s="788"/>
      <c r="E2" s="788"/>
      <c r="F2" s="788"/>
      <c r="G2" s="788"/>
      <c r="H2" s="788"/>
    </row>
    <row r="3" spans="1:8" ht="13" x14ac:dyDescent="0.25">
      <c r="A3" s="44" t="s">
        <v>426</v>
      </c>
      <c r="B3" s="43"/>
      <c r="C3" s="43"/>
      <c r="D3" s="43"/>
      <c r="E3" s="43"/>
      <c r="F3" s="43"/>
      <c r="G3" s="43"/>
      <c r="H3" s="1"/>
    </row>
    <row r="4" spans="1:8" ht="13" x14ac:dyDescent="0.25">
      <c r="A4" s="40" t="s">
        <v>173</v>
      </c>
      <c r="B4" s="40" t="s">
        <v>9</v>
      </c>
      <c r="C4" s="40" t="s">
        <v>176</v>
      </c>
      <c r="D4" s="789" t="s">
        <v>477</v>
      </c>
      <c r="E4" s="789"/>
      <c r="F4" s="789"/>
      <c r="G4" s="40" t="s">
        <v>210</v>
      </c>
      <c r="H4" s="40" t="s">
        <v>460</v>
      </c>
    </row>
    <row r="5" spans="1:8" ht="13" x14ac:dyDescent="0.25">
      <c r="A5" s="790" t="s">
        <v>423</v>
      </c>
      <c r="B5" s="790" t="s">
        <v>424</v>
      </c>
      <c r="C5" s="791" t="s">
        <v>464</v>
      </c>
      <c r="D5" s="560"/>
      <c r="E5" s="562" t="s">
        <v>11</v>
      </c>
      <c r="F5" s="562" t="s">
        <v>425</v>
      </c>
      <c r="G5" s="794" t="s">
        <v>51</v>
      </c>
      <c r="H5" s="794"/>
    </row>
    <row r="6" spans="1:8" x14ac:dyDescent="0.25">
      <c r="A6" s="790"/>
      <c r="B6" s="790"/>
      <c r="C6" s="792"/>
      <c r="D6" s="547" t="s">
        <v>459</v>
      </c>
      <c r="E6" s="563">
        <v>100</v>
      </c>
      <c r="F6" s="563">
        <v>200</v>
      </c>
      <c r="G6" s="794"/>
      <c r="H6" s="794"/>
    </row>
    <row r="7" spans="1:8" x14ac:dyDescent="0.25">
      <c r="A7" s="790"/>
      <c r="B7" s="790"/>
      <c r="C7" s="792"/>
      <c r="D7" s="561">
        <v>40909</v>
      </c>
      <c r="E7" s="563">
        <v>120</v>
      </c>
      <c r="F7" s="563">
        <v>240</v>
      </c>
      <c r="G7" s="794"/>
      <c r="H7" s="794"/>
    </row>
    <row r="8" spans="1:8" x14ac:dyDescent="0.25">
      <c r="A8" s="790"/>
      <c r="B8" s="790"/>
      <c r="C8" s="792"/>
      <c r="D8" s="589">
        <v>41275</v>
      </c>
      <c r="E8" s="590">
        <v>140</v>
      </c>
      <c r="F8" s="590">
        <v>280</v>
      </c>
      <c r="G8" s="794"/>
      <c r="H8" s="794"/>
    </row>
    <row r="9" spans="1:8" x14ac:dyDescent="0.25">
      <c r="A9" s="790"/>
      <c r="B9" s="790"/>
      <c r="C9" s="793"/>
      <c r="D9" s="561">
        <v>41640</v>
      </c>
      <c r="E9" s="563">
        <v>150</v>
      </c>
      <c r="F9" s="563">
        <v>300</v>
      </c>
      <c r="G9" s="794"/>
      <c r="H9" s="794"/>
    </row>
    <row r="11" spans="1:8" ht="18" x14ac:dyDescent="0.25">
      <c r="A11" s="788" t="s">
        <v>480</v>
      </c>
      <c r="B11" s="788"/>
      <c r="C11" s="788"/>
      <c r="D11" s="788"/>
      <c r="E11" s="788"/>
      <c r="F11" s="788"/>
    </row>
    <row r="12" spans="1:8" ht="13" x14ac:dyDescent="0.25">
      <c r="A12" s="44" t="s">
        <v>470</v>
      </c>
      <c r="B12" s="43"/>
      <c r="C12" s="43"/>
      <c r="D12" s="43"/>
      <c r="E12" s="43"/>
      <c r="F12" s="1"/>
    </row>
    <row r="13" spans="1:8" ht="26" x14ac:dyDescent="0.25">
      <c r="A13" s="40" t="s">
        <v>173</v>
      </c>
      <c r="B13" s="40" t="s">
        <v>9</v>
      </c>
      <c r="C13" s="40" t="s">
        <v>176</v>
      </c>
      <c r="D13" s="40" t="s">
        <v>477</v>
      </c>
      <c r="E13" s="40" t="s">
        <v>210</v>
      </c>
      <c r="F13" s="40" t="s">
        <v>460</v>
      </c>
    </row>
    <row r="14" spans="1:8" ht="64" x14ac:dyDescent="0.25">
      <c r="A14" s="39" t="s">
        <v>467</v>
      </c>
      <c r="B14" s="39" t="s">
        <v>468</v>
      </c>
      <c r="C14" s="39" t="s">
        <v>469</v>
      </c>
      <c r="D14" s="596" t="s">
        <v>478</v>
      </c>
      <c r="E14" s="45" t="s">
        <v>368</v>
      </c>
      <c r="F14" s="588" t="s">
        <v>479</v>
      </c>
    </row>
    <row r="16" spans="1:8" ht="18" x14ac:dyDescent="0.25">
      <c r="A16" s="788" t="s">
        <v>552</v>
      </c>
      <c r="B16" s="788"/>
      <c r="C16" s="788"/>
      <c r="D16" s="788"/>
      <c r="E16" s="788"/>
      <c r="F16" s="788"/>
    </row>
    <row r="17" spans="1:6" ht="13" x14ac:dyDescent="0.25">
      <c r="A17" s="626" t="s">
        <v>452</v>
      </c>
      <c r="B17" s="627"/>
      <c r="C17" s="627"/>
      <c r="D17" s="627"/>
      <c r="E17" s="627"/>
      <c r="F17" s="628"/>
    </row>
    <row r="18" spans="1:6" ht="26" x14ac:dyDescent="0.25">
      <c r="A18" s="40" t="s">
        <v>173</v>
      </c>
      <c r="B18" s="40" t="s">
        <v>9</v>
      </c>
      <c r="C18" s="40" t="s">
        <v>176</v>
      </c>
      <c r="D18" s="40" t="s">
        <v>177</v>
      </c>
      <c r="E18" s="40" t="s">
        <v>210</v>
      </c>
      <c r="F18" s="40" t="s">
        <v>460</v>
      </c>
    </row>
    <row r="19" spans="1:6" ht="62.5" x14ac:dyDescent="0.25">
      <c r="A19" s="39" t="s">
        <v>548</v>
      </c>
      <c r="B19" s="547" t="s">
        <v>73</v>
      </c>
      <c r="C19" s="547" t="s">
        <v>399</v>
      </c>
      <c r="D19" s="619">
        <v>40</v>
      </c>
      <c r="E19" s="42" t="s">
        <v>413</v>
      </c>
      <c r="F19" s="39" t="s">
        <v>550</v>
      </c>
    </row>
    <row r="21" spans="1:6" s="41" customFormat="1" ht="18" x14ac:dyDescent="0.25">
      <c r="A21" s="788" t="s">
        <v>463</v>
      </c>
      <c r="B21" s="788"/>
      <c r="C21" s="788"/>
      <c r="D21" s="788"/>
      <c r="E21" s="788"/>
      <c r="F21" s="788"/>
    </row>
    <row r="22" spans="1:6" s="1" customFormat="1" ht="13" x14ac:dyDescent="0.25">
      <c r="A22" s="44" t="s">
        <v>397</v>
      </c>
      <c r="B22" s="43"/>
      <c r="C22" s="43"/>
      <c r="D22" s="43"/>
      <c r="E22" s="43"/>
    </row>
    <row r="23" spans="1:6" ht="26" x14ac:dyDescent="0.25">
      <c r="A23" s="40" t="s">
        <v>173</v>
      </c>
      <c r="B23" s="40" t="s">
        <v>9</v>
      </c>
      <c r="C23" s="40" t="s">
        <v>176</v>
      </c>
      <c r="D23" s="40" t="s">
        <v>177</v>
      </c>
      <c r="E23" s="40" t="s">
        <v>210</v>
      </c>
      <c r="F23" s="40" t="s">
        <v>460</v>
      </c>
    </row>
    <row r="24" spans="1:6" ht="75" x14ac:dyDescent="0.25">
      <c r="A24" s="45" t="s">
        <v>409</v>
      </c>
      <c r="B24" s="597" t="s">
        <v>519</v>
      </c>
      <c r="C24" s="45" t="s">
        <v>515</v>
      </c>
      <c r="D24" s="558" t="s">
        <v>514</v>
      </c>
      <c r="E24" s="45" t="s">
        <v>516</v>
      </c>
      <c r="F24" s="598" t="s">
        <v>513</v>
      </c>
    </row>
  </sheetData>
  <mergeCells count="10">
    <mergeCell ref="A16:F16"/>
    <mergeCell ref="A21:F21"/>
    <mergeCell ref="A11:F11"/>
    <mergeCell ref="A2:H2"/>
    <mergeCell ref="D4:F4"/>
    <mergeCell ref="A5:A9"/>
    <mergeCell ref="B5:B9"/>
    <mergeCell ref="C5:C9"/>
    <mergeCell ref="G5:G9"/>
    <mergeCell ref="H5:H9"/>
  </mergeCells>
  <pageMargins left="0.7" right="0.7" top="0.75" bottom="0.75" header="0.3" footer="0.3"/>
  <pageSetup scale="7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rgb="FFF9FBBB"/>
  </sheetPr>
  <dimension ref="A1:I16"/>
  <sheetViews>
    <sheetView workbookViewId="0">
      <selection activeCell="V27" sqref="V27"/>
    </sheetView>
  </sheetViews>
  <sheetFormatPr defaultColWidth="9.1796875" defaultRowHeight="12.5" x14ac:dyDescent="0.25"/>
  <cols>
    <col min="1" max="1" width="27.54296875" style="3" customWidth="1"/>
    <col min="2" max="2" width="13.7265625" style="3" customWidth="1"/>
    <col min="3" max="3" width="14.7265625" style="3" customWidth="1"/>
    <col min="4" max="4" width="10.1796875" style="3" customWidth="1"/>
    <col min="5" max="6" width="13.54296875" style="3" customWidth="1"/>
    <col min="7" max="7" width="27.54296875" style="3" customWidth="1"/>
    <col min="8" max="8" width="28.26953125" style="3" customWidth="1"/>
    <col min="9" max="16384" width="9.1796875" style="3"/>
  </cols>
  <sheetData>
    <row r="1" spans="1:9" s="41" customFormat="1" ht="18" x14ac:dyDescent="0.25">
      <c r="A1" s="788" t="s">
        <v>450</v>
      </c>
      <c r="B1" s="788"/>
      <c r="C1" s="788"/>
      <c r="D1" s="788"/>
      <c r="E1" s="788"/>
      <c r="F1" s="788"/>
      <c r="G1" s="788"/>
      <c r="H1" s="788"/>
    </row>
    <row r="2" spans="1:9" s="1" customFormat="1" ht="13" x14ac:dyDescent="0.25">
      <c r="A2" s="44" t="s">
        <v>426</v>
      </c>
      <c r="B2" s="43"/>
      <c r="C2" s="43"/>
      <c r="D2" s="43"/>
      <c r="E2" s="43"/>
      <c r="F2" s="43"/>
      <c r="G2" s="43"/>
    </row>
    <row r="4" spans="1:9" ht="25.5" customHeight="1" x14ac:dyDescent="0.25">
      <c r="A4" s="40" t="s">
        <v>173</v>
      </c>
      <c r="B4" s="40" t="s">
        <v>9</v>
      </c>
      <c r="C4" s="40" t="s">
        <v>176</v>
      </c>
      <c r="D4" s="789" t="s">
        <v>177</v>
      </c>
      <c r="E4" s="789"/>
      <c r="F4" s="789"/>
      <c r="G4" s="40" t="s">
        <v>210</v>
      </c>
      <c r="H4" s="40" t="s">
        <v>460</v>
      </c>
    </row>
    <row r="5" spans="1:9" ht="13" x14ac:dyDescent="0.25">
      <c r="A5" s="790" t="s">
        <v>423</v>
      </c>
      <c r="B5" s="790" t="s">
        <v>424</v>
      </c>
      <c r="C5" s="791" t="s">
        <v>464</v>
      </c>
      <c r="D5" s="560"/>
      <c r="E5" s="562" t="s">
        <v>11</v>
      </c>
      <c r="F5" s="562" t="s">
        <v>425</v>
      </c>
      <c r="G5" s="794" t="s">
        <v>51</v>
      </c>
      <c r="H5" s="794"/>
      <c r="I5" s="578"/>
    </row>
    <row r="6" spans="1:9" x14ac:dyDescent="0.25">
      <c r="A6" s="790"/>
      <c r="B6" s="790"/>
      <c r="C6" s="792"/>
      <c r="D6" s="547" t="s">
        <v>459</v>
      </c>
      <c r="E6" s="563">
        <v>100</v>
      </c>
      <c r="F6" s="563">
        <v>200</v>
      </c>
      <c r="G6" s="794"/>
      <c r="H6" s="794"/>
      <c r="I6" s="579"/>
    </row>
    <row r="7" spans="1:9" x14ac:dyDescent="0.25">
      <c r="A7" s="790"/>
      <c r="B7" s="790"/>
      <c r="C7" s="792"/>
      <c r="D7" s="589">
        <v>40909</v>
      </c>
      <c r="E7" s="590">
        <v>120</v>
      </c>
      <c r="F7" s="590">
        <v>240</v>
      </c>
      <c r="G7" s="794"/>
      <c r="H7" s="794"/>
      <c r="I7" s="579"/>
    </row>
    <row r="8" spans="1:9" x14ac:dyDescent="0.25">
      <c r="A8" s="790"/>
      <c r="B8" s="790"/>
      <c r="C8" s="792"/>
      <c r="D8" s="561">
        <v>41275</v>
      </c>
      <c r="E8" s="563">
        <v>140</v>
      </c>
      <c r="F8" s="563">
        <v>280</v>
      </c>
      <c r="G8" s="794"/>
      <c r="H8" s="794"/>
      <c r="I8" s="579"/>
    </row>
    <row r="9" spans="1:9" x14ac:dyDescent="0.25">
      <c r="A9" s="790"/>
      <c r="B9" s="790"/>
      <c r="C9" s="793"/>
      <c r="D9" s="561">
        <v>41640</v>
      </c>
      <c r="E9" s="563">
        <v>150</v>
      </c>
      <c r="F9" s="563">
        <v>300</v>
      </c>
      <c r="G9" s="794"/>
      <c r="H9" s="794"/>
      <c r="I9" s="579"/>
    </row>
    <row r="12" spans="1:9" s="41" customFormat="1" ht="18" x14ac:dyDescent="0.25">
      <c r="A12" s="788" t="s">
        <v>451</v>
      </c>
      <c r="B12" s="788"/>
      <c r="C12" s="788"/>
      <c r="D12" s="788"/>
      <c r="E12" s="788"/>
      <c r="F12" s="788"/>
      <c r="G12" s="788"/>
      <c r="H12" s="788"/>
    </row>
    <row r="13" spans="1:9" s="1" customFormat="1" ht="13" x14ac:dyDescent="0.25">
      <c r="A13" s="44" t="s">
        <v>452</v>
      </c>
      <c r="B13" s="43"/>
      <c r="C13" s="43"/>
      <c r="D13" s="43"/>
      <c r="E13" s="43"/>
      <c r="F13" s="43"/>
      <c r="G13" s="43"/>
    </row>
    <row r="15" spans="1:9" ht="25.5" customHeight="1" x14ac:dyDescent="0.25">
      <c r="A15" s="40" t="s">
        <v>173</v>
      </c>
      <c r="B15" s="40" t="s">
        <v>9</v>
      </c>
      <c r="C15" s="40" t="s">
        <v>176</v>
      </c>
      <c r="D15" s="789" t="s">
        <v>177</v>
      </c>
      <c r="E15" s="789"/>
      <c r="F15" s="789"/>
      <c r="G15" s="40" t="s">
        <v>210</v>
      </c>
      <c r="H15" s="40" t="s">
        <v>460</v>
      </c>
    </row>
    <row r="16" spans="1:9" ht="37.5" x14ac:dyDescent="0.25">
      <c r="A16" s="39" t="s">
        <v>457</v>
      </c>
      <c r="B16" s="39" t="s">
        <v>34</v>
      </c>
      <c r="C16" s="39" t="s">
        <v>483</v>
      </c>
      <c r="D16" s="795" t="s">
        <v>482</v>
      </c>
      <c r="E16" s="796"/>
      <c r="F16" s="797"/>
      <c r="G16" s="565" t="s">
        <v>458</v>
      </c>
      <c r="H16" s="588" t="s">
        <v>484</v>
      </c>
    </row>
  </sheetData>
  <mergeCells count="10">
    <mergeCell ref="H5:H9"/>
    <mergeCell ref="A1:H1"/>
    <mergeCell ref="A12:H12"/>
    <mergeCell ref="D16:F16"/>
    <mergeCell ref="D15:F15"/>
    <mergeCell ref="D4:F4"/>
    <mergeCell ref="A5:A9"/>
    <mergeCell ref="B5:B9"/>
    <mergeCell ref="C5:C9"/>
    <mergeCell ref="G5:G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tabColor rgb="FFF9FBBB"/>
  </sheetPr>
  <dimension ref="A1:G16"/>
  <sheetViews>
    <sheetView workbookViewId="0">
      <selection activeCell="V27" sqref="V27"/>
    </sheetView>
  </sheetViews>
  <sheetFormatPr defaultColWidth="9.1796875" defaultRowHeight="12.5" x14ac:dyDescent="0.25"/>
  <cols>
    <col min="1" max="1" width="27.54296875" style="3" customWidth="1"/>
    <col min="2" max="2" width="13.7265625" style="3" customWidth="1"/>
    <col min="3" max="3" width="14.7265625" style="3" customWidth="1"/>
    <col min="4" max="4" width="16.1796875" style="3" customWidth="1"/>
    <col min="5" max="5" width="45.81640625" style="3" customWidth="1"/>
    <col min="6" max="6" width="18.54296875" style="3" bestFit="1" customWidth="1"/>
    <col min="7" max="16384" width="9.1796875" style="3"/>
  </cols>
  <sheetData>
    <row r="1" spans="1:7" ht="18" x14ac:dyDescent="0.25">
      <c r="A1" s="41" t="s">
        <v>462</v>
      </c>
      <c r="B1" s="41"/>
      <c r="C1" s="41"/>
      <c r="D1" s="41"/>
      <c r="E1" s="41"/>
      <c r="F1" s="41"/>
      <c r="G1" s="41"/>
    </row>
    <row r="2" spans="1:7" ht="26" x14ac:dyDescent="0.25">
      <c r="A2" s="44" t="s">
        <v>359</v>
      </c>
      <c r="B2" s="43"/>
      <c r="C2" s="43"/>
      <c r="D2" s="43"/>
      <c r="E2" s="43"/>
      <c r="F2" s="1"/>
      <c r="G2" s="1"/>
    </row>
    <row r="4" spans="1:7" ht="26" x14ac:dyDescent="0.25">
      <c r="A4" s="40" t="s">
        <v>173</v>
      </c>
      <c r="B4" s="40" t="s">
        <v>9</v>
      </c>
      <c r="C4" s="40" t="s">
        <v>176</v>
      </c>
      <c r="D4" s="40" t="s">
        <v>177</v>
      </c>
      <c r="E4" s="40" t="s">
        <v>210</v>
      </c>
      <c r="F4" s="40" t="s">
        <v>460</v>
      </c>
    </row>
    <row r="5" spans="1:7" ht="75" x14ac:dyDescent="0.25">
      <c r="A5" s="45" t="s">
        <v>356</v>
      </c>
      <c r="B5" s="45" t="s">
        <v>357</v>
      </c>
      <c r="C5" s="45" t="s">
        <v>415</v>
      </c>
      <c r="D5" s="445">
        <v>4</v>
      </c>
      <c r="E5" s="45" t="s">
        <v>358</v>
      </c>
      <c r="F5" s="618" t="s">
        <v>371</v>
      </c>
    </row>
    <row r="7" spans="1:7" s="41" customFormat="1" ht="18" x14ac:dyDescent="0.25">
      <c r="A7" s="788" t="s">
        <v>463</v>
      </c>
      <c r="B7" s="788"/>
      <c r="C7" s="788"/>
      <c r="D7" s="788"/>
      <c r="E7" s="788"/>
      <c r="F7" s="788"/>
    </row>
    <row r="8" spans="1:7" s="1" customFormat="1" ht="13" x14ac:dyDescent="0.25">
      <c r="A8" s="44" t="s">
        <v>397</v>
      </c>
      <c r="B8" s="43"/>
      <c r="C8" s="43"/>
      <c r="D8" s="43"/>
      <c r="E8" s="43"/>
    </row>
    <row r="10" spans="1:7" ht="26" x14ac:dyDescent="0.25">
      <c r="A10" s="40" t="s">
        <v>173</v>
      </c>
      <c r="B10" s="40" t="s">
        <v>9</v>
      </c>
      <c r="C10" s="40" t="s">
        <v>176</v>
      </c>
      <c r="D10" s="40" t="s">
        <v>177</v>
      </c>
      <c r="E10" s="40" t="s">
        <v>210</v>
      </c>
      <c r="F10" s="40" t="s">
        <v>460</v>
      </c>
    </row>
    <row r="11" spans="1:7" ht="62.5" x14ac:dyDescent="0.25">
      <c r="A11" s="45" t="s">
        <v>409</v>
      </c>
      <c r="B11" s="559" t="s">
        <v>418</v>
      </c>
      <c r="C11" s="42" t="s">
        <v>187</v>
      </c>
      <c r="D11" s="558" t="s">
        <v>405</v>
      </c>
      <c r="E11" s="45" t="s">
        <v>406</v>
      </c>
      <c r="F11" s="526" t="s">
        <v>403</v>
      </c>
    </row>
    <row r="12" spans="1:7" ht="50" x14ac:dyDescent="0.25">
      <c r="A12" s="45" t="s">
        <v>410</v>
      </c>
      <c r="B12" s="557" t="s">
        <v>404</v>
      </c>
      <c r="C12" s="42" t="s">
        <v>187</v>
      </c>
      <c r="D12" s="558" t="s">
        <v>549</v>
      </c>
      <c r="E12" s="45" t="s">
        <v>407</v>
      </c>
      <c r="F12" s="526" t="s">
        <v>408</v>
      </c>
    </row>
    <row r="13" spans="1:7" x14ac:dyDescent="0.25">
      <c r="A13" s="38"/>
      <c r="B13" s="38"/>
      <c r="C13" s="38"/>
      <c r="D13" s="38"/>
      <c r="E13" s="38"/>
      <c r="F13" s="43"/>
    </row>
    <row r="14" spans="1:7" ht="18" x14ac:dyDescent="0.25">
      <c r="A14" s="798" t="s">
        <v>461</v>
      </c>
      <c r="B14" s="798"/>
      <c r="C14" s="798"/>
      <c r="D14" s="798"/>
      <c r="E14" s="798"/>
      <c r="F14" s="798"/>
    </row>
    <row r="15" spans="1:7" ht="26" x14ac:dyDescent="0.25">
      <c r="A15" s="40" t="s">
        <v>173</v>
      </c>
      <c r="B15" s="40" t="s">
        <v>9</v>
      </c>
      <c r="C15" s="40" t="s">
        <v>176</v>
      </c>
      <c r="D15" s="40" t="s">
        <v>177</v>
      </c>
      <c r="E15" s="40" t="s">
        <v>210</v>
      </c>
      <c r="F15" s="40" t="s">
        <v>460</v>
      </c>
    </row>
    <row r="16" spans="1:7" ht="75" x14ac:dyDescent="0.25">
      <c r="A16" s="39" t="s">
        <v>417</v>
      </c>
      <c r="B16" s="547" t="s">
        <v>73</v>
      </c>
      <c r="C16" s="547" t="s">
        <v>399</v>
      </c>
      <c r="D16" s="45" t="s">
        <v>416</v>
      </c>
      <c r="E16" s="42" t="s">
        <v>413</v>
      </c>
      <c r="F16" s="39" t="s">
        <v>400</v>
      </c>
    </row>
  </sheetData>
  <mergeCells count="2">
    <mergeCell ref="A7:F7"/>
    <mergeCell ref="A14:F1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9FBBB"/>
  </sheetPr>
  <dimension ref="A1:F20"/>
  <sheetViews>
    <sheetView topLeftCell="A12" workbookViewId="0">
      <selection activeCell="V27" sqref="V27"/>
    </sheetView>
  </sheetViews>
  <sheetFormatPr defaultColWidth="9.1796875" defaultRowHeight="12.5" x14ac:dyDescent="0.25"/>
  <cols>
    <col min="1" max="1" width="27.54296875" style="3" customWidth="1"/>
    <col min="2" max="2" width="11.7265625" style="3" customWidth="1"/>
    <col min="3" max="3" width="14.7265625" style="3" customWidth="1"/>
    <col min="4" max="4" width="20.54296875" style="3" customWidth="1"/>
    <col min="5" max="5" width="45.81640625" style="3" customWidth="1"/>
    <col min="6" max="6" width="18.54296875" style="3" bestFit="1" customWidth="1"/>
    <col min="7" max="16384" width="9.1796875" style="3"/>
  </cols>
  <sheetData>
    <row r="1" spans="1:6" s="41" customFormat="1" ht="18" x14ac:dyDescent="0.25">
      <c r="A1" s="41" t="s">
        <v>365</v>
      </c>
    </row>
    <row r="2" spans="1:6" s="1" customFormat="1" ht="26" x14ac:dyDescent="0.25">
      <c r="A2" s="44" t="s">
        <v>366</v>
      </c>
      <c r="B2" s="43"/>
      <c r="C2" s="43"/>
      <c r="D2" s="43"/>
      <c r="E2" s="43"/>
    </row>
    <row r="4" spans="1:6" ht="26" x14ac:dyDescent="0.25">
      <c r="A4" s="40" t="s">
        <v>173</v>
      </c>
      <c r="B4" s="40" t="s">
        <v>9</v>
      </c>
      <c r="C4" s="40" t="s">
        <v>176</v>
      </c>
      <c r="D4" s="40" t="s">
        <v>177</v>
      </c>
      <c r="E4" s="40" t="s">
        <v>210</v>
      </c>
    </row>
    <row r="5" spans="1:6" ht="38.5" x14ac:dyDescent="0.25">
      <c r="A5" s="42" t="s">
        <v>362</v>
      </c>
      <c r="B5" s="42" t="s">
        <v>363</v>
      </c>
      <c r="C5" s="42" t="s">
        <v>193</v>
      </c>
      <c r="D5" s="448" t="s">
        <v>367</v>
      </c>
      <c r="E5" s="45" t="s">
        <v>368</v>
      </c>
      <c r="F5" s="39" t="s">
        <v>364</v>
      </c>
    </row>
    <row r="6" spans="1:6" x14ac:dyDescent="0.25">
      <c r="A6" s="38"/>
      <c r="B6" s="38"/>
      <c r="C6" s="38"/>
      <c r="D6" s="38"/>
      <c r="E6" s="38"/>
      <c r="F6" s="43"/>
    </row>
    <row r="7" spans="1:6" s="41" customFormat="1" ht="18" x14ac:dyDescent="0.25">
      <c r="A7" s="41" t="s">
        <v>208</v>
      </c>
    </row>
    <row r="8" spans="1:6" x14ac:dyDescent="0.25">
      <c r="A8" s="38" t="s">
        <v>190</v>
      </c>
    </row>
    <row r="9" spans="1:6" x14ac:dyDescent="0.25">
      <c r="A9" s="38"/>
    </row>
    <row r="10" spans="1:6" s="2" customFormat="1" ht="26" x14ac:dyDescent="0.25">
      <c r="A10" s="40" t="s">
        <v>173</v>
      </c>
      <c r="B10" s="40" t="s">
        <v>9</v>
      </c>
      <c r="C10" s="40" t="s">
        <v>176</v>
      </c>
      <c r="D10" s="40" t="s">
        <v>177</v>
      </c>
      <c r="E10" s="40" t="s">
        <v>210</v>
      </c>
    </row>
    <row r="11" spans="1:6" s="1" customFormat="1" ht="62.5" x14ac:dyDescent="0.25">
      <c r="A11" s="39" t="s">
        <v>209</v>
      </c>
      <c r="B11" s="39" t="s">
        <v>34</v>
      </c>
      <c r="C11" s="39" t="s">
        <v>305</v>
      </c>
      <c r="D11" s="39" t="s">
        <v>411</v>
      </c>
      <c r="E11" s="39" t="s">
        <v>211</v>
      </c>
    </row>
    <row r="13" spans="1:6" s="41" customFormat="1" ht="18" x14ac:dyDescent="0.25">
      <c r="A13" s="41" t="s">
        <v>353</v>
      </c>
    </row>
    <row r="14" spans="1:6" s="1" customFormat="1" ht="26" x14ac:dyDescent="0.25">
      <c r="A14" s="44" t="s">
        <v>360</v>
      </c>
      <c r="B14" s="43"/>
      <c r="C14" s="43"/>
      <c r="D14" s="43"/>
      <c r="E14" s="43"/>
    </row>
    <row r="16" spans="1:6" ht="26" x14ac:dyDescent="0.25">
      <c r="A16" s="40" t="s">
        <v>173</v>
      </c>
      <c r="B16" s="40" t="s">
        <v>9</v>
      </c>
      <c r="C16" s="40" t="s">
        <v>176</v>
      </c>
      <c r="D16" s="40" t="s">
        <v>177</v>
      </c>
      <c r="E16" s="40" t="s">
        <v>210</v>
      </c>
    </row>
    <row r="17" spans="1:6" ht="37.5" x14ac:dyDescent="0.25">
      <c r="A17" s="42" t="s">
        <v>38</v>
      </c>
      <c r="B17" s="42" t="s">
        <v>73</v>
      </c>
      <c r="C17" s="45" t="s">
        <v>414</v>
      </c>
      <c r="D17" s="45" t="s">
        <v>412</v>
      </c>
      <c r="E17" s="42" t="s">
        <v>413</v>
      </c>
      <c r="F17" s="39" t="s">
        <v>354</v>
      </c>
    </row>
    <row r="19" spans="1:6" s="41" customFormat="1" ht="18" x14ac:dyDescent="0.25"/>
    <row r="20" spans="1:6" s="1" customFormat="1" x14ac:dyDescent="0.25"/>
  </sheetData>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BC7D717CF4734A8BB097551CE36F40" ma:contentTypeVersion="8" ma:contentTypeDescription="Create a new document." ma:contentTypeScope="" ma:versionID="5bdaada63704c8d630050b1bdb6344d0">
  <xsd:schema xmlns:xsd="http://www.w3.org/2001/XMLSchema" xmlns:xs="http://www.w3.org/2001/XMLSchema" xmlns:p="http://schemas.microsoft.com/office/2006/metadata/properties" xmlns:ns2="26a111e7-01ef-4277-aff3-031a0c1aaa2c" targetNamespace="http://schemas.microsoft.com/office/2006/metadata/properties" ma:root="true" ma:fieldsID="a3797a6db0366767b251eb2a1178235c" ns2:_="">
    <xsd:import namespace="26a111e7-01ef-4277-aff3-031a0c1aaa2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a111e7-01ef-4277-aff3-031a0c1aaa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856F061-0CEB-4DC8-A1A3-8893E6BE6EC4}"/>
</file>

<file path=customXml/itemProps2.xml><?xml version="1.0" encoding="utf-8"?>
<ds:datastoreItem xmlns:ds="http://schemas.openxmlformats.org/officeDocument/2006/customXml" ds:itemID="{683FF493-4D66-49C9-A8E2-1CEA8756075D}"/>
</file>

<file path=customXml/itemProps3.xml><?xml version="1.0" encoding="utf-8"?>
<ds:datastoreItem xmlns:ds="http://schemas.openxmlformats.org/officeDocument/2006/customXml" ds:itemID="{BFFB8DA4-1DE9-416F-A90C-813BC289C7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27</vt:i4>
      </vt:variant>
    </vt:vector>
  </HeadingPairs>
  <TitlesOfParts>
    <vt:vector size="62" baseType="lpstr">
      <vt:lpstr>Drop-Down List</vt:lpstr>
      <vt:lpstr>2009 UPDATE</vt:lpstr>
      <vt:lpstr>Cover Page</vt:lpstr>
      <vt:lpstr>Worksheets Included</vt:lpstr>
      <vt:lpstr>2014 UPDATE</vt:lpstr>
      <vt:lpstr>2013 UPDATE</vt:lpstr>
      <vt:lpstr>2012 UPDATE</vt:lpstr>
      <vt:lpstr>2011 UPDATE</vt:lpstr>
      <vt:lpstr>2010 UPDATE</vt:lpstr>
      <vt:lpstr>Local Penalties</vt:lpstr>
      <vt:lpstr>Speeding BF</vt:lpstr>
      <vt:lpstr> Speeding TVS</vt:lpstr>
      <vt:lpstr>TEST SUMMARY</vt:lpstr>
      <vt:lpstr>Sheet1</vt:lpstr>
      <vt:lpstr>Section</vt:lpstr>
      <vt:lpstr>Acct Mapping</vt:lpstr>
      <vt:lpstr>Pmt Plan Tmpl</vt:lpstr>
      <vt:lpstr>1-DUI (ALT)</vt:lpstr>
      <vt:lpstr>1-DUI (Reduce Base)</vt:lpstr>
      <vt:lpstr>3-RD (Reduce Base)</vt:lpstr>
      <vt:lpstr>4-RRBF</vt:lpstr>
      <vt:lpstr>5-RRTS (BF &amp; No 2%)</vt:lpstr>
      <vt:lpstr>Sheet2</vt:lpstr>
      <vt:lpstr>7-RLTS</vt:lpstr>
      <vt:lpstr>8-RLBF (No 30%)</vt:lpstr>
      <vt:lpstr>9-SpBF</vt:lpstr>
      <vt:lpstr>11-CSBF</vt:lpstr>
      <vt:lpstr>12-CSTS (BF &amp; 2%)</vt:lpstr>
      <vt:lpstr>13-UC</vt:lpstr>
      <vt:lpstr>14-POC</vt:lpstr>
      <vt:lpstr>15-POI (Base Reduce)</vt:lpstr>
      <vt:lpstr>16-DV</vt:lpstr>
      <vt:lpstr>17-HS (Enhance Base)</vt:lpstr>
      <vt:lpstr>18-HS (Enh-Red Base)</vt:lpstr>
      <vt:lpstr>19-FG</vt:lpstr>
      <vt:lpstr>Counties</vt:lpstr>
      <vt:lpstr>Court_Name</vt:lpstr>
      <vt:lpstr>Distribution_Method</vt:lpstr>
      <vt:lpstr>' Speeding TVS'!Print_Area</vt:lpstr>
      <vt:lpstr>'11-CSBF'!Print_Area</vt:lpstr>
      <vt:lpstr>'12-CSTS (BF &amp; 2%)'!Print_Area</vt:lpstr>
      <vt:lpstr>'13-UC'!Print_Area</vt:lpstr>
      <vt:lpstr>'14-POC'!Print_Area</vt:lpstr>
      <vt:lpstr>'15-POI (Base Reduce)'!Print_Area</vt:lpstr>
      <vt:lpstr>'16-DV'!Print_Area</vt:lpstr>
      <vt:lpstr>'17-HS (Enhance Base)'!Print_Area</vt:lpstr>
      <vt:lpstr>'18-HS (Enh-Red Base)'!Print_Area</vt:lpstr>
      <vt:lpstr>'19-FG'!Print_Area</vt:lpstr>
      <vt:lpstr>'1-DUI (Reduce Base)'!Print_Area</vt:lpstr>
      <vt:lpstr>'3-RD (Reduce Base)'!Print_Area</vt:lpstr>
      <vt:lpstr>'4-RRBF'!Print_Area</vt:lpstr>
      <vt:lpstr>'5-RRTS (BF &amp; No 2%)'!Print_Area</vt:lpstr>
      <vt:lpstr>'7-RLTS'!Print_Area</vt:lpstr>
      <vt:lpstr>'8-RLBF (No 30%)'!Print_Area</vt:lpstr>
      <vt:lpstr>'9-SpBF'!Print_Area</vt:lpstr>
      <vt:lpstr>'Cover Page'!Print_Area</vt:lpstr>
      <vt:lpstr>'Local Penalties'!Print_Area</vt:lpstr>
      <vt:lpstr>'TEST SUMMARY'!Print_Area</vt:lpstr>
      <vt:lpstr>'Worksheets Included'!Print_Area</vt:lpstr>
      <vt:lpstr>Yes_No</vt:lpstr>
      <vt:lpstr>Yes_No_NA</vt:lpstr>
      <vt:lpstr>Yes_No_NA_City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Mendoza, Ryan;Cabral, Robert</dc:creator>
  <cp:lastModifiedBy>Lira, Maria</cp:lastModifiedBy>
  <cp:lastPrinted>2020-03-12T19:25:43Z</cp:lastPrinted>
  <dcterms:created xsi:type="dcterms:W3CDTF">2007-12-13T20:20:54Z</dcterms:created>
  <dcterms:modified xsi:type="dcterms:W3CDTF">2026-03-10T20:31:15Z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0x01010063BC7D717CF4734A8BB097551CE36F40</vt:lpwstr>
  </property>
</Properties>
</file>