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dget Services\Training Documents and Procedures\Revenue Distribution Training\Revenue Distribution - May 2024\Session A\"/>
    </mc:Choice>
  </mc:AlternateContent>
  <xr:revisionPtr revIDLastSave="0" documentId="8_{D1EE7394-F2AC-4369-A6BF-7A1FC66AFBE2}" xr6:coauthVersionLast="47" xr6:coauthVersionMax="47" xr10:uidLastSave="{00000000-0000-0000-0000-000000000000}"/>
  <bookViews>
    <workbookView xWindow="-110" yWindow="-110" windowWidth="18590" windowHeight="10420" tabRatio="803" firstSheet="10" activeTab="13" xr2:uid="{00000000-000D-0000-FFFF-FFFF00000000}"/>
  </bookViews>
  <sheets>
    <sheet name="Drop-Down List" sheetId="85" state="hidden" r:id="rId1"/>
    <sheet name="2009 UPDATE" sheetId="83" state="hidden" r:id="rId2"/>
    <sheet name="Local Penalties" sheetId="166" r:id="rId3"/>
    <sheet name="Sheet1" sheetId="82" state="hidden" r:id="rId4"/>
    <sheet name="Section" sheetId="42" state="hidden" r:id="rId5"/>
    <sheet name="Acct Mapping" sheetId="50" state="hidden" r:id="rId6"/>
    <sheet name="Pmt Plan Tmpl" sheetId="73" state="hidden" r:id="rId7"/>
    <sheet name="1-DUI (ALT)" sheetId="52" state="hidden" r:id="rId8"/>
    <sheet name="Case Study #1" sheetId="175" r:id="rId9"/>
    <sheet name="Case Study #1.2 Speeding+prior" sheetId="176" r:id="rId10"/>
    <sheet name="Case Study #2 - Speeding TVS" sheetId="178" r:id="rId11"/>
    <sheet name="CaseStudy #3 Multiple Violation" sheetId="184" r:id="rId12"/>
    <sheet name="Case Study #4 - Health &amp; Safety" sheetId="181" r:id="rId13"/>
    <sheet name="Top Down" sheetId="183" r:id="rId14"/>
  </sheets>
  <externalReferences>
    <externalReference r:id="rId15"/>
    <externalReference r:id="rId16"/>
  </externalReferences>
  <definedNames>
    <definedName name="Answer" localSheetId="8">#REF!</definedName>
    <definedName name="Answer" localSheetId="9">#REF!</definedName>
    <definedName name="Answer" localSheetId="11">#REF!</definedName>
    <definedName name="Answer" localSheetId="13">#REF!</definedName>
    <definedName name="Answer">#REF!</definedName>
    <definedName name="Counties" localSheetId="8">'[1]Local Penalties'!$A$14:$A$71</definedName>
    <definedName name="Counties" localSheetId="9">'[1]Local Penalties'!$A$14:$A$71</definedName>
    <definedName name="Counties" localSheetId="10">'[1]Local Penalties'!$A$14:$A$71</definedName>
    <definedName name="Counties" localSheetId="12">'[1]Local Penalties'!$A$14:$A$71</definedName>
    <definedName name="Counties" localSheetId="11">'[1]Local Penalties'!$A$14:$A$71</definedName>
    <definedName name="Counties" localSheetId="13">'[1]Local Penalties'!$A$14:$A$71</definedName>
    <definedName name="Counties">'Local Penalties'!$A$12:$A$69</definedName>
    <definedName name="County" localSheetId="8">#REF!</definedName>
    <definedName name="County" localSheetId="9">#REF!</definedName>
    <definedName name="County" localSheetId="11">#REF!</definedName>
    <definedName name="County" localSheetId="13">#REF!</definedName>
    <definedName name="County">#REF!</definedName>
    <definedName name="County_Name">#REF!</definedName>
    <definedName name="Court_Name" localSheetId="8">#REF!</definedName>
    <definedName name="Court_Name" localSheetId="9">#REF!</definedName>
    <definedName name="Court_Name" localSheetId="10">#REF!</definedName>
    <definedName name="Court_Name" localSheetId="12">#REF!</definedName>
    <definedName name="Court_Name" localSheetId="11">#REF!</definedName>
    <definedName name="Court_Name" localSheetId="13">#REF!</definedName>
    <definedName name="Court_Name">Sheet1!$D$1:$D$59</definedName>
    <definedName name="dbo_Fund" localSheetId="8">#REF!</definedName>
    <definedName name="dbo_Fund" localSheetId="9">#REF!</definedName>
    <definedName name="dbo_Fund" localSheetId="10">#REF!</definedName>
    <definedName name="dbo_Fund" localSheetId="12">#REF!</definedName>
    <definedName name="dbo_Fund" localSheetId="11">#REF!</definedName>
    <definedName name="dbo_Fund" localSheetId="13">#REF!</definedName>
    <definedName name="dbo_Fund">#REF!</definedName>
    <definedName name="Distribution_Method" localSheetId="8">'[1]Drop-Down List'!$A$1:$A$3</definedName>
    <definedName name="Distribution_Method" localSheetId="9">'[1]Drop-Down List'!$A$1:$A$3</definedName>
    <definedName name="Distribution_Method" localSheetId="10">'[1]Drop-Down List'!$A$1:$A$3</definedName>
    <definedName name="Distribution_Method" localSheetId="12">'[1]Drop-Down List'!$A$1:$A$3</definedName>
    <definedName name="Distribution_Method" localSheetId="11">'[1]Drop-Down List'!$A$1:$A$3</definedName>
    <definedName name="Distribution_Method" localSheetId="13">'[1]Drop-Down List'!$A$1:$A$3</definedName>
    <definedName name="Distribution_Method">'Drop-Down List'!$A$1:$A$2</definedName>
    <definedName name="H_S">'[2]Drop-Down List'!$A$12:$A$13</definedName>
    <definedName name="Hdfljh">#REF!</definedName>
    <definedName name="health">'[2]Drop-Down List'!$A$12:$A$13</definedName>
    <definedName name="HS">#REF!</definedName>
    <definedName name="_xlnm.Print_Area" localSheetId="7">'1-DUI (ALT)'!$A$1:$S$49</definedName>
    <definedName name="_xlnm.Print_Area" localSheetId="8">'Case Study #1'!$A$1:$W$39</definedName>
    <definedName name="_xlnm.Print_Area" localSheetId="9">'Case Study #1.2 Speeding+prior'!$A$1:$W$39</definedName>
    <definedName name="_xlnm.Print_Area" localSheetId="10">'Case Study #2 - Speeding TVS'!$A$1:$V$47</definedName>
    <definedName name="_xlnm.Print_Area" localSheetId="12">'Case Study #4 - Health &amp; Safety'!$A$1:$X$40</definedName>
    <definedName name="_xlnm.Print_Area" localSheetId="11">'CaseStudy #3 Multiple Violation'!$A$1:$W$39</definedName>
    <definedName name="_xlnm.Print_Area" localSheetId="13">'Top Down'!$A$1:$W$39</definedName>
    <definedName name="s1.2">#REF!</definedName>
    <definedName name="Yes_No" localSheetId="8">'[1]Drop-Down List'!$A$13:$A$14</definedName>
    <definedName name="Yes_No" localSheetId="9">'[1]Drop-Down List'!$A$13:$A$14</definedName>
    <definedName name="Yes_No" localSheetId="10">'[1]Drop-Down List'!$A$13:$A$14</definedName>
    <definedName name="Yes_No" localSheetId="12">'[1]Drop-Down List'!$A$13:$A$14</definedName>
    <definedName name="Yes_No" localSheetId="11">'[1]Drop-Down List'!$A$13:$A$14</definedName>
    <definedName name="Yes_No" localSheetId="13">'[1]Drop-Down List'!$A$13:$A$14</definedName>
    <definedName name="Yes_No">'Drop-Down List'!$A$12:$A$13</definedName>
    <definedName name="Yes_No_NA" localSheetId="8">'[1]Drop-Down List'!$A$5:$A$7</definedName>
    <definedName name="Yes_No_NA" localSheetId="9">'[1]Drop-Down List'!$A$5:$A$7</definedName>
    <definedName name="Yes_No_NA" localSheetId="10">'[1]Drop-Down List'!$A$5:$A$7</definedName>
    <definedName name="Yes_No_NA" localSheetId="12">'[1]Drop-Down List'!$A$5:$A$7</definedName>
    <definedName name="Yes_No_NA" localSheetId="11">'[1]Drop-Down List'!$A$5:$A$7</definedName>
    <definedName name="Yes_No_NA" localSheetId="13">'[1]Drop-Down List'!$A$5:$A$7</definedName>
    <definedName name="Yes_No_NA">'Drop-Down List'!$A$4:$A$6</definedName>
    <definedName name="Yes_No_NA_City" localSheetId="8">'[1]Drop-Down List'!$A$9:$A$11</definedName>
    <definedName name="Yes_No_NA_City" localSheetId="9">'[1]Drop-Down List'!$A$9:$A$11</definedName>
    <definedName name="Yes_No_NA_City" localSheetId="10">'[1]Drop-Down List'!$A$9:$A$11</definedName>
    <definedName name="Yes_No_NA_City" localSheetId="12">'[1]Drop-Down List'!$A$9:$A$11</definedName>
    <definedName name="Yes_No_NA_City" localSheetId="11">'[1]Drop-Down List'!$A$9:$A$11</definedName>
    <definedName name="Yes_No_NA_City" localSheetId="13">'[1]Drop-Down List'!$A$9:$A$11</definedName>
    <definedName name="Yes_No_NA_City">'Drop-Down List'!$A$8:$A$10</definedName>
    <definedName name="Z_07F1F502_9FC7_4878_A746_52E1655BD4FA_.wvu.Cols" localSheetId="7" hidden="1">'1-DUI (ALT)'!#REF!,'1-DUI (ALT)'!#REF!</definedName>
    <definedName name="Z_07F1F502_9FC7_4878_A746_52E1655BD4FA_.wvu.Cols" localSheetId="8" hidden="1">'Case Study #1'!#REF!,'Case Study #1'!#REF!</definedName>
    <definedName name="Z_07F1F502_9FC7_4878_A746_52E1655BD4FA_.wvu.Cols" localSheetId="9" hidden="1">'Case Study #1.2 Speeding+prior'!#REF!,'Case Study #1.2 Speeding+prior'!#REF!</definedName>
    <definedName name="Z_07F1F502_9FC7_4878_A746_52E1655BD4FA_.wvu.Cols" localSheetId="10" hidden="1">'Case Study #2 - Speeding TVS'!#REF!,'Case Study #2 - Speeding TVS'!#REF!</definedName>
    <definedName name="Z_07F1F502_9FC7_4878_A746_52E1655BD4FA_.wvu.Cols" localSheetId="12" hidden="1">'Case Study #4 - Health &amp; Safety'!#REF!,'Case Study #4 - Health &amp; Safety'!#REF!</definedName>
    <definedName name="Z_07F1F502_9FC7_4878_A746_52E1655BD4FA_.wvu.Cols" localSheetId="11" hidden="1">'CaseStudy #3 Multiple Violation'!#REF!,'CaseStudy #3 Multiple Violation'!#REF!</definedName>
    <definedName name="Z_07F1F502_9FC7_4878_A746_52E1655BD4FA_.wvu.Cols" localSheetId="13" hidden="1">'Top Down'!#REF!,'Top Down'!#REF!</definedName>
  </definedNames>
  <calcPr calcId="191029" iterate="1"/>
  <customWorkbookViews>
    <customWorkbookView name="Ryan" guid="{07F1F502-9FC7-4878-A746-52E1655BD4FA}" maximized="1" windowWidth="1072" windowHeight="852" tabRatio="973" activeSheetId="76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8" i="184" l="1"/>
  <c r="V35" i="184"/>
  <c r="U35" i="184"/>
  <c r="R35" i="184"/>
  <c r="Q35" i="184"/>
  <c r="J35" i="184"/>
  <c r="K35" i="184" s="1"/>
  <c r="V34" i="184"/>
  <c r="U34" i="184"/>
  <c r="R34" i="184"/>
  <c r="Q34" i="184"/>
  <c r="K34" i="184"/>
  <c r="Z8" i="184" s="1"/>
  <c r="J34" i="184"/>
  <c r="V33" i="184"/>
  <c r="U33" i="184"/>
  <c r="R33" i="184"/>
  <c r="Q33" i="184"/>
  <c r="S33" i="184" s="1"/>
  <c r="J33" i="184"/>
  <c r="K33" i="184" s="1"/>
  <c r="V32" i="184"/>
  <c r="U32" i="184"/>
  <c r="R32" i="184"/>
  <c r="Q32" i="184"/>
  <c r="J32" i="184"/>
  <c r="K32" i="184" s="1"/>
  <c r="U31" i="184"/>
  <c r="Q31" i="184"/>
  <c r="O31" i="184"/>
  <c r="V30" i="184"/>
  <c r="U30" i="184"/>
  <c r="R30" i="184"/>
  <c r="Q30" i="184"/>
  <c r="J30" i="184"/>
  <c r="U29" i="184"/>
  <c r="V29" i="184" s="1"/>
  <c r="W29" i="184" s="1"/>
  <c r="Y29" i="184" s="1"/>
  <c r="Q29" i="184"/>
  <c r="R29" i="184" s="1"/>
  <c r="U28" i="184"/>
  <c r="V28" i="184" s="1"/>
  <c r="W28" i="184" s="1"/>
  <c r="Y28" i="184" s="1"/>
  <c r="Q28" i="184"/>
  <c r="U27" i="184"/>
  <c r="V27" i="184" s="1"/>
  <c r="W27" i="184" s="1"/>
  <c r="Y27" i="184" s="1"/>
  <c r="Q27" i="184"/>
  <c r="R27" i="184" s="1"/>
  <c r="S27" i="184" s="1"/>
  <c r="U26" i="184"/>
  <c r="V26" i="184" s="1"/>
  <c r="Q26" i="184"/>
  <c r="U25" i="184"/>
  <c r="V25" i="184" s="1"/>
  <c r="W25" i="184" s="1"/>
  <c r="Y25" i="184" s="1"/>
  <c r="Q25" i="184"/>
  <c r="R25" i="184" s="1"/>
  <c r="U24" i="184"/>
  <c r="Q24" i="184"/>
  <c r="V23" i="184"/>
  <c r="W23" i="184" s="1"/>
  <c r="Y23" i="184" s="1"/>
  <c r="U23" i="184"/>
  <c r="Q23" i="184"/>
  <c r="R23" i="184" s="1"/>
  <c r="S23" i="184" s="1"/>
  <c r="U22" i="184"/>
  <c r="V22" i="184" s="1"/>
  <c r="W22" i="184" s="1"/>
  <c r="Y22" i="184" s="1"/>
  <c r="Q22" i="184"/>
  <c r="U21" i="184"/>
  <c r="V21" i="184" s="1"/>
  <c r="W21" i="184" s="1"/>
  <c r="Y21" i="184" s="1"/>
  <c r="Q21" i="184"/>
  <c r="U20" i="184"/>
  <c r="V20" i="184" s="1"/>
  <c r="Q20" i="184"/>
  <c r="U19" i="184"/>
  <c r="Q19" i="184"/>
  <c r="R19" i="184" s="1"/>
  <c r="S19" i="184" s="1"/>
  <c r="U18" i="184"/>
  <c r="V18" i="184" s="1"/>
  <c r="W18" i="184" s="1"/>
  <c r="Q18" i="184"/>
  <c r="R18" i="184" s="1"/>
  <c r="S18" i="184" s="1"/>
  <c r="U17" i="184"/>
  <c r="Q17" i="184"/>
  <c r="U16" i="184"/>
  <c r="V16" i="184" s="1"/>
  <c r="Q16" i="184"/>
  <c r="R16" i="184" s="1"/>
  <c r="O10" i="184"/>
  <c r="AB9" i="184"/>
  <c r="AA9" i="184"/>
  <c r="Z9" i="184"/>
  <c r="D9" i="184"/>
  <c r="O6" i="184"/>
  <c r="W1" i="176"/>
  <c r="J25" i="178"/>
  <c r="O31" i="183"/>
  <c r="V35" i="183"/>
  <c r="R35" i="183"/>
  <c r="Q35" i="183"/>
  <c r="J35" i="183"/>
  <c r="K35" i="183" s="1"/>
  <c r="V34" i="183"/>
  <c r="R34" i="183"/>
  <c r="Q34" i="183"/>
  <c r="J34" i="183"/>
  <c r="K34" i="183" s="1"/>
  <c r="Z8" i="183" s="1"/>
  <c r="V33" i="183"/>
  <c r="R33" i="183"/>
  <c r="Q33" i="183"/>
  <c r="J33" i="183"/>
  <c r="K33" i="183" s="1"/>
  <c r="V32" i="183"/>
  <c r="R32" i="183"/>
  <c r="Q32" i="183"/>
  <c r="J32" i="183"/>
  <c r="K32" i="183" s="1"/>
  <c r="V30" i="183"/>
  <c r="R30" i="183"/>
  <c r="J30" i="183"/>
  <c r="O10" i="183"/>
  <c r="AB9" i="183"/>
  <c r="AA9" i="183"/>
  <c r="Z9" i="183"/>
  <c r="D9" i="183"/>
  <c r="O6" i="183"/>
  <c r="D4" i="183"/>
  <c r="S35" i="184" l="1"/>
  <c r="S34" i="184"/>
  <c r="AA8" i="184" s="1"/>
  <c r="D10" i="184"/>
  <c r="I30" i="184" s="1"/>
  <c r="K30" i="184" s="1"/>
  <c r="W30" i="184"/>
  <c r="Y30" i="184" s="1"/>
  <c r="W32" i="184"/>
  <c r="Y32" i="184" s="1"/>
  <c r="S34" i="183"/>
  <c r="AA8" i="183" s="1"/>
  <c r="W33" i="184"/>
  <c r="Y33" i="184" s="1"/>
  <c r="W35" i="184"/>
  <c r="Y35" i="184" s="1"/>
  <c r="S30" i="184"/>
  <c r="S32" i="184"/>
  <c r="R26" i="184"/>
  <c r="S26" i="184" s="1"/>
  <c r="V17" i="184"/>
  <c r="W17" i="184" s="1"/>
  <c r="R20" i="184"/>
  <c r="S20" i="184" s="1"/>
  <c r="R22" i="184"/>
  <c r="S22" i="184" s="1"/>
  <c r="V24" i="184"/>
  <c r="W24" i="184" s="1"/>
  <c r="Y24" i="184" s="1"/>
  <c r="S16" i="184"/>
  <c r="W26" i="184"/>
  <c r="Y26" i="184" s="1"/>
  <c r="R21" i="184"/>
  <c r="S21" i="184" s="1"/>
  <c r="W34" i="184"/>
  <c r="Y34" i="184" s="1"/>
  <c r="Y18" i="184"/>
  <c r="AB8" i="184"/>
  <c r="W16" i="184"/>
  <c r="W20" i="184"/>
  <c r="Y20" i="184" s="1"/>
  <c r="S25" i="184"/>
  <c r="S29" i="184"/>
  <c r="V19" i="184"/>
  <c r="R24" i="184"/>
  <c r="S24" i="184" s="1"/>
  <c r="R28" i="184"/>
  <c r="S28" i="184" s="1"/>
  <c r="R17" i="184"/>
  <c r="S17" i="184" s="1"/>
  <c r="S32" i="183"/>
  <c r="D10" i="183"/>
  <c r="I16" i="183" s="1"/>
  <c r="S33" i="183"/>
  <c r="S35" i="183"/>
  <c r="Q31" i="183"/>
  <c r="Q15" i="183" s="1"/>
  <c r="D11" i="183"/>
  <c r="O38" i="183"/>
  <c r="R36" i="181"/>
  <c r="S36" i="181" s="1"/>
  <c r="K36" i="181"/>
  <c r="L36" i="181" s="1"/>
  <c r="W35" i="181"/>
  <c r="S35" i="181"/>
  <c r="R35" i="181"/>
  <c r="K35" i="181"/>
  <c r="L35" i="181" s="1"/>
  <c r="J35" i="181"/>
  <c r="J33" i="181" s="1"/>
  <c r="W34" i="181"/>
  <c r="S34" i="181"/>
  <c r="R34" i="181"/>
  <c r="K34" i="181"/>
  <c r="L34" i="181" s="1"/>
  <c r="W33" i="181"/>
  <c r="R33" i="181"/>
  <c r="P33" i="181"/>
  <c r="W32" i="181"/>
  <c r="S32" i="181"/>
  <c r="K32" i="181"/>
  <c r="G19" i="181"/>
  <c r="AA8" i="181" s="1"/>
  <c r="K17" i="181"/>
  <c r="L17" i="181" s="1"/>
  <c r="J17" i="181"/>
  <c r="K16" i="181"/>
  <c r="J16" i="181"/>
  <c r="P10" i="181"/>
  <c r="D9" i="181"/>
  <c r="AC8" i="181"/>
  <c r="AB8" i="181"/>
  <c r="P6" i="181"/>
  <c r="D10" i="181" s="1"/>
  <c r="V43" i="178"/>
  <c r="L43" i="178"/>
  <c r="K42" i="178"/>
  <c r="J42" i="178"/>
  <c r="K41" i="178"/>
  <c r="J41" i="178"/>
  <c r="R41" i="178" s="1"/>
  <c r="K40" i="178"/>
  <c r="J40" i="178"/>
  <c r="K39" i="178"/>
  <c r="J39" i="178"/>
  <c r="K38" i="178"/>
  <c r="J38" i="178"/>
  <c r="K37" i="178"/>
  <c r="J37" i="178"/>
  <c r="K36" i="178"/>
  <c r="J36" i="178"/>
  <c r="K35" i="178"/>
  <c r="J35" i="178"/>
  <c r="K34" i="178"/>
  <c r="J34" i="178"/>
  <c r="K33" i="178"/>
  <c r="P32" i="178"/>
  <c r="P46" i="178" s="1"/>
  <c r="K31" i="178"/>
  <c r="K30" i="178"/>
  <c r="K29" i="178"/>
  <c r="L29" i="178" s="1"/>
  <c r="K28" i="178"/>
  <c r="L28" i="178" s="1"/>
  <c r="K27" i="178"/>
  <c r="K26" i="178"/>
  <c r="J26" i="178"/>
  <c r="K25" i="178"/>
  <c r="K24" i="178"/>
  <c r="L24" i="178" s="1"/>
  <c r="K23" i="178"/>
  <c r="L23" i="178" s="1"/>
  <c r="K22" i="178"/>
  <c r="L22" i="178" s="1"/>
  <c r="K21" i="178"/>
  <c r="L21" i="178" s="1"/>
  <c r="K20" i="178"/>
  <c r="L20" i="178" s="1"/>
  <c r="K19" i="178"/>
  <c r="K18" i="178"/>
  <c r="L18" i="178" s="1"/>
  <c r="K17" i="178"/>
  <c r="M10" i="178"/>
  <c r="Y9" i="178"/>
  <c r="X9" i="178"/>
  <c r="W9" i="178"/>
  <c r="D9" i="178"/>
  <c r="M6" i="178"/>
  <c r="V35" i="176"/>
  <c r="R35" i="176"/>
  <c r="Q35" i="176"/>
  <c r="J35" i="176"/>
  <c r="K35" i="176" s="1"/>
  <c r="V34" i="176"/>
  <c r="R34" i="176"/>
  <c r="Q34" i="176"/>
  <c r="J34" i="176"/>
  <c r="K34" i="176" s="1"/>
  <c r="Z8" i="176" s="1"/>
  <c r="V33" i="176"/>
  <c r="R33" i="176"/>
  <c r="Q33" i="176"/>
  <c r="J33" i="176"/>
  <c r="K33" i="176" s="1"/>
  <c r="V32" i="176"/>
  <c r="R32" i="176"/>
  <c r="Q32" i="176"/>
  <c r="S32" i="176" s="1"/>
  <c r="J32" i="176"/>
  <c r="K32" i="176" s="1"/>
  <c r="O31" i="176"/>
  <c r="O38" i="176" s="1"/>
  <c r="V30" i="176"/>
  <c r="R30" i="176"/>
  <c r="J30" i="176"/>
  <c r="O10" i="176"/>
  <c r="AB9" i="176"/>
  <c r="AA9" i="176"/>
  <c r="Z9" i="176"/>
  <c r="D9" i="176"/>
  <c r="O6" i="176"/>
  <c r="V35" i="175"/>
  <c r="R35" i="175"/>
  <c r="Q35" i="175"/>
  <c r="J35" i="175"/>
  <c r="K35" i="175" s="1"/>
  <c r="V34" i="175"/>
  <c r="R34" i="175"/>
  <c r="Q34" i="175"/>
  <c r="J34" i="175"/>
  <c r="K34" i="175" s="1"/>
  <c r="Z8" i="175" s="1"/>
  <c r="V33" i="175"/>
  <c r="R33" i="175"/>
  <c r="Q33" i="175"/>
  <c r="Q31" i="175" s="1"/>
  <c r="J33" i="175"/>
  <c r="K33" i="175" s="1"/>
  <c r="V32" i="175"/>
  <c r="R32" i="175"/>
  <c r="Q32" i="175"/>
  <c r="J32" i="175"/>
  <c r="K32" i="175" s="1"/>
  <c r="O31" i="175"/>
  <c r="O38" i="175" s="1"/>
  <c r="V30" i="175"/>
  <c r="R30" i="175"/>
  <c r="J30" i="175"/>
  <c r="O10" i="175"/>
  <c r="AB9" i="175"/>
  <c r="AA9" i="175"/>
  <c r="Z9" i="175"/>
  <c r="D9" i="175"/>
  <c r="O6" i="175"/>
  <c r="T35" i="181" l="1"/>
  <c r="I17" i="184"/>
  <c r="J17" i="184" s="1"/>
  <c r="K17" i="184" s="1"/>
  <c r="Z7" i="184" s="1"/>
  <c r="I16" i="184"/>
  <c r="J16" i="184" s="1"/>
  <c r="K16" i="184" s="1"/>
  <c r="V37" i="184"/>
  <c r="W36" i="184" s="1"/>
  <c r="Y36" i="184" s="1"/>
  <c r="D11" i="184"/>
  <c r="I21" i="184" s="1"/>
  <c r="Y17" i="184"/>
  <c r="AB7" i="184"/>
  <c r="AA7" i="184"/>
  <c r="S31" i="184"/>
  <c r="AA6" i="184"/>
  <c r="R37" i="184"/>
  <c r="S36" i="184" s="1"/>
  <c r="AA5" i="184" s="1"/>
  <c r="W19" i="184"/>
  <c r="Y19" i="184" s="1"/>
  <c r="Y16" i="184"/>
  <c r="S33" i="176"/>
  <c r="T34" i="181"/>
  <c r="D10" i="178"/>
  <c r="D11" i="178" s="1"/>
  <c r="J27" i="178" s="1"/>
  <c r="I17" i="183"/>
  <c r="I30" i="183"/>
  <c r="K30" i="183" s="1"/>
  <c r="I18" i="181"/>
  <c r="L35" i="178"/>
  <c r="S34" i="176"/>
  <c r="AA8" i="176" s="1"/>
  <c r="S35" i="175"/>
  <c r="D10" i="175"/>
  <c r="I16" i="175" s="1"/>
  <c r="I20" i="183"/>
  <c r="I21" i="183"/>
  <c r="I27" i="183"/>
  <c r="I23" i="183"/>
  <c r="I19" i="183"/>
  <c r="I26" i="183"/>
  <c r="I29" i="183"/>
  <c r="I22" i="183"/>
  <c r="I18" i="183"/>
  <c r="I25" i="183"/>
  <c r="I28" i="183"/>
  <c r="I24" i="183"/>
  <c r="J16" i="183"/>
  <c r="K16" i="183" s="1"/>
  <c r="L40" i="178"/>
  <c r="L42" i="178"/>
  <c r="L36" i="178"/>
  <c r="R36" i="178"/>
  <c r="R42" i="178"/>
  <c r="L26" i="178"/>
  <c r="L41" i="178"/>
  <c r="L38" i="178"/>
  <c r="R38" i="178"/>
  <c r="L25" i="178"/>
  <c r="R25" i="178" s="1"/>
  <c r="T36" i="181"/>
  <c r="S35" i="176"/>
  <c r="D10" i="176"/>
  <c r="D11" i="176" s="1"/>
  <c r="Q31" i="176"/>
  <c r="S34" i="175"/>
  <c r="AA8" i="175" s="1"/>
  <c r="S33" i="175"/>
  <c r="S32" i="175"/>
  <c r="L16" i="181"/>
  <c r="P39" i="181"/>
  <c r="R37" i="178"/>
  <c r="L37" i="178"/>
  <c r="R26" i="178"/>
  <c r="R35" i="178"/>
  <c r="R40" i="178"/>
  <c r="L34" i="178"/>
  <c r="L39" i="178"/>
  <c r="K44" i="178"/>
  <c r="R34" i="178"/>
  <c r="R39" i="178"/>
  <c r="AB5" i="184" l="1"/>
  <c r="I29" i="184"/>
  <c r="J29" i="184" s="1"/>
  <c r="K29" i="184" s="1"/>
  <c r="I22" i="184"/>
  <c r="I26" i="184"/>
  <c r="J26" i="184" s="1"/>
  <c r="K26" i="184" s="1"/>
  <c r="I20" i="184"/>
  <c r="I19" i="184"/>
  <c r="J19" i="184" s="1"/>
  <c r="K19" i="184" s="1"/>
  <c r="I25" i="184"/>
  <c r="J25" i="184" s="1"/>
  <c r="K25" i="184" s="1"/>
  <c r="I18" i="184"/>
  <c r="J18" i="184" s="1"/>
  <c r="K18" i="184" s="1"/>
  <c r="I24" i="184"/>
  <c r="J24" i="184" s="1"/>
  <c r="K24" i="184" s="1"/>
  <c r="I23" i="184"/>
  <c r="J23" i="184" s="1"/>
  <c r="K23" i="184" s="1"/>
  <c r="I28" i="184"/>
  <c r="J28" i="184" s="1"/>
  <c r="K28" i="184" s="1"/>
  <c r="I27" i="184"/>
  <c r="J27" i="184" s="1"/>
  <c r="K27" i="184" s="1"/>
  <c r="W31" i="184"/>
  <c r="Y31" i="184" s="1"/>
  <c r="Y38" i="184" s="1"/>
  <c r="AA10" i="184"/>
  <c r="J22" i="184"/>
  <c r="K22" i="184" s="1"/>
  <c r="AB6" i="184"/>
  <c r="J20" i="184"/>
  <c r="K20" i="184" s="1"/>
  <c r="J21" i="184"/>
  <c r="K21" i="184" s="1"/>
  <c r="S38" i="184"/>
  <c r="D11" i="175"/>
  <c r="I29" i="175" s="1"/>
  <c r="I17" i="175"/>
  <c r="J17" i="175" s="1"/>
  <c r="K17" i="175" s="1"/>
  <c r="Z7" i="175" s="1"/>
  <c r="I30" i="175"/>
  <c r="K30" i="175" s="1"/>
  <c r="J17" i="183"/>
  <c r="K17" i="183" s="1"/>
  <c r="Z7" i="183" s="1"/>
  <c r="I31" i="183"/>
  <c r="I32" i="181"/>
  <c r="L32" i="181" s="1"/>
  <c r="I19" i="181"/>
  <c r="K19" i="181" s="1"/>
  <c r="L19" i="181" s="1"/>
  <c r="AA7" i="181" s="1"/>
  <c r="D11" i="181"/>
  <c r="I31" i="181" s="1"/>
  <c r="I38" i="183"/>
  <c r="U15" i="183" s="1"/>
  <c r="J28" i="183"/>
  <c r="K28" i="183" s="1"/>
  <c r="J25" i="183"/>
  <c r="K25" i="183" s="1"/>
  <c r="J21" i="183"/>
  <c r="K21" i="183" s="1"/>
  <c r="J23" i="183"/>
  <c r="K23" i="183" s="1"/>
  <c r="J18" i="183"/>
  <c r="K18" i="183" s="1"/>
  <c r="J20" i="183"/>
  <c r="K20" i="183" s="1"/>
  <c r="J22" i="183"/>
  <c r="K22" i="183" s="1"/>
  <c r="J26" i="183"/>
  <c r="K26" i="183" s="1"/>
  <c r="J24" i="183"/>
  <c r="K24" i="183" s="1"/>
  <c r="J29" i="183"/>
  <c r="K29" i="183" s="1"/>
  <c r="J19" i="183"/>
  <c r="K19" i="183" s="1"/>
  <c r="J27" i="183"/>
  <c r="K27" i="183" s="1"/>
  <c r="I18" i="178"/>
  <c r="I33" i="178"/>
  <c r="J33" i="178" s="1"/>
  <c r="L33" i="178" s="1"/>
  <c r="I19" i="178"/>
  <c r="J19" i="178" s="1"/>
  <c r="L19" i="178" s="1"/>
  <c r="W7" i="178" s="1"/>
  <c r="W8" i="178"/>
  <c r="X8" i="178"/>
  <c r="I16" i="176"/>
  <c r="J16" i="176" s="1"/>
  <c r="I17" i="176"/>
  <c r="J17" i="176" s="1"/>
  <c r="K17" i="176" s="1"/>
  <c r="Z7" i="176" s="1"/>
  <c r="I30" i="176"/>
  <c r="K30" i="176" s="1"/>
  <c r="K18" i="181"/>
  <c r="AA9" i="181"/>
  <c r="I30" i="178"/>
  <c r="I24" i="178"/>
  <c r="I20" i="178"/>
  <c r="I25" i="178"/>
  <c r="L27" i="178"/>
  <c r="I26" i="178"/>
  <c r="I21" i="178"/>
  <c r="I27" i="178"/>
  <c r="I31" i="178"/>
  <c r="J31" i="178" s="1"/>
  <c r="L31" i="178" s="1"/>
  <c r="I28" i="178"/>
  <c r="I22" i="178"/>
  <c r="J30" i="178"/>
  <c r="L30" i="178" s="1"/>
  <c r="I29" i="178"/>
  <c r="I23" i="178"/>
  <c r="I20" i="176"/>
  <c r="I27" i="176"/>
  <c r="I23" i="176"/>
  <c r="I19" i="176"/>
  <c r="I26" i="176"/>
  <c r="I28" i="176"/>
  <c r="I29" i="176"/>
  <c r="I22" i="176"/>
  <c r="I18" i="176"/>
  <c r="I25" i="176"/>
  <c r="I21" i="176"/>
  <c r="I24" i="176"/>
  <c r="J16" i="175"/>
  <c r="K16" i="175" s="1"/>
  <c r="AB10" i="184" l="1"/>
  <c r="I31" i="184"/>
  <c r="I38" i="184" s="1"/>
  <c r="U15" i="184" s="1"/>
  <c r="Q15" i="184"/>
  <c r="W38" i="184"/>
  <c r="J37" i="184"/>
  <c r="K36" i="184" s="1"/>
  <c r="Z5" i="184" s="1"/>
  <c r="Z6" i="184"/>
  <c r="AA11" i="184"/>
  <c r="K31" i="184"/>
  <c r="I25" i="175"/>
  <c r="J25" i="175" s="1"/>
  <c r="K25" i="175" s="1"/>
  <c r="I27" i="175"/>
  <c r="J27" i="175" s="1"/>
  <c r="K27" i="175" s="1"/>
  <c r="I18" i="175"/>
  <c r="J18" i="175" s="1"/>
  <c r="I20" i="175"/>
  <c r="I26" i="175"/>
  <c r="J26" i="175" s="1"/>
  <c r="K26" i="175" s="1"/>
  <c r="I28" i="175"/>
  <c r="J28" i="175" s="1"/>
  <c r="K28" i="175" s="1"/>
  <c r="I24" i="175"/>
  <c r="J24" i="175" s="1"/>
  <c r="K24" i="175" s="1"/>
  <c r="I22" i="175"/>
  <c r="J22" i="175" s="1"/>
  <c r="K22" i="175" s="1"/>
  <c r="I19" i="175"/>
  <c r="I21" i="175"/>
  <c r="J21" i="175" s="1"/>
  <c r="K21" i="175" s="1"/>
  <c r="I23" i="175"/>
  <c r="J23" i="175" s="1"/>
  <c r="K23" i="175" s="1"/>
  <c r="W5" i="178"/>
  <c r="Z6" i="183"/>
  <c r="I21" i="181"/>
  <c r="K21" i="181" s="1"/>
  <c r="L21" i="181" s="1"/>
  <c r="I26" i="181"/>
  <c r="K26" i="181" s="1"/>
  <c r="L26" i="181" s="1"/>
  <c r="I25" i="181"/>
  <c r="K25" i="181" s="1"/>
  <c r="L25" i="181" s="1"/>
  <c r="I30" i="181"/>
  <c r="K30" i="181" s="1"/>
  <c r="L30" i="181" s="1"/>
  <c r="I20" i="181"/>
  <c r="K20" i="181" s="1"/>
  <c r="L20" i="181" s="1"/>
  <c r="I24" i="181"/>
  <c r="K24" i="181" s="1"/>
  <c r="L24" i="181" s="1"/>
  <c r="I29" i="181"/>
  <c r="K29" i="181" s="1"/>
  <c r="L29" i="181" s="1"/>
  <c r="I28" i="181"/>
  <c r="K28" i="181" s="1"/>
  <c r="L28" i="181" s="1"/>
  <c r="I23" i="181"/>
  <c r="K23" i="181" s="1"/>
  <c r="L23" i="181" s="1"/>
  <c r="I22" i="181"/>
  <c r="K22" i="181" s="1"/>
  <c r="L22" i="181" s="1"/>
  <c r="I27" i="181"/>
  <c r="K27" i="181" s="1"/>
  <c r="L27" i="181" s="1"/>
  <c r="U25" i="183"/>
  <c r="V25" i="183" s="1"/>
  <c r="W25" i="183" s="1"/>
  <c r="Y25" i="183" s="1"/>
  <c r="U21" i="183"/>
  <c r="V21" i="183" s="1"/>
  <c r="W21" i="183" s="1"/>
  <c r="Y21" i="183" s="1"/>
  <c r="U28" i="183"/>
  <c r="U30" i="183"/>
  <c r="W30" i="183" s="1"/>
  <c r="Y30" i="183" s="1"/>
  <c r="U18" i="183"/>
  <c r="U22" i="183"/>
  <c r="V22" i="183" s="1"/>
  <c r="W22" i="183" s="1"/>
  <c r="Y22" i="183" s="1"/>
  <c r="U16" i="183"/>
  <c r="U33" i="183"/>
  <c r="W33" i="183" s="1"/>
  <c r="Y33" i="183" s="1"/>
  <c r="U32" i="183"/>
  <c r="U20" i="183"/>
  <c r="V20" i="183" s="1"/>
  <c r="W20" i="183" s="1"/>
  <c r="Y20" i="183" s="1"/>
  <c r="U24" i="183"/>
  <c r="U19" i="183"/>
  <c r="V19" i="183" s="1"/>
  <c r="W19" i="183" s="1"/>
  <c r="Y19" i="183" s="1"/>
  <c r="U34" i="183"/>
  <c r="W34" i="183" s="1"/>
  <c r="U17" i="183"/>
  <c r="U29" i="183"/>
  <c r="U27" i="183"/>
  <c r="U26" i="183"/>
  <c r="V26" i="183" s="1"/>
  <c r="W26" i="183" s="1"/>
  <c r="Y26" i="183" s="1"/>
  <c r="U23" i="183"/>
  <c r="U35" i="183"/>
  <c r="W35" i="183" s="1"/>
  <c r="Y35" i="183" s="1"/>
  <c r="Q21" i="183"/>
  <c r="R21" i="183" s="1"/>
  <c r="S21" i="183" s="1"/>
  <c r="Q20" i="183"/>
  <c r="R20" i="183" s="1"/>
  <c r="S20" i="183" s="1"/>
  <c r="Q27" i="183"/>
  <c r="Q17" i="183"/>
  <c r="Q29" i="183"/>
  <c r="Q26" i="183"/>
  <c r="R26" i="183" s="1"/>
  <c r="S26" i="183" s="1"/>
  <c r="Q22" i="183"/>
  <c r="Q19" i="183"/>
  <c r="R19" i="183" s="1"/>
  <c r="S19" i="183" s="1"/>
  <c r="Q16" i="183"/>
  <c r="Q23" i="183"/>
  <c r="R23" i="183" s="1"/>
  <c r="S23" i="183" s="1"/>
  <c r="Q24" i="183"/>
  <c r="R24" i="183" s="1"/>
  <c r="S24" i="183" s="1"/>
  <c r="Q30" i="183"/>
  <c r="S30" i="183" s="1"/>
  <c r="Q28" i="183"/>
  <c r="Q18" i="183"/>
  <c r="Q25" i="183"/>
  <c r="K31" i="183"/>
  <c r="J37" i="183"/>
  <c r="K36" i="183" s="1"/>
  <c r="Z5" i="183" s="1"/>
  <c r="Z10" i="183" s="1"/>
  <c r="I32" i="178"/>
  <c r="I46" i="178" s="1"/>
  <c r="L18" i="181"/>
  <c r="K31" i="181"/>
  <c r="L31" i="181" s="1"/>
  <c r="J32" i="178"/>
  <c r="J46" i="178" s="1"/>
  <c r="J28" i="176"/>
  <c r="K28" i="176" s="1"/>
  <c r="J19" i="176"/>
  <c r="K19" i="176" s="1"/>
  <c r="J21" i="176"/>
  <c r="K21" i="176" s="1"/>
  <c r="J23" i="176"/>
  <c r="K23" i="176" s="1"/>
  <c r="J24" i="176"/>
  <c r="K24" i="176" s="1"/>
  <c r="J25" i="176"/>
  <c r="K25" i="176" s="1"/>
  <c r="J27" i="176"/>
  <c r="K27" i="176" s="1"/>
  <c r="J18" i="176"/>
  <c r="J20" i="176"/>
  <c r="K20" i="176" s="1"/>
  <c r="K16" i="176"/>
  <c r="J22" i="176"/>
  <c r="K22" i="176" s="1"/>
  <c r="J29" i="176"/>
  <c r="K29" i="176" s="1"/>
  <c r="I31" i="176"/>
  <c r="Q15" i="176" s="1"/>
  <c r="J26" i="176"/>
  <c r="K26" i="176" s="1"/>
  <c r="J29" i="175"/>
  <c r="K29" i="175" s="1"/>
  <c r="J19" i="175"/>
  <c r="K19" i="175" s="1"/>
  <c r="J20" i="175"/>
  <c r="K20" i="175" s="1"/>
  <c r="AB11" i="184" l="1"/>
  <c r="K38" i="184"/>
  <c r="Z10" i="184"/>
  <c r="I31" i="175"/>
  <c r="Q15" i="175" s="1"/>
  <c r="I33" i="181"/>
  <c r="L17" i="178"/>
  <c r="L32" i="178" s="1"/>
  <c r="L46" i="178" s="1"/>
  <c r="T15" i="178" s="1"/>
  <c r="V16" i="183"/>
  <c r="W16" i="183" s="1"/>
  <c r="AB8" i="183"/>
  <c r="Y34" i="183"/>
  <c r="V27" i="183"/>
  <c r="W27" i="183" s="1"/>
  <c r="Y27" i="183" s="1"/>
  <c r="V18" i="183"/>
  <c r="W18" i="183" s="1"/>
  <c r="V17" i="183"/>
  <c r="W17" i="183" s="1"/>
  <c r="V29" i="183"/>
  <c r="W29" i="183" s="1"/>
  <c r="Y29" i="183" s="1"/>
  <c r="V23" i="183"/>
  <c r="W23" i="183" s="1"/>
  <c r="Y23" i="183" s="1"/>
  <c r="V24" i="183"/>
  <c r="W24" i="183" s="1"/>
  <c r="Y24" i="183" s="1"/>
  <c r="V28" i="183"/>
  <c r="W28" i="183" s="1"/>
  <c r="Y28" i="183" s="1"/>
  <c r="W32" i="183"/>
  <c r="Y32" i="183" s="1"/>
  <c r="U31" i="183"/>
  <c r="R16" i="183"/>
  <c r="S16" i="183" s="1"/>
  <c r="R25" i="183"/>
  <c r="S25" i="183" s="1"/>
  <c r="R22" i="183"/>
  <c r="S22" i="183" s="1"/>
  <c r="R18" i="183"/>
  <c r="S18" i="183" s="1"/>
  <c r="R28" i="183"/>
  <c r="S28" i="183" s="1"/>
  <c r="R29" i="183"/>
  <c r="S29" i="183" s="1"/>
  <c r="R27" i="183"/>
  <c r="S27" i="183" s="1"/>
  <c r="R17" i="183"/>
  <c r="S17" i="183" s="1"/>
  <c r="AA7" i="183" s="1"/>
  <c r="K38" i="183"/>
  <c r="Z11" i="183"/>
  <c r="AA6" i="181"/>
  <c r="J37" i="176"/>
  <c r="K36" i="176" s="1"/>
  <c r="Z6" i="175"/>
  <c r="J37" i="175"/>
  <c r="K36" i="175" s="1"/>
  <c r="L33" i="181"/>
  <c r="K38" i="181"/>
  <c r="L37" i="181" s="1"/>
  <c r="AA5" i="181" s="1"/>
  <c r="K18" i="176"/>
  <c r="Z6" i="176"/>
  <c r="I38" i="176"/>
  <c r="U15" i="176" s="1"/>
  <c r="K18" i="175"/>
  <c r="J15" i="181" l="1"/>
  <c r="J27" i="181" s="1"/>
  <c r="R15" i="181"/>
  <c r="Z11" i="184"/>
  <c r="Z5" i="176"/>
  <c r="Z10" i="176" s="1"/>
  <c r="I38" i="175"/>
  <c r="U15" i="175" s="1"/>
  <c r="I39" i="181"/>
  <c r="V15" i="181" s="1"/>
  <c r="AB7" i="183"/>
  <c r="Y17" i="183"/>
  <c r="Y16" i="183"/>
  <c r="AB6" i="183"/>
  <c r="W31" i="183"/>
  <c r="V37" i="183"/>
  <c r="W36" i="183" s="1"/>
  <c r="Y36" i="183" s="1"/>
  <c r="Y18" i="183"/>
  <c r="R37" i="183"/>
  <c r="S36" i="183" s="1"/>
  <c r="AA5" i="183" s="1"/>
  <c r="S31" i="183"/>
  <c r="AA6" i="183"/>
  <c r="W6" i="178"/>
  <c r="AA10" i="181"/>
  <c r="K31" i="176"/>
  <c r="K38" i="176" s="1"/>
  <c r="R27" i="181"/>
  <c r="R22" i="181"/>
  <c r="R17" i="181"/>
  <c r="R32" i="181"/>
  <c r="T32" i="181" s="1"/>
  <c r="R29" i="181"/>
  <c r="R24" i="181"/>
  <c r="R16" i="181"/>
  <c r="R19" i="181" s="1"/>
  <c r="R26" i="181"/>
  <c r="R21" i="181"/>
  <c r="R31" i="181"/>
  <c r="R28" i="181"/>
  <c r="R23" i="181"/>
  <c r="R25" i="181"/>
  <c r="R20" i="181"/>
  <c r="R30" i="181"/>
  <c r="V36" i="181"/>
  <c r="V26" i="181"/>
  <c r="V21" i="181"/>
  <c r="V35" i="181"/>
  <c r="X35" i="181" s="1"/>
  <c r="Z35" i="181" s="1"/>
  <c r="V31" i="181"/>
  <c r="V28" i="181"/>
  <c r="V23" i="181"/>
  <c r="V34" i="181"/>
  <c r="V25" i="181"/>
  <c r="V20" i="181"/>
  <c r="V29" i="181"/>
  <c r="V30" i="181"/>
  <c r="V16" i="181"/>
  <c r="V27" i="181"/>
  <c r="V22" i="181"/>
  <c r="V17" i="181"/>
  <c r="V24" i="181"/>
  <c r="V32" i="181"/>
  <c r="X32" i="181" s="1"/>
  <c r="Z32" i="181" s="1"/>
  <c r="V19" i="181"/>
  <c r="L39" i="181"/>
  <c r="T28" i="178"/>
  <c r="V28" i="178" s="1"/>
  <c r="T22" i="178"/>
  <c r="V22" i="178" s="1"/>
  <c r="T42" i="178"/>
  <c r="V42" i="178" s="1"/>
  <c r="T38" i="178"/>
  <c r="T33" i="178"/>
  <c r="T18" i="178"/>
  <c r="V18" i="178" s="1"/>
  <c r="T29" i="178"/>
  <c r="V29" i="178" s="1"/>
  <c r="T23" i="178"/>
  <c r="V23" i="178" s="1"/>
  <c r="T19" i="178"/>
  <c r="T30" i="178"/>
  <c r="V30" i="178" s="1"/>
  <c r="T17" i="178"/>
  <c r="T24" i="178"/>
  <c r="V24" i="178" s="1"/>
  <c r="T20" i="178"/>
  <c r="T41" i="178"/>
  <c r="V41" i="178" s="1"/>
  <c r="T27" i="178"/>
  <c r="V27" i="178" s="1"/>
  <c r="T21" i="178"/>
  <c r="V21" i="178" s="1"/>
  <c r="T31" i="178"/>
  <c r="V31" i="178" s="1"/>
  <c r="T37" i="178"/>
  <c r="V37" i="178" s="1"/>
  <c r="T35" i="178"/>
  <c r="V35" i="178" s="1"/>
  <c r="T26" i="178"/>
  <c r="V26" i="178" s="1"/>
  <c r="T40" i="178"/>
  <c r="V40" i="178" s="1"/>
  <c r="T39" i="178"/>
  <c r="V39" i="178" s="1"/>
  <c r="T36" i="178"/>
  <c r="V36" i="178" s="1"/>
  <c r="T25" i="178"/>
  <c r="V25" i="178" s="1"/>
  <c r="T34" i="178"/>
  <c r="V34" i="178" s="1"/>
  <c r="U35" i="176"/>
  <c r="W35" i="176" s="1"/>
  <c r="Y35" i="176" s="1"/>
  <c r="U34" i="176"/>
  <c r="W34" i="176" s="1"/>
  <c r="U33" i="176"/>
  <c r="W33" i="176" s="1"/>
  <c r="Y33" i="176" s="1"/>
  <c r="U32" i="176"/>
  <c r="U17" i="176"/>
  <c r="U16" i="176"/>
  <c r="U30" i="176"/>
  <c r="W30" i="176" s="1"/>
  <c r="Y30" i="176" s="1"/>
  <c r="U28" i="176"/>
  <c r="U21" i="176"/>
  <c r="U24" i="176"/>
  <c r="U18" i="176"/>
  <c r="U27" i="176"/>
  <c r="U20" i="176"/>
  <c r="U22" i="176"/>
  <c r="U26" i="176"/>
  <c r="U29" i="176"/>
  <c r="U25" i="176"/>
  <c r="U23" i="176"/>
  <c r="U19" i="176"/>
  <c r="Q17" i="176"/>
  <c r="Q30" i="176"/>
  <c r="S30" i="176" s="1"/>
  <c r="Q16" i="176"/>
  <c r="Q28" i="176"/>
  <c r="Q21" i="176"/>
  <c r="Q24" i="176"/>
  <c r="Q27" i="176"/>
  <c r="Q20" i="176"/>
  <c r="Q29" i="176"/>
  <c r="Q25" i="176"/>
  <c r="Q22" i="176"/>
  <c r="Q18" i="176"/>
  <c r="Q19" i="176"/>
  <c r="Q23" i="176"/>
  <c r="Q26" i="176"/>
  <c r="U35" i="175"/>
  <c r="W35" i="175" s="1"/>
  <c r="Y35" i="175" s="1"/>
  <c r="U34" i="175"/>
  <c r="W34" i="175" s="1"/>
  <c r="U33" i="175"/>
  <c r="W33" i="175" s="1"/>
  <c r="Y33" i="175" s="1"/>
  <c r="U32" i="175"/>
  <c r="U30" i="175"/>
  <c r="W30" i="175" s="1"/>
  <c r="Y30" i="175" s="1"/>
  <c r="U17" i="175"/>
  <c r="U16" i="175"/>
  <c r="U26" i="175"/>
  <c r="U22" i="175"/>
  <c r="U18" i="175"/>
  <c r="U24" i="175"/>
  <c r="U21" i="175"/>
  <c r="U23" i="175"/>
  <c r="U19" i="175"/>
  <c r="U27" i="175"/>
  <c r="U20" i="175"/>
  <c r="U29" i="175"/>
  <c r="U28" i="175"/>
  <c r="U25" i="175"/>
  <c r="Q30" i="175"/>
  <c r="S30" i="175" s="1"/>
  <c r="Q17" i="175"/>
  <c r="Q16" i="175"/>
  <c r="Q25" i="175"/>
  <c r="Q20" i="175"/>
  <c r="Q19" i="175"/>
  <c r="Q29" i="175"/>
  <c r="Q27" i="175"/>
  <c r="Q24" i="175"/>
  <c r="Q21" i="175"/>
  <c r="Q23" i="175"/>
  <c r="Q28" i="175"/>
  <c r="Q26" i="175"/>
  <c r="Q22" i="175"/>
  <c r="Q18" i="175"/>
  <c r="Z5" i="175"/>
  <c r="Z10" i="175" s="1"/>
  <c r="K31" i="175"/>
  <c r="K38" i="175" s="1"/>
  <c r="J24" i="181" l="1"/>
  <c r="J30" i="181"/>
  <c r="J26" i="181"/>
  <c r="J22" i="181"/>
  <c r="J25" i="181"/>
  <c r="J31" i="181"/>
  <c r="J20" i="181"/>
  <c r="J29" i="181"/>
  <c r="J18" i="181"/>
  <c r="J19" i="181"/>
  <c r="J23" i="181"/>
  <c r="J32" i="181"/>
  <c r="J28" i="181"/>
  <c r="J21" i="181"/>
  <c r="S38" i="183"/>
  <c r="AA10" i="183"/>
  <c r="AB5" i="183"/>
  <c r="AB10" i="183" s="1"/>
  <c r="Y31" i="183"/>
  <c r="Y38" i="183" s="1"/>
  <c r="W38" i="183"/>
  <c r="AA11" i="181"/>
  <c r="R18" i="181"/>
  <c r="S18" i="181" s="1"/>
  <c r="T18" i="181" s="1"/>
  <c r="Z11" i="176"/>
  <c r="Z11" i="175"/>
  <c r="X34" i="181"/>
  <c r="Z34" i="181" s="1"/>
  <c r="V33" i="181"/>
  <c r="S21" i="181"/>
  <c r="T21" i="181" s="1"/>
  <c r="W22" i="181"/>
  <c r="X22" i="181" s="1"/>
  <c r="Z22" i="181" s="1"/>
  <c r="W23" i="181"/>
  <c r="X23" i="181" s="1"/>
  <c r="Z23" i="181" s="1"/>
  <c r="S19" i="181"/>
  <c r="T19" i="181" s="1"/>
  <c r="AB7" i="181" s="1"/>
  <c r="S26" i="181"/>
  <c r="T26" i="181" s="1"/>
  <c r="W17" i="181"/>
  <c r="X17" i="181" s="1"/>
  <c r="S27" i="181"/>
  <c r="T27" i="181" s="1"/>
  <c r="W27" i="181"/>
  <c r="X27" i="181" s="1"/>
  <c r="Z27" i="181" s="1"/>
  <c r="W28" i="181"/>
  <c r="X28" i="181" s="1"/>
  <c r="Z28" i="181" s="1"/>
  <c r="S30" i="181"/>
  <c r="T30" i="181" s="1"/>
  <c r="S16" i="181"/>
  <c r="W19" i="181"/>
  <c r="X19" i="181" s="1"/>
  <c r="W16" i="181"/>
  <c r="W31" i="181"/>
  <c r="X31" i="181" s="1"/>
  <c r="Z31" i="181" s="1"/>
  <c r="S20" i="181"/>
  <c r="T20" i="181" s="1"/>
  <c r="S24" i="181"/>
  <c r="T24" i="181" s="1"/>
  <c r="V18" i="181"/>
  <c r="W30" i="181"/>
  <c r="X30" i="181" s="1"/>
  <c r="Z30" i="181" s="1"/>
  <c r="S25" i="181"/>
  <c r="T25" i="181" s="1"/>
  <c r="S29" i="181"/>
  <c r="T29" i="181" s="1"/>
  <c r="W29" i="181"/>
  <c r="X29" i="181" s="1"/>
  <c r="Z29" i="181" s="1"/>
  <c r="W21" i="181"/>
  <c r="X21" i="181" s="1"/>
  <c r="Z21" i="181" s="1"/>
  <c r="S23" i="181"/>
  <c r="T23" i="181" s="1"/>
  <c r="W20" i="181"/>
  <c r="X20" i="181" s="1"/>
  <c r="Z20" i="181" s="1"/>
  <c r="W26" i="181"/>
  <c r="X26" i="181" s="1"/>
  <c r="Z26" i="181" s="1"/>
  <c r="S28" i="181"/>
  <c r="T28" i="181" s="1"/>
  <c r="S17" i="181"/>
  <c r="T17" i="181" s="1"/>
  <c r="W24" i="181"/>
  <c r="X24" i="181" s="1"/>
  <c r="Z24" i="181" s="1"/>
  <c r="W25" i="181"/>
  <c r="X25" i="181" s="1"/>
  <c r="Z25" i="181" s="1"/>
  <c r="W36" i="181"/>
  <c r="X36" i="181" s="1"/>
  <c r="Z36" i="181" s="1"/>
  <c r="S31" i="181"/>
  <c r="T31" i="181" s="1"/>
  <c r="S22" i="181"/>
  <c r="T22" i="181" s="1"/>
  <c r="V20" i="178"/>
  <c r="Y5" i="178"/>
  <c r="V33" i="178"/>
  <c r="T32" i="178"/>
  <c r="V32" i="178" s="1"/>
  <c r="V38" i="178"/>
  <c r="Y8" i="178"/>
  <c r="Y6" i="178"/>
  <c r="V17" i="178"/>
  <c r="V19" i="178"/>
  <c r="Y7" i="178"/>
  <c r="R19" i="176"/>
  <c r="S19" i="176" s="1"/>
  <c r="R18" i="176"/>
  <c r="S18" i="176" s="1"/>
  <c r="R28" i="176"/>
  <c r="S28" i="176" s="1"/>
  <c r="V26" i="176"/>
  <c r="W26" i="176" s="1"/>
  <c r="Y26" i="176" s="1"/>
  <c r="R21" i="176"/>
  <c r="S21" i="176" s="1"/>
  <c r="V28" i="176"/>
  <c r="W28" i="176" s="1"/>
  <c r="Y28" i="176" s="1"/>
  <c r="R22" i="176"/>
  <c r="S22" i="176" s="1"/>
  <c r="R16" i="176"/>
  <c r="S16" i="176" s="1"/>
  <c r="V22" i="176"/>
  <c r="W22" i="176" s="1"/>
  <c r="Y22" i="176" s="1"/>
  <c r="V16" i="176"/>
  <c r="W16" i="176" s="1"/>
  <c r="R25" i="176"/>
  <c r="S25" i="176" s="1"/>
  <c r="V20" i="176"/>
  <c r="W20" i="176" s="1"/>
  <c r="Y20" i="176" s="1"/>
  <c r="V17" i="176"/>
  <c r="W17" i="176" s="1"/>
  <c r="V29" i="176"/>
  <c r="W29" i="176" s="1"/>
  <c r="Y29" i="176" s="1"/>
  <c r="R29" i="176"/>
  <c r="S29" i="176" s="1"/>
  <c r="R17" i="176"/>
  <c r="S17" i="176" s="1"/>
  <c r="AA7" i="176" s="1"/>
  <c r="V27" i="176"/>
  <c r="W27" i="176" s="1"/>
  <c r="Y27" i="176" s="1"/>
  <c r="W32" i="176"/>
  <c r="Y32" i="176" s="1"/>
  <c r="U31" i="176"/>
  <c r="R20" i="176"/>
  <c r="S20" i="176" s="1"/>
  <c r="V19" i="176"/>
  <c r="W19" i="176" s="1"/>
  <c r="Y19" i="176" s="1"/>
  <c r="V18" i="176"/>
  <c r="W18" i="176" s="1"/>
  <c r="R26" i="176"/>
  <c r="S26" i="176" s="1"/>
  <c r="R27" i="176"/>
  <c r="S27" i="176" s="1"/>
  <c r="V23" i="176"/>
  <c r="W23" i="176" s="1"/>
  <c r="Y23" i="176" s="1"/>
  <c r="V24" i="176"/>
  <c r="W24" i="176" s="1"/>
  <c r="Y24" i="176" s="1"/>
  <c r="AB8" i="176"/>
  <c r="Y34" i="176"/>
  <c r="R23" i="176"/>
  <c r="S23" i="176" s="1"/>
  <c r="R24" i="176"/>
  <c r="S24" i="176" s="1"/>
  <c r="V25" i="176"/>
  <c r="W25" i="176" s="1"/>
  <c r="Y25" i="176" s="1"/>
  <c r="V21" i="176"/>
  <c r="W21" i="176" s="1"/>
  <c r="Y21" i="176" s="1"/>
  <c r="V25" i="175"/>
  <c r="W25" i="175" s="1"/>
  <c r="Y25" i="175" s="1"/>
  <c r="V24" i="175"/>
  <c r="W24" i="175" s="1"/>
  <c r="Y24" i="175" s="1"/>
  <c r="R22" i="175"/>
  <c r="S22" i="175" s="1"/>
  <c r="R19" i="175"/>
  <c r="S19" i="175" s="1"/>
  <c r="V29" i="175"/>
  <c r="W29" i="175" s="1"/>
  <c r="Y29" i="175" s="1"/>
  <c r="V22" i="175"/>
  <c r="W22" i="175" s="1"/>
  <c r="Y22" i="175" s="1"/>
  <c r="R26" i="175"/>
  <c r="S26" i="175" s="1"/>
  <c r="R20" i="175"/>
  <c r="S20" i="175" s="1"/>
  <c r="V20" i="175"/>
  <c r="W20" i="175" s="1"/>
  <c r="Y20" i="175" s="1"/>
  <c r="V26" i="175"/>
  <c r="W26" i="175" s="1"/>
  <c r="Y26" i="175" s="1"/>
  <c r="R28" i="175"/>
  <c r="S28" i="175" s="1"/>
  <c r="R25" i="175"/>
  <c r="S25" i="175" s="1"/>
  <c r="V27" i="175"/>
  <c r="W27" i="175" s="1"/>
  <c r="Y27" i="175" s="1"/>
  <c r="V16" i="175"/>
  <c r="W16" i="175" s="1"/>
  <c r="R23" i="175"/>
  <c r="S23" i="175" s="1"/>
  <c r="R16" i="175"/>
  <c r="V19" i="175"/>
  <c r="W19" i="175" s="1"/>
  <c r="Y19" i="175" s="1"/>
  <c r="V17" i="175"/>
  <c r="W17" i="175" s="1"/>
  <c r="R17" i="175"/>
  <c r="S17" i="175" s="1"/>
  <c r="AA7" i="175" s="1"/>
  <c r="V23" i="175"/>
  <c r="W23" i="175" s="1"/>
  <c r="Y23" i="175" s="1"/>
  <c r="R24" i="175"/>
  <c r="S24" i="175" s="1"/>
  <c r="V21" i="175"/>
  <c r="W21" i="175" s="1"/>
  <c r="Y21" i="175" s="1"/>
  <c r="W32" i="175"/>
  <c r="Y32" i="175" s="1"/>
  <c r="U31" i="175"/>
  <c r="R21" i="175"/>
  <c r="S21" i="175" s="1"/>
  <c r="R27" i="175"/>
  <c r="S27" i="175" s="1"/>
  <c r="R18" i="175"/>
  <c r="S18" i="175" s="1"/>
  <c r="R29" i="175"/>
  <c r="S29" i="175" s="1"/>
  <c r="V28" i="175"/>
  <c r="W28" i="175" s="1"/>
  <c r="Y28" i="175" s="1"/>
  <c r="V18" i="175"/>
  <c r="W18" i="175" s="1"/>
  <c r="AB8" i="175"/>
  <c r="Y34" i="175"/>
  <c r="AA11" i="183" l="1"/>
  <c r="AB11" i="183"/>
  <c r="Z19" i="181"/>
  <c r="AC7" i="181"/>
  <c r="Y10" i="178"/>
  <c r="Y11" i="178" s="1"/>
  <c r="AB6" i="181"/>
  <c r="Z17" i="181"/>
  <c r="AC6" i="181"/>
  <c r="S38" i="181"/>
  <c r="T37" i="181" s="1"/>
  <c r="AB5" i="181" s="1"/>
  <c r="T16" i="181"/>
  <c r="W18" i="181"/>
  <c r="X18" i="181" s="1"/>
  <c r="X16" i="181"/>
  <c r="V46" i="178"/>
  <c r="AB7" i="176"/>
  <c r="Y17" i="176"/>
  <c r="Y18" i="176"/>
  <c r="W31" i="176"/>
  <c r="Y16" i="176"/>
  <c r="AB6" i="176"/>
  <c r="R37" i="176"/>
  <c r="S36" i="176" s="1"/>
  <c r="AA5" i="176" s="1"/>
  <c r="AA6" i="176"/>
  <c r="S31" i="176"/>
  <c r="V37" i="176"/>
  <c r="W36" i="176" s="1"/>
  <c r="Y36" i="176" s="1"/>
  <c r="AB7" i="175"/>
  <c r="Y17" i="175"/>
  <c r="Y18" i="175"/>
  <c r="R37" i="175"/>
  <c r="S36" i="175" s="1"/>
  <c r="AA5" i="175" s="1"/>
  <c r="S16" i="175"/>
  <c r="V37" i="175"/>
  <c r="W36" i="175" s="1"/>
  <c r="Y36" i="175" s="1"/>
  <c r="W31" i="175"/>
  <c r="Y16" i="175"/>
  <c r="AB6" i="175"/>
  <c r="W38" i="181" l="1"/>
  <c r="X37" i="181" s="1"/>
  <c r="Z37" i="181" s="1"/>
  <c r="AA10" i="176"/>
  <c r="AB5" i="176"/>
  <c r="AB10" i="176" s="1"/>
  <c r="S38" i="176"/>
  <c r="AB5" i="175"/>
  <c r="AB10" i="175" s="1"/>
  <c r="Z18" i="181"/>
  <c r="AB9" i="181"/>
  <c r="AB10" i="181" s="1"/>
  <c r="T33" i="181"/>
  <c r="T39" i="181" s="1"/>
  <c r="X33" i="181"/>
  <c r="AC9" i="181"/>
  <c r="Z16" i="181"/>
  <c r="W38" i="176"/>
  <c r="Y31" i="176"/>
  <c r="Y38" i="176" s="1"/>
  <c r="W38" i="175"/>
  <c r="Y31" i="175"/>
  <c r="Y38" i="175" s="1"/>
  <c r="AA6" i="175"/>
  <c r="AA10" i="175" s="1"/>
  <c r="S31" i="175"/>
  <c r="S38" i="175" s="1"/>
  <c r="AB11" i="181" l="1"/>
  <c r="AC5" i="181"/>
  <c r="AC10" i="181" s="1"/>
  <c r="AA11" i="176"/>
  <c r="AA11" i="175"/>
  <c r="AB11" i="176"/>
  <c r="X39" i="181"/>
  <c r="Z33" i="181"/>
  <c r="Z39" i="181" s="1"/>
  <c r="AB11" i="175"/>
  <c r="AC11" i="181" l="1"/>
  <c r="B8" i="166" l="1"/>
  <c r="A8" i="166"/>
  <c r="O11" i="184" l="1"/>
  <c r="E23" i="184" s="1"/>
  <c r="O11" i="183"/>
  <c r="E23" i="183" s="1"/>
  <c r="M11" i="178"/>
  <c r="E25" i="178" s="1"/>
  <c r="O11" i="175"/>
  <c r="E23" i="175" s="1"/>
  <c r="P11" i="181"/>
  <c r="E25" i="181" s="1"/>
  <c r="O11" i="176"/>
  <c r="E23" i="176" s="1"/>
  <c r="E25" i="52"/>
  <c r="K17" i="52"/>
  <c r="L17" i="52" s="1"/>
  <c r="R17" i="52" s="1"/>
  <c r="K18" i="52"/>
  <c r="L18" i="52" s="1"/>
  <c r="R18" i="52" s="1"/>
  <c r="K34" i="52"/>
  <c r="K35" i="52"/>
  <c r="K36" i="52"/>
  <c r="K37" i="52"/>
  <c r="L37" i="52" s="1"/>
  <c r="R37" i="52" s="1"/>
  <c r="K38" i="52"/>
  <c r="L38" i="52" s="1"/>
  <c r="R38" i="52" s="1"/>
  <c r="K39" i="52"/>
  <c r="L39" i="52" s="1"/>
  <c r="R39" i="52" s="1"/>
  <c r="K40" i="52"/>
  <c r="K41" i="52"/>
  <c r="L41" i="52" s="1"/>
  <c r="K42" i="52"/>
  <c r="D4" i="52"/>
  <c r="D9" i="52"/>
  <c r="P33" i="52"/>
  <c r="P45" i="52" s="1"/>
  <c r="N10" i="52"/>
  <c r="N6" i="52"/>
  <c r="D10" i="52" s="1"/>
  <c r="J17" i="52"/>
  <c r="J18" i="52"/>
  <c r="J16" i="52"/>
  <c r="J35" i="52"/>
  <c r="J37" i="52"/>
  <c r="J38" i="52"/>
  <c r="J39" i="52"/>
  <c r="J41" i="52"/>
  <c r="J42" i="52"/>
  <c r="J34" i="52"/>
  <c r="K16" i="52"/>
  <c r="L16" i="52" s="1"/>
  <c r="J40" i="52"/>
  <c r="B31" i="52"/>
  <c r="B30" i="52"/>
  <c r="D3" i="82"/>
  <c r="D4" i="82"/>
  <c r="D5" i="82"/>
  <c r="D6" i="82"/>
  <c r="D7" i="82"/>
  <c r="D8" i="82"/>
  <c r="D9" i="82"/>
  <c r="D10" i="82"/>
  <c r="D11" i="82"/>
  <c r="D12" i="82"/>
  <c r="D13" i="82"/>
  <c r="D14" i="82"/>
  <c r="D15" i="82"/>
  <c r="D16" i="82"/>
  <c r="D17" i="82"/>
  <c r="D18" i="82"/>
  <c r="D19" i="82"/>
  <c r="D20" i="82"/>
  <c r="D21" i="82"/>
  <c r="D22" i="82"/>
  <c r="D23" i="82"/>
  <c r="D24" i="82"/>
  <c r="D25" i="82"/>
  <c r="D26" i="82"/>
  <c r="D27" i="82"/>
  <c r="D28" i="82"/>
  <c r="D29" i="82"/>
  <c r="D30" i="82"/>
  <c r="D31" i="82"/>
  <c r="D32" i="82"/>
  <c r="D33" i="82"/>
  <c r="D34" i="82"/>
  <c r="D35" i="82"/>
  <c r="D36" i="82"/>
  <c r="D37" i="82"/>
  <c r="D38" i="82"/>
  <c r="D39" i="82"/>
  <c r="D40" i="82"/>
  <c r="D41" i="82"/>
  <c r="D42" i="82"/>
  <c r="D43" i="82"/>
  <c r="D44" i="82"/>
  <c r="D45" i="82"/>
  <c r="D46" i="82"/>
  <c r="D47" i="82"/>
  <c r="D48" i="82"/>
  <c r="D49" i="82"/>
  <c r="D50" i="82"/>
  <c r="D51" i="82"/>
  <c r="D52" i="82"/>
  <c r="D53" i="82"/>
  <c r="D54" i="82"/>
  <c r="D55" i="82"/>
  <c r="D56" i="82"/>
  <c r="D57" i="82"/>
  <c r="D58" i="82"/>
  <c r="D59" i="82"/>
  <c r="D2" i="82"/>
  <c r="C24" i="73"/>
  <c r="D24" i="73"/>
  <c r="E24" i="73"/>
  <c r="F24" i="73"/>
  <c r="G24" i="73"/>
  <c r="H24" i="73"/>
  <c r="B10" i="73"/>
  <c r="B11" i="73"/>
  <c r="B12" i="73"/>
  <c r="B13" i="73"/>
  <c r="B14" i="73"/>
  <c r="B15" i="73"/>
  <c r="B16" i="73"/>
  <c r="B17" i="73"/>
  <c r="B18" i="73"/>
  <c r="B19" i="73"/>
  <c r="B20" i="73"/>
  <c r="B21" i="73"/>
  <c r="B22" i="73"/>
  <c r="A1" i="50"/>
  <c r="J36" i="52"/>
  <c r="L40" i="52"/>
  <c r="R40" i="52" s="1"/>
  <c r="L34" i="52"/>
  <c r="R34" i="52" s="1"/>
  <c r="L42" i="52"/>
  <c r="R42" i="52" s="1"/>
  <c r="L35" i="52"/>
  <c r="R35" i="52" s="1"/>
  <c r="L36" i="52"/>
  <c r="R36" i="52" s="1"/>
  <c r="D11" i="52" l="1"/>
  <c r="I23" i="52" s="1"/>
  <c r="I32" i="52"/>
  <c r="L32" i="52" s="1"/>
  <c r="R32" i="52" s="1"/>
  <c r="I19" i="52"/>
  <c r="K19" i="52" s="1"/>
  <c r="J33" i="52"/>
  <c r="R41" i="52"/>
  <c r="V7" i="52"/>
  <c r="I22" i="52"/>
  <c r="I21" i="52"/>
  <c r="K21" i="52" s="1"/>
  <c r="L21" i="52" s="1"/>
  <c r="R21" i="52" s="1"/>
  <c r="I29" i="52"/>
  <c r="K29" i="52" s="1"/>
  <c r="I24" i="52"/>
  <c r="K24" i="52" s="1"/>
  <c r="I28" i="52"/>
  <c r="I26" i="52"/>
  <c r="K26" i="52" s="1"/>
  <c r="I25" i="52"/>
  <c r="I20" i="52"/>
  <c r="V8" i="52"/>
  <c r="B24" i="73"/>
  <c r="L24" i="52"/>
  <c r="K28" i="52"/>
  <c r="L28" i="52" s="1"/>
  <c r="C25" i="73"/>
  <c r="K20" i="52"/>
  <c r="R16" i="52"/>
  <c r="L29" i="52"/>
  <c r="R29" i="52" s="1"/>
  <c r="I27" i="52" l="1"/>
  <c r="K27" i="52" s="1"/>
  <c r="I30" i="52"/>
  <c r="I31" i="52"/>
  <c r="L19" i="52"/>
  <c r="R19" i="52" s="1"/>
  <c r="L27" i="52"/>
  <c r="R27" i="52" s="1"/>
  <c r="I33" i="52"/>
  <c r="K22" i="52"/>
  <c r="L22" i="52" s="1"/>
  <c r="K30" i="52"/>
  <c r="L30" i="52" s="1"/>
  <c r="R30" i="52" s="1"/>
  <c r="L26" i="52"/>
  <c r="R26" i="52" s="1"/>
  <c r="K23" i="52"/>
  <c r="K25" i="52"/>
  <c r="L25" i="52" s="1"/>
  <c r="R25" i="52" s="1"/>
  <c r="R28" i="52"/>
  <c r="L20" i="52"/>
  <c r="R24" i="52"/>
  <c r="V6" i="52"/>
  <c r="R20" i="52"/>
  <c r="K31" i="52" l="1"/>
  <c r="L31" i="52"/>
  <c r="R31" i="52" s="1"/>
  <c r="K44" i="52"/>
  <c r="L43" i="52" s="1"/>
  <c r="V4" i="52" s="1"/>
  <c r="L23" i="52"/>
  <c r="R23" i="52" s="1"/>
  <c r="R22" i="52"/>
  <c r="V5" i="52"/>
  <c r="L33" i="52"/>
  <c r="I45" i="52"/>
  <c r="J15" i="52"/>
  <c r="R43" i="52" l="1"/>
  <c r="J27" i="52"/>
  <c r="J23" i="52"/>
  <c r="J25" i="52"/>
  <c r="J29" i="52"/>
  <c r="J20" i="52"/>
  <c r="J26" i="52"/>
  <c r="J31" i="52"/>
  <c r="J19" i="52"/>
  <c r="J21" i="52"/>
  <c r="J30" i="52"/>
  <c r="J22" i="52"/>
  <c r="J28" i="52"/>
  <c r="J32" i="52"/>
  <c r="J24" i="52"/>
  <c r="L45" i="52"/>
  <c r="R33" i="52"/>
  <c r="R45" i="52" s="1"/>
  <c r="V9" i="52"/>
  <c r="V10" i="52" l="1"/>
  <c r="W10" i="178" l="1"/>
  <c r="W11" i="178" s="1"/>
  <c r="R17" i="178" l="1"/>
  <c r="R18" i="178"/>
  <c r="R19" i="178"/>
  <c r="X7" i="178" s="1"/>
  <c r="R20" i="178"/>
  <c r="R21" i="178"/>
  <c r="R22" i="178"/>
  <c r="R23" i="178"/>
  <c r="R24" i="178"/>
  <c r="R27" i="178"/>
  <c r="R28" i="178"/>
  <c r="R29" i="178"/>
  <c r="R30" i="178"/>
  <c r="R31" i="178"/>
  <c r="R32" i="178"/>
  <c r="R15" i="178" s="1"/>
  <c r="R33" i="178"/>
  <c r="X6" i="178" l="1"/>
  <c r="X5" i="178"/>
  <c r="X10" i="178" l="1"/>
  <c r="X11" i="17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</authors>
  <commentList>
    <comment ref="D8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00000000-0006-0000-0F00-000002000000}">
      <text>
        <r>
          <rPr>
            <b/>
            <sz val="8"/>
            <color indexed="81"/>
            <rFont val="Tahoma"/>
            <family val="2"/>
          </rPr>
          <t>Court Sec. Fee &amp; Crim Conv. Assmnt ASSESSED FOR EVERY CONVICTION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D8" authorId="0" shapeId="0" xr:uid="{58D9733B-6D4F-405B-B122-F4951C5278F7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9EC31A7A-D875-4AD8-8026-FAF2E9F78A0C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3" authorId="1" shapeId="0" xr:uid="{BAF2556A-BE49-49F4-BDFF-D041094F99DF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D8" authorId="0" shapeId="0" xr:uid="{0CAB119E-952F-4A3D-960E-168E78FA9B76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4C495E54-8AA4-43B8-BE96-ECF48774AA53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3" authorId="1" shapeId="0" xr:uid="{FF770378-77EA-4B27-8212-C3A46B6E23BA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  <author>Lowrie, Don</author>
  </authors>
  <commentList>
    <comment ref="D8" authorId="0" shapeId="0" xr:uid="{1FB086CA-F92C-4A7D-8A15-45F55D70496A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1" shapeId="0" xr:uid="{38BA14D7-0545-4115-9CE1-DDD45726AE47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5" authorId="2" shapeId="0" xr:uid="{B08622EB-0748-4DD0-8401-D7FEA9F729D1}">
      <text>
        <r>
          <rPr>
            <b/>
            <sz val="9"/>
            <color indexed="81"/>
            <rFont val="Tahoma"/>
            <family val="2"/>
          </rPr>
          <t>ASSESSED FOR EVERY CONVICTION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D8" authorId="0" shapeId="0" xr:uid="{C71F2FDB-55D0-4BFE-A992-9DA39B00EC61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B8673A01-305B-4322-971E-9F8F1E084F4A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3" authorId="1" shapeId="0" xr:uid="{56C49230-CA9B-4FA0-B3D3-19C0E0E53782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AOC User</author>
    <author>Ryan Mendoza</author>
  </authors>
  <commentList>
    <comment ref="C34" authorId="0" shapeId="0" xr:uid="{55C9FC70-BAE1-4350-822A-D0BEDBFD25E2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5" authorId="0" shapeId="0" xr:uid="{A3D64DD8-5F0D-4D65-AC72-6F932F62EF3F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6" authorId="1" shapeId="0" xr:uid="{E3137ECE-9F93-41CC-9063-DE87C3450DFC}">
      <text>
        <r>
          <rPr>
            <b/>
            <sz val="9"/>
            <color indexed="81"/>
            <rFont val="Tahoma"/>
            <family val="2"/>
          </rPr>
          <t>Court may not impose IF it finds "COMPELLING AND EXTRAORDINARY REASON/S" stated on RECORD. Inability to pay is not considered a compelling and extraordinary reason.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D8" authorId="0" shapeId="0" xr:uid="{205F1AD3-A905-416C-B3BD-9FAE47837D68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8021BAD6-1C87-4EEE-9840-FFBE88F9140C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3" authorId="1" shapeId="0" xr:uid="{A07D64B0-DA42-4895-AD7B-9519AB2B8EE4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<sst xmlns="http://schemas.openxmlformats.org/spreadsheetml/2006/main" count="1412" uniqueCount="350">
  <si>
    <t>Fund</t>
  </si>
  <si>
    <t>TOTAL</t>
  </si>
  <si>
    <t>Bail Forfeiture</t>
  </si>
  <si>
    <t>Violation Date</t>
  </si>
  <si>
    <t>Arresting Agency</t>
  </si>
  <si>
    <t>2% Amt</t>
  </si>
  <si>
    <t>N</t>
  </si>
  <si>
    <t>Y</t>
  </si>
  <si>
    <t>Statute</t>
  </si>
  <si>
    <t>State General Fund</t>
  </si>
  <si>
    <t>Disposition Date</t>
  </si>
  <si>
    <t>State Restitution</t>
  </si>
  <si>
    <t>County Special Account</t>
  </si>
  <si>
    <t>County Alcohol Abuse Prevention</t>
  </si>
  <si>
    <t>Total Fine</t>
  </si>
  <si>
    <t>Violation Type</t>
  </si>
  <si>
    <t>Disposition</t>
  </si>
  <si>
    <t>Priors</t>
  </si>
  <si>
    <t>County or City General Fund</t>
  </si>
  <si>
    <t>City General Fund</t>
  </si>
  <si>
    <t>State Penalty Fund</t>
  </si>
  <si>
    <t>County General Fund</t>
  </si>
  <si>
    <t>COUNT 1</t>
  </si>
  <si>
    <t>Base Fine</t>
  </si>
  <si>
    <t>Section</t>
  </si>
  <si>
    <t>STATE</t>
  </si>
  <si>
    <t>COUNTY</t>
  </si>
  <si>
    <t>Special Distribution</t>
  </si>
  <si>
    <t>County Criminal Justice Facilities Construction Fund</t>
  </si>
  <si>
    <t>County Maddy EMS Fund</t>
  </si>
  <si>
    <t>State Court Facilities Construction Fund</t>
  </si>
  <si>
    <t>Court Security Fee</t>
  </si>
  <si>
    <t>State Trial Court Trust Fund</t>
  </si>
  <si>
    <t>D</t>
  </si>
  <si>
    <t>State Automation Fund</t>
  </si>
  <si>
    <t>A</t>
  </si>
  <si>
    <t>B</t>
  </si>
  <si>
    <t>C</t>
  </si>
  <si>
    <t>2% State Automation - GC 68090.8</t>
  </si>
  <si>
    <t>Sp</t>
  </si>
  <si>
    <t>Fine Component</t>
  </si>
  <si>
    <t>Standard PA, Fees and Surcharge</t>
  </si>
  <si>
    <t>Additional PA, Fees and Surcharge</t>
  </si>
  <si>
    <t>2% Automation</t>
  </si>
  <si>
    <t>State Restitution Fund</t>
  </si>
  <si>
    <t>CITY</t>
  </si>
  <si>
    <t>City %</t>
  </si>
  <si>
    <t>County %</t>
  </si>
  <si>
    <t>County DNA Identification Fund</t>
  </si>
  <si>
    <t>Description and Statute</t>
  </si>
  <si>
    <t>Revenue Distribution Account Mapping</t>
  </si>
  <si>
    <t>Per 10</t>
  </si>
  <si>
    <t>VC 40611</t>
  </si>
  <si>
    <t>Local Criminal Justice Facilities - GC 76101</t>
  </si>
  <si>
    <t>FINDINGS</t>
  </si>
  <si>
    <t>Local Courthouse Construction Fund - GC 76100</t>
  </si>
  <si>
    <t>County Courthouse Construction Fund</t>
  </si>
  <si>
    <t>County Maddy Emergency Medical Services Fund</t>
  </si>
  <si>
    <t>Traffic School Fee</t>
  </si>
  <si>
    <t>VC 42007.1</t>
  </si>
  <si>
    <t>State DNA Identification Fund3</t>
  </si>
  <si>
    <t>PC 1465.8</t>
  </si>
  <si>
    <t>Test No.</t>
  </si>
  <si>
    <t>Case No.</t>
  </si>
  <si>
    <t>Arrtg Agy</t>
  </si>
  <si>
    <t>VC 42006</t>
  </si>
  <si>
    <t>County Night Court Session Fund</t>
  </si>
  <si>
    <t>TOTAL FINE</t>
  </si>
  <si>
    <t xml:space="preserve">Court </t>
  </si>
  <si>
    <t>TOTALS</t>
  </si>
  <si>
    <t>USE IF THE TEST CASE IS UNDER A PAYMENT PLAN</t>
  </si>
  <si>
    <t>Payment Dates</t>
  </si>
  <si>
    <t>Fund Accounts</t>
  </si>
  <si>
    <t>Alameda</t>
  </si>
  <si>
    <t>Alpine</t>
  </si>
  <si>
    <t>Amador</t>
  </si>
  <si>
    <t>Butte</t>
  </si>
  <si>
    <t>Claveras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</si>
  <si>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</si>
  <si>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</si>
  <si>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</si>
  <si>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</si>
  <si>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</si>
  <si>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</si>
  <si>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</si>
  <si>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</si>
  <si>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</si>
  <si>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</si>
  <si>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</si>
  <si>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</si>
  <si>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</si>
  <si>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</si>
  <si>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</si>
  <si>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</si>
  <si>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</si>
  <si>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</si>
  <si>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</si>
  <si>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</si>
  <si>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</si>
  <si>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</si>
  <si>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</si>
  <si>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</si>
  <si>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</si>
  <si>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Plumas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</si>
  <si>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</si>
  <si>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</si>
  <si>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</si>
  <si>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</si>
  <si>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</si>
  <si>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</si>
  <si>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</si>
  <si>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</si>
  <si>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</si>
  <si>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</si>
  <si>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</si>
  <si>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</si>
  <si>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</si>
  <si>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</si>
  <si>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</si>
  <si>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</si>
  <si>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</si>
  <si>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</si>
  <si>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</si>
  <si>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</si>
  <si>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</si>
  <si>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</si>
  <si>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</si>
  <si>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</si>
  <si>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</si>
  <si>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</si>
  <si>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</si>
  <si>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Superior Court of </t>
  </si>
  <si>
    <t xml:space="preserve"> County</t>
  </si>
  <si>
    <t>SELECT COURT NAME</t>
  </si>
  <si>
    <t>Criminal Conviction Assessment</t>
  </si>
  <si>
    <t>Title</t>
  </si>
  <si>
    <t>GC 70373</t>
  </si>
  <si>
    <t>per violation NOT per case</t>
  </si>
  <si>
    <t>How Assessed</t>
  </si>
  <si>
    <t>New Assessment or Fee</t>
  </si>
  <si>
    <t>Infraction - $35 fee
Misd or Fel - $30</t>
  </si>
  <si>
    <t xml:space="preserve">Distribution </t>
  </si>
  <si>
    <t>State ICNA Fund</t>
  </si>
  <si>
    <t>State Courthouse Construction</t>
  </si>
  <si>
    <t>GC 70372A</t>
  </si>
  <si>
    <t>for every 10 of the base fine</t>
  </si>
  <si>
    <t>Proof of Correction (POC)</t>
  </si>
  <si>
    <t>from $10 to $25</t>
  </si>
  <si>
    <t>First $10 - same distribution
Remaining $15 and succeeding $25 - State ICNA Fund</t>
  </si>
  <si>
    <t>per case</t>
  </si>
  <si>
    <t>from $24 to $49</t>
  </si>
  <si>
    <t>49% or ~$24  - same distribution
51% or ~$25 - State ICNA Fund</t>
  </si>
  <si>
    <t>Insert line items in the testing worksheet for each of the following new fees and PA, when applicable</t>
  </si>
  <si>
    <t>same distribution</t>
  </si>
  <si>
    <t xml:space="preserve">from $5 reduced by LCCF to flat $5 per 10 </t>
  </si>
  <si>
    <t>from $20 to $30</t>
  </si>
  <si>
    <t>Effective 7/28/09</t>
  </si>
  <si>
    <t>Notes</t>
  </si>
  <si>
    <t>State ICNA</t>
  </si>
  <si>
    <t>UPDATES WHEN TESTING 2009 CASES ONWARDS (effective 1/1/09) - Per SB 1407</t>
  </si>
  <si>
    <t>UPDATES WHEN TESTING 2009 CASES  ONWARDS w/ Violation Date AFTER 7/28/09 - Per SB 13</t>
  </si>
  <si>
    <t>UPDATES WHEN TESTING 2009 CASES  ONWARDS (effective 1/1/09) - Per AB 1949</t>
  </si>
  <si>
    <t>Night Court Assessment Fee</t>
  </si>
  <si>
    <t>same ($1)</t>
  </si>
  <si>
    <t>per case (if levied by the County)</t>
  </si>
  <si>
    <t>New Distribution</t>
  </si>
  <si>
    <r>
      <rPr>
        <u/>
        <sz val="10"/>
        <rFont val="Arial"/>
        <family val="2"/>
      </rPr>
      <t>Before:</t>
    </r>
    <r>
      <rPr>
        <sz val="10"/>
        <rFont val="Arial"/>
        <family val="2"/>
      </rPr>
      <t xml:space="preserve">  County Night Court Session Fund
</t>
    </r>
    <r>
      <rPr>
        <u/>
        <sz val="10"/>
        <rFont val="Arial"/>
        <family val="2"/>
      </rPr>
      <t>Now:</t>
    </r>
    <r>
      <rPr>
        <sz val="10"/>
        <rFont val="Arial"/>
        <family val="2"/>
      </rPr>
      <t xml:space="preserve">  if Court is fully transferred, distributed to the Court Facilities Trust Fund (County to remit in new TC -31 line item).  If NOT fully transferred, distribution follows "Before" distribution.</t>
    </r>
  </si>
  <si>
    <t>Distribution To</t>
  </si>
  <si>
    <t>State ICNA Fund - LCCF divided by 5 or LCCF per 10
State CFCF - 5 less LCCF</t>
  </si>
  <si>
    <t>PC 1463.001 - Base County</t>
  </si>
  <si>
    <t>PC 1463.002 - Base City</t>
  </si>
  <si>
    <t>PC 1464 - State PA (7/10)</t>
  </si>
  <si>
    <t>PC 1464 - County PA (3/10)</t>
  </si>
  <si>
    <t>GC 76104.6 - DNA PA (1/10)</t>
  </si>
  <si>
    <t>GC 76100 - LCCF</t>
  </si>
  <si>
    <t>GC 76101 - LCJF</t>
  </si>
  <si>
    <t>GC 76104 - EMS</t>
  </si>
  <si>
    <t>PC 1465.7 - 20% Surcharge</t>
  </si>
  <si>
    <t>SUBTOTAL</t>
  </si>
  <si>
    <t>PC 1463.25 - Alcohol Edu PA (up to $50)</t>
  </si>
  <si>
    <t>PC 1202.4 - State Restitution</t>
  </si>
  <si>
    <t>GC 68090.8 - 2% Automation</t>
  </si>
  <si>
    <t>VC 42006 - Night Court Assmnt ($1)</t>
  </si>
  <si>
    <t>DISTRIBUTION</t>
  </si>
  <si>
    <t>BASE-UP</t>
  </si>
  <si>
    <t>EXPECTED DISTRIBUTION</t>
  </si>
  <si>
    <t>COURT DISTRIBUTION</t>
  </si>
  <si>
    <t>COURT</t>
  </si>
  <si>
    <t>Case Number</t>
  </si>
  <si>
    <t>VC 40508.6 - Priors Admin Fee (up to $10)</t>
  </si>
  <si>
    <t>Enhanced BASE</t>
  </si>
  <si>
    <t>CASE INFORMATION</t>
  </si>
  <si>
    <t>4. Enter standard and Court-specific fees</t>
  </si>
  <si>
    <t>1. Enter Case Information</t>
  </si>
  <si>
    <t>2. Enter the base fine per currrent UBS</t>
  </si>
  <si>
    <t>3. Enter the Court's GC 76000 PA per 10 amts</t>
  </si>
  <si>
    <t>6. Enter Court's distribution codes &amp; amts</t>
  </si>
  <si>
    <r>
      <t xml:space="preserve">EXPECTED
</t>
    </r>
    <r>
      <rPr>
        <b/>
        <sz val="10"/>
        <rFont val="Calibri"/>
        <family val="2"/>
      </rPr>
      <t>(After 2%)</t>
    </r>
  </si>
  <si>
    <t>TOTAL BASE</t>
  </si>
  <si>
    <r>
      <rPr>
        <b/>
        <sz val="11"/>
        <rFont val="Calibri"/>
        <family val="2"/>
      </rPr>
      <t>BASE REDUCTION:</t>
    </r>
    <r>
      <rPr>
        <sz val="11"/>
        <rFont val="Calibri"/>
        <family val="2"/>
      </rPr>
      <t xml:space="preserve"> PC 1463.14(a) - DUI Lab Fees ($50)</t>
    </r>
  </si>
  <si>
    <r>
      <rPr>
        <b/>
        <sz val="11"/>
        <rFont val="Calibri"/>
        <family val="2"/>
      </rPr>
      <t xml:space="preserve">BASE REDUCTION: </t>
    </r>
    <r>
      <rPr>
        <sz val="11"/>
        <rFont val="Calibri"/>
        <family val="2"/>
      </rPr>
      <t>PC 1463.18 - DUI Indemnity ($20)</t>
    </r>
  </si>
  <si>
    <t>Violation Description</t>
  </si>
  <si>
    <t>7. Mark any findings numerically then detail below</t>
  </si>
  <si>
    <t>Total</t>
  </si>
  <si>
    <r>
      <rPr>
        <b/>
        <sz val="12"/>
        <rFont val="Calibri"/>
        <family val="2"/>
      </rPr>
      <t>BASE-UP</t>
    </r>
    <r>
      <rPr>
        <b/>
        <sz val="10"/>
        <rFont val="Calibri"/>
        <family val="2"/>
      </rPr>
      <t xml:space="preserve">
(Standard-Per UBS)</t>
    </r>
  </si>
  <si>
    <t>DISTRIB AMT</t>
  </si>
  <si>
    <t>DISTRIB
ENTITY</t>
  </si>
  <si>
    <t>$ BY ENTITY</t>
  </si>
  <si>
    <t>Crt OR Cty</t>
  </si>
  <si>
    <r>
      <t xml:space="preserve">TOP-DOWN
</t>
    </r>
    <r>
      <rPr>
        <b/>
        <sz val="10"/>
        <rFont val="Calibri"/>
        <family val="2"/>
      </rPr>
      <t>(IAS-Using Sub total % of Std)</t>
    </r>
  </si>
  <si>
    <t>COUNT 2 (if any)</t>
  </si>
  <si>
    <t>GC 76102 - Auto Fingerprint</t>
  </si>
  <si>
    <t>5. If case's total fine is NOT standard, enter total fine and select TOP-DOWN from list</t>
  </si>
  <si>
    <r>
      <rPr>
        <b/>
        <sz val="12"/>
        <color indexed="10"/>
        <rFont val="Calibri"/>
        <family val="2"/>
      </rPr>
      <t>VARIANCE</t>
    </r>
    <r>
      <rPr>
        <b/>
        <sz val="10"/>
        <color indexed="10"/>
        <rFont val="Calibri"/>
        <family val="2"/>
      </rPr>
      <t xml:space="preserve">
</t>
    </r>
    <r>
      <rPr>
        <b/>
        <sz val="10"/>
        <rFont val="Calibri"/>
        <family val="2"/>
      </rPr>
      <t>Over</t>
    </r>
    <r>
      <rPr>
        <b/>
        <sz val="10"/>
        <color indexed="10"/>
        <rFont val="Calibri"/>
        <family val="2"/>
      </rPr>
      <t>/
(Under)</t>
    </r>
  </si>
  <si>
    <t>BASE FINE</t>
  </si>
  <si>
    <t xml:space="preserve">1 - Driving Under Influence - </t>
  </si>
  <si>
    <t>GC 70373 - Crim Conv Assmnt ($30 for misd/$35 for infr)</t>
  </si>
  <si>
    <t>DISTRIB CODE or DESCRIPTION</t>
  </si>
  <si>
    <r>
      <t xml:space="preserve">TEST STEPS </t>
    </r>
    <r>
      <rPr>
        <sz val="12"/>
        <rFont val="Calibri"/>
        <family val="2"/>
      </rPr>
      <t>(color codes)</t>
    </r>
    <r>
      <rPr>
        <b/>
        <sz val="14"/>
        <rFont val="Calibri"/>
        <family val="2"/>
      </rPr>
      <t>:</t>
    </r>
  </si>
  <si>
    <t>PC 1203.1(L) - Restitution Fee (up to 10% of total rest)</t>
  </si>
  <si>
    <t>VC 23152</t>
  </si>
  <si>
    <t>CHP - outside city</t>
  </si>
  <si>
    <t>DUI of Alcohol/Drugs</t>
  </si>
  <si>
    <t>misdemeanor</t>
  </si>
  <si>
    <t>TOTAL Enhanced Base</t>
  </si>
  <si>
    <t xml:space="preserve">Portion of 10 </t>
  </si>
  <si>
    <t>GC 76104.7 - DNA Addl PA (3/10 eff 6-10-10; prev 1/10)</t>
  </si>
  <si>
    <t>GC 70372(a) - ICNA (equal to LCCF)</t>
  </si>
  <si>
    <t>GC 70372(a) - SCFCF (5/10 minus LCCF)</t>
  </si>
  <si>
    <t>GC 70372(a) total is $5 for every 10</t>
  </si>
  <si>
    <t>CASE NUMBER</t>
  </si>
  <si>
    <r>
      <rPr>
        <b/>
        <sz val="11"/>
        <rFont val="Calibri"/>
        <family val="2"/>
      </rPr>
      <t>BASE REDUCTION</t>
    </r>
    <r>
      <rPr>
        <sz val="11"/>
        <rFont val="Calibri"/>
        <family val="2"/>
      </rPr>
      <t>: PC 1463.16 - DUI Prog Fees (BOS: $50)</t>
    </r>
  </si>
  <si>
    <t>PC 1463.13 - Alcohol &amp; Drug Assmnt (BOS: up to $150)</t>
  </si>
  <si>
    <t>PC 1205(d) - Installment Fee (BOS: up to $30 OR up to $35)</t>
  </si>
  <si>
    <t>GC 76000.5 - EMS Addl PA (BOS: 2/10)</t>
  </si>
  <si>
    <t>PC 1465.8 - Court Sec Fee ($30 eff 7-28-09, prev $20)</t>
  </si>
  <si>
    <t>STANDARD BASE-UP</t>
  </si>
  <si>
    <t>Standard-Per UBS</t>
  </si>
  <si>
    <r>
      <t xml:space="preserve">FINAL
</t>
    </r>
    <r>
      <rPr>
        <b/>
        <sz val="10"/>
        <rFont val="Calibri"/>
        <family val="2"/>
      </rPr>
      <t>(After 2%)</t>
    </r>
  </si>
  <si>
    <t>BASE-UP   (B-A)</t>
  </si>
  <si>
    <t>TOP-DOWN   (B-C)</t>
  </si>
  <si>
    <t>2. Enter the base fine of violation per currrent UBS</t>
  </si>
  <si>
    <t>Entity</t>
  </si>
  <si>
    <t>BU $</t>
  </si>
  <si>
    <t>Traffic Infraction</t>
  </si>
  <si>
    <t>sunsets on 7/1/13 unless deleted or extended before 1/1/14</t>
  </si>
  <si>
    <r>
      <rPr>
        <b/>
        <sz val="10"/>
        <rFont val="Arial"/>
        <family val="2"/>
      </rPr>
      <t xml:space="preserve">Auditor's Note: </t>
    </r>
    <r>
      <rPr>
        <sz val="10"/>
        <rFont val="Arial"/>
        <family val="2"/>
      </rPr>
      <t xml:space="preserve"> However, per PC 1203.1d (e), any addition or increase after 1/1/09 will be </t>
    </r>
    <r>
      <rPr>
        <u/>
        <sz val="10"/>
        <rFont val="Arial"/>
        <family val="2"/>
      </rPr>
      <t>last distrib priority</t>
    </r>
    <r>
      <rPr>
        <sz val="10"/>
        <rFont val="Arial"/>
        <family val="2"/>
      </rPr>
      <t xml:space="preserve">.  &lt;AWAITING OGC opinion by Jasmin&gt;
</t>
    </r>
  </si>
  <si>
    <t>per conviction NOT per case</t>
  </si>
  <si>
    <t xml:space="preserve">per convicted violation  </t>
  </si>
  <si>
    <t>COMMENTS</t>
  </si>
  <si>
    <t>CMS Account Code</t>
  </si>
  <si>
    <t>Code Description</t>
  </si>
  <si>
    <t>GC 76104.5 - DNA ID</t>
  </si>
  <si>
    <t>PC 1465.8 - Court Ops Assmnt ($40 eff 10-19-10)</t>
  </si>
  <si>
    <t>County Court Construction Fund</t>
  </si>
  <si>
    <t>Prorate % After Fixed Amts</t>
  </si>
  <si>
    <t>7. Tickmark any FINDINGS numerically then detail below</t>
  </si>
  <si>
    <t>Yes</t>
  </si>
  <si>
    <t>No</t>
  </si>
  <si>
    <t>NA-County Arrest</t>
  </si>
  <si>
    <t>NA-City Arrest</t>
  </si>
  <si>
    <t>CNTY or CTY</t>
  </si>
  <si>
    <t>State DNA ID Fund</t>
  </si>
  <si>
    <t>GC 76104.7 - DNA Addl PA (4/10 eff 6-27-12; prev 3/10)</t>
  </si>
  <si>
    <t xml:space="preserve">As of: </t>
  </si>
  <si>
    <t>GC 68090.8 - 2% State Automation (for fines, penalties &amp; forfeitures</t>
  </si>
  <si>
    <t xml:space="preserve">State Court Construction Penalty - GC 70372 </t>
  </si>
  <si>
    <t xml:space="preserve">Emergency Medical Services - GC 76104 </t>
  </si>
  <si>
    <t>Base Fine - PC 1463.001 (County Portion)</t>
  </si>
  <si>
    <t>Base Fine - PC 1463.001 (City Portion)</t>
  </si>
  <si>
    <t>State PA  - PC 1464</t>
  </si>
  <si>
    <t>County PA - PC 1464</t>
  </si>
  <si>
    <t>EMS Additional Penalty - GC 76000.5</t>
  </si>
  <si>
    <t xml:space="preserve">DNA Identification PA - GC 76104.6 </t>
  </si>
  <si>
    <t xml:space="preserve">DNA Additional PA. - GC 76104.7 </t>
  </si>
  <si>
    <t xml:space="preserve">20% Surcharge - PC 1465.7 </t>
  </si>
  <si>
    <t>Court Operations Assessment - PC 1465.8</t>
  </si>
  <si>
    <t>County DNA ID Fund/State DNA ID Fund (75%/25%)</t>
  </si>
  <si>
    <t>State Penalty Fund (70%)</t>
  </si>
  <si>
    <t>County General Fund (30%)</t>
  </si>
  <si>
    <t>State Court Facilities Construction Fund/SCFCF-ICNA</t>
  </si>
  <si>
    <t>PC 1464 - State PA - State portion (70%)</t>
  </si>
  <si>
    <t>PC 1464 - State PA - County portion (30%)</t>
  </si>
  <si>
    <t>Calaveras</t>
  </si>
  <si>
    <t>County</t>
  </si>
  <si>
    <t>Answer</t>
  </si>
  <si>
    <t>Please choose the county:</t>
  </si>
  <si>
    <t>GC 76000</t>
  </si>
  <si>
    <t>Test for Local Penalties</t>
  </si>
  <si>
    <t>Has the county transferred responsibility for court facilities to the State?</t>
  </si>
  <si>
    <t>Has county paid off all indebtedness for court facilities?</t>
  </si>
  <si>
    <t>GC 76000 (e)</t>
  </si>
  <si>
    <t>GC 76104.6 - DNA PA (1/10) 25%</t>
  </si>
  <si>
    <t>GC 76104.6 - DNA PA (1/10) 75%</t>
  </si>
  <si>
    <t>GC 70372(a): SCFCF (5/10)</t>
  </si>
  <si>
    <t>3. Enter county local penalties, add'l EMS, SCFCF</t>
  </si>
  <si>
    <t>Coronado PD</t>
  </si>
  <si>
    <t>VC 22349(b)</t>
  </si>
  <si>
    <t>1-15 MPH over 55 MPH</t>
  </si>
  <si>
    <t>PC 1202.4(b) - State Restitution Fine (min: $150 misd/$300 fel)</t>
  </si>
  <si>
    <t>TD 1 $</t>
  </si>
  <si>
    <t>TD 2 $</t>
  </si>
  <si>
    <t>5. If case's total fine is NOT standard, enter total fine and select TOP-DOWN 1 or 2 from drop-down list</t>
  </si>
  <si>
    <t>TOP-DOWN METHOD 1</t>
  </si>
  <si>
    <t>TOP-DOWN METHOD 2</t>
  </si>
  <si>
    <t xml:space="preserve">Prorate All by Same % </t>
  </si>
  <si>
    <t>Case Study 1 - Speeding Bail Forfeiture</t>
  </si>
  <si>
    <t>Misdemeanor</t>
  </si>
  <si>
    <t>Prorate All by Same %</t>
  </si>
  <si>
    <t>As of:</t>
  </si>
  <si>
    <t>Traffic School</t>
  </si>
  <si>
    <t>STANDARD
BASE-UP</t>
  </si>
  <si>
    <t>COURT 
DISTRIBUTION</t>
  </si>
  <si>
    <t>Std Distrib (UBS)</t>
  </si>
  <si>
    <t>Pre-TVS Fee Distrib</t>
  </si>
  <si>
    <r>
      <t xml:space="preserve">Standard
</t>
    </r>
    <r>
      <rPr>
        <b/>
        <sz val="10"/>
        <rFont val="Calibri"/>
        <family val="2"/>
      </rPr>
      <t>(based on VC 42007)</t>
    </r>
  </si>
  <si>
    <t>Using Sub total % of Std incl LCCF &amp; LCJF</t>
  </si>
  <si>
    <t>VC 42007 - TVS Fee (rem bal: Total fine minus Pre-TVS)</t>
  </si>
  <si>
    <t>VC 42007 - Base County</t>
  </si>
  <si>
    <t>VC 42007(c) - Base City (98% of city portion)</t>
  </si>
  <si>
    <t>VC 42007.1 - Traffic School Fee ($49 -49% to County)</t>
  </si>
  <si>
    <t>VC 42007.1 - Traffic School Fee ($49-51% to SCFCF)</t>
  </si>
  <si>
    <t>VC 11205.2(c) - Addl Court TS Admin Fee (up to act costs)</t>
  </si>
  <si>
    <t>VC 11208(c) - Addl DMV TS Admin Fee 
($3 per CCR, Title 13, Section 345.00(g))</t>
  </si>
  <si>
    <t>VC 42007(a)(2) - Install Fee (up to $35) (DISCRETIONARY)</t>
  </si>
  <si>
    <t>2. Enter the base fine of violation per local schedule</t>
  </si>
  <si>
    <t>4. Enter Court-specific fees incl. HS fees if assessed</t>
  </si>
  <si>
    <t>County Arrest?</t>
  </si>
  <si>
    <t>City Arrest?</t>
  </si>
  <si>
    <t>ST or CNTY</t>
  </si>
  <si>
    <r>
      <rPr>
        <b/>
        <sz val="11"/>
        <rFont val="Calibri"/>
        <family val="2"/>
      </rPr>
      <t>BASE ENHANCE:</t>
    </r>
    <r>
      <rPr>
        <sz val="11"/>
        <rFont val="Calibri"/>
        <family val="2"/>
      </rPr>
      <t xml:space="preserve"> HS 11372.5 - Crim Lab Fee ($50)</t>
    </r>
  </si>
  <si>
    <t>County Crim Lab Fund or State GF</t>
  </si>
  <si>
    <r>
      <rPr>
        <b/>
        <sz val="11"/>
        <rFont val="Calibri"/>
        <family val="2"/>
      </rPr>
      <t>BASE ENHANCE:</t>
    </r>
    <r>
      <rPr>
        <sz val="11"/>
        <rFont val="Calibri"/>
        <family val="2"/>
      </rPr>
      <t xml:space="preserve"> HS 11372.7 - Drug Prg Fee (up to $150)</t>
    </r>
  </si>
  <si>
    <t>County Drug Prog Fund</t>
  </si>
  <si>
    <t>HS 11502 - Base State (75%)</t>
  </si>
  <si>
    <t>HS 11502 - Base County or City (25%)</t>
  </si>
  <si>
    <t>Possession w/ intent to sell</t>
  </si>
  <si>
    <t>H&amp;S 11359(b)</t>
  </si>
  <si>
    <t>Case Study 1.2 - Speeding Bail Forfeiture w/ Prior</t>
  </si>
  <si>
    <t>Case Study 2 - Speeding Traffic Violator School</t>
  </si>
  <si>
    <t>VC 22450(a)</t>
  </si>
  <si>
    <t>Palomar CCD PD</t>
  </si>
  <si>
    <r>
      <t>County Night Court Session Fund/</t>
    </r>
    <r>
      <rPr>
        <b/>
        <sz val="11"/>
        <rFont val="Calibri"/>
        <family val="2"/>
        <scheme val="minor"/>
      </rPr>
      <t>Court Facilities Trust Fund</t>
    </r>
  </si>
  <si>
    <t>Automated Fingerprint Identification Fund</t>
  </si>
  <si>
    <t>State DNA Identification Fund</t>
  </si>
  <si>
    <t>Trial Court Improvement and Modernization Fund</t>
  </si>
  <si>
    <t>Top-Down Methods 1 &amp; 2</t>
  </si>
  <si>
    <t>Failure to Stop at  Stop Sign</t>
  </si>
  <si>
    <t>Case Study #3 - Speeding &amp; Stop Sign Bail Forfeiture</t>
  </si>
  <si>
    <t>Case Study #4 - Health &amp; Safety Violation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</si>
</sst>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_);\(0.00\)"/>
    <numFmt numFmtId="166" formatCode="0.00_);[Red]\(0.00\)"/>
    <numFmt numFmtId="167" formatCode="0_);[Red]\(0\)"/>
    <numFmt numFmtId="168" formatCode="mmmm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</font>
    <font>
      <b/>
      <sz val="12"/>
      <color indexed="1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libri"/>
      <family val="2"/>
      <scheme val="minor"/>
    </font>
    <font>
      <sz val="9"/>
      <color rgb="FF333333"/>
      <name val="Verdana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9FBBB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895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7" fillId="0" borderId="0" xfId="0" applyFont="1"/>
    <xf numFmtId="14" fontId="0" fillId="0" borderId="0" xfId="0" applyNumberFormat="1" applyAlignment="1">
      <alignment vertical="top"/>
    </xf>
    <xf numFmtId="14" fontId="2" fillId="2" borderId="1" xfId="0" applyNumberFormat="1" applyFont="1" applyFill="1" applyBorder="1" applyAlignment="1">
      <alignment horizontal="center" vertical="top"/>
    </xf>
    <xf numFmtId="14" fontId="0" fillId="2" borderId="1" xfId="0" applyNumberFormat="1" applyFill="1" applyBorder="1" applyAlignment="1">
      <alignment vertical="top"/>
    </xf>
    <xf numFmtId="14" fontId="2" fillId="0" borderId="0" xfId="0" applyNumberFormat="1" applyFont="1" applyAlignment="1">
      <alignment horizontal="center" vertical="top"/>
    </xf>
    <xf numFmtId="14" fontId="2" fillId="0" borderId="1" xfId="0" applyNumberFormat="1" applyFont="1" applyBorder="1" applyAlignment="1">
      <alignment vertical="top"/>
    </xf>
    <xf numFmtId="14" fontId="2" fillId="3" borderId="1" xfId="0" applyNumberFormat="1" applyFont="1" applyFill="1" applyBorder="1" applyAlignment="1">
      <alignment vertical="top"/>
    </xf>
    <xf numFmtId="2" fontId="0" fillId="0" borderId="1" xfId="0" applyNumberFormat="1" applyBorder="1" applyAlignment="1">
      <alignment vertical="top"/>
    </xf>
    <xf numFmtId="1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4" fontId="0" fillId="4" borderId="1" xfId="0" applyNumberFormat="1" applyFill="1" applyBorder="1" applyAlignment="1">
      <alignment vertical="top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2" fontId="2" fillId="4" borderId="1" xfId="0" applyNumberFormat="1" applyFont="1" applyFill="1" applyBorder="1" applyAlignment="1">
      <alignment vertical="top"/>
    </xf>
    <xf numFmtId="0" fontId="21" fillId="0" borderId="2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5" fillId="0" borderId="0" xfId="0" applyFont="1"/>
    <xf numFmtId="0" fontId="22" fillId="0" borderId="0" xfId="0" applyFont="1"/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23" fillId="0" borderId="0" xfId="0" applyFont="1" applyAlignment="1" applyProtection="1">
      <alignment vertical="top"/>
      <protection locked="0"/>
    </xf>
    <xf numFmtId="0" fontId="24" fillId="7" borderId="0" xfId="0" applyFont="1" applyFill="1" applyAlignment="1" applyProtection="1">
      <alignment horizontal="right" vertical="top"/>
      <protection locked="0"/>
    </xf>
    <xf numFmtId="0" fontId="24" fillId="7" borderId="0" xfId="0" applyFont="1" applyFill="1" applyAlignment="1" applyProtection="1">
      <alignment horizontal="left" vertical="top"/>
      <protection locked="0"/>
    </xf>
    <xf numFmtId="0" fontId="24" fillId="7" borderId="4" xfId="0" applyFont="1" applyFill="1" applyBorder="1" applyAlignment="1" applyProtection="1">
      <alignment horizontal="left" vertical="top"/>
      <protection locked="0"/>
    </xf>
    <xf numFmtId="0" fontId="23" fillId="7" borderId="0" xfId="0" applyFont="1" applyFill="1" applyAlignment="1" applyProtection="1">
      <alignment vertical="top"/>
      <protection locked="0"/>
    </xf>
    <xf numFmtId="0" fontId="25" fillId="8" borderId="5" xfId="0" applyFont="1" applyFill="1" applyBorder="1" applyAlignment="1" applyProtection="1">
      <alignment horizontal="center" vertical="top"/>
      <protection locked="0"/>
    </xf>
    <xf numFmtId="0" fontId="25" fillId="7" borderId="0" xfId="0" applyFont="1" applyFill="1" applyAlignment="1" applyProtection="1">
      <alignment horizontal="center" vertical="top"/>
      <protection locked="0"/>
    </xf>
    <xf numFmtId="0" fontId="25" fillId="7" borderId="0" xfId="0" applyFont="1" applyFill="1" applyAlignment="1" applyProtection="1">
      <alignment vertical="top"/>
      <protection locked="0"/>
    </xf>
    <xf numFmtId="0" fontId="25" fillId="9" borderId="6" xfId="0" applyFont="1" applyFill="1" applyBorder="1" applyAlignment="1" applyProtection="1">
      <alignment horizontal="center" vertical="top"/>
      <protection locked="0"/>
    </xf>
    <xf numFmtId="6" fontId="25" fillId="7" borderId="0" xfId="0" applyNumberFormat="1" applyFont="1" applyFill="1" applyAlignment="1" applyProtection="1">
      <alignment horizontal="right" vertical="top" wrapText="1"/>
      <protection locked="0"/>
    </xf>
    <xf numFmtId="0" fontId="25" fillId="7" borderId="0" xfId="0" applyFont="1" applyFill="1" applyAlignment="1" applyProtection="1">
      <alignment vertical="top" wrapText="1"/>
      <protection locked="0"/>
    </xf>
    <xf numFmtId="0" fontId="25" fillId="7" borderId="0" xfId="0" applyFont="1" applyFill="1" applyAlignment="1" applyProtection="1">
      <alignment horizontal="right" vertical="top" wrapText="1"/>
      <protection locked="0"/>
    </xf>
    <xf numFmtId="165" fontId="26" fillId="7" borderId="0" xfId="0" applyNumberFormat="1" applyFont="1" applyFill="1" applyAlignment="1" applyProtection="1">
      <alignment vertical="top"/>
      <protection locked="0"/>
    </xf>
    <xf numFmtId="164" fontId="25" fillId="7" borderId="0" xfId="0" applyNumberFormat="1" applyFont="1" applyFill="1" applyAlignment="1" applyProtection="1">
      <alignment vertical="top"/>
      <protection locked="0"/>
    </xf>
    <xf numFmtId="0" fontId="25" fillId="7" borderId="0" xfId="0" applyFont="1" applyFill="1" applyAlignment="1" applyProtection="1">
      <alignment horizontal="left" vertical="top" wrapText="1"/>
      <protection locked="0"/>
    </xf>
    <xf numFmtId="9" fontId="27" fillId="7" borderId="7" xfId="0" applyNumberFormat="1" applyFont="1" applyFill="1" applyBorder="1" applyAlignment="1" applyProtection="1">
      <alignment horizontal="center" vertical="top" textRotation="90" wrapText="1"/>
      <protection locked="0"/>
    </xf>
    <xf numFmtId="9" fontId="27" fillId="5" borderId="0" xfId="0" applyNumberFormat="1" applyFont="1" applyFill="1" applyAlignment="1" applyProtection="1">
      <alignment horizontal="center" vertical="top" textRotation="90" wrapText="1"/>
      <protection locked="0"/>
    </xf>
    <xf numFmtId="0" fontId="22" fillId="0" borderId="3" xfId="0" applyFont="1" applyBorder="1" applyAlignment="1" applyProtection="1">
      <alignment horizontal="center" vertical="top" wrapText="1"/>
      <protection locked="0"/>
    </xf>
    <xf numFmtId="0" fontId="22" fillId="0" borderId="3" xfId="0" applyFont="1" applyBorder="1" applyAlignment="1" applyProtection="1">
      <alignment horizontal="right" vertical="top" wrapText="1"/>
      <protection locked="0"/>
    </xf>
    <xf numFmtId="0" fontId="22" fillId="0" borderId="3" xfId="0" applyFont="1" applyBorder="1" applyAlignment="1" applyProtection="1">
      <alignment vertical="top" wrapText="1"/>
      <protection locked="0"/>
    </xf>
    <xf numFmtId="2" fontId="22" fillId="5" borderId="0" xfId="0" applyNumberFormat="1" applyFont="1" applyFill="1" applyAlignment="1" applyProtection="1">
      <alignment vertical="top"/>
      <protection locked="0"/>
    </xf>
    <xf numFmtId="164" fontId="22" fillId="0" borderId="1" xfId="0" applyNumberFormat="1" applyFont="1" applyBorder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 vertical="top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2" fontId="22" fillId="0" borderId="8" xfId="0" applyNumberFormat="1" applyFont="1" applyBorder="1" applyAlignment="1" applyProtection="1">
      <alignment vertical="top"/>
      <protection locked="0"/>
    </xf>
    <xf numFmtId="0" fontId="22" fillId="10" borderId="1" xfId="0" applyFont="1" applyFill="1" applyBorder="1" applyAlignment="1" applyProtection="1">
      <alignment horizontal="center" vertical="top" wrapText="1"/>
      <protection locked="0"/>
    </xf>
    <xf numFmtId="0" fontId="22" fillId="0" borderId="9" xfId="0" applyFont="1" applyBorder="1" applyAlignment="1" applyProtection="1">
      <alignment vertical="top"/>
      <protection locked="0"/>
    </xf>
    <xf numFmtId="0" fontId="22" fillId="5" borderId="0" xfId="0" applyFont="1" applyFill="1" applyAlignment="1" applyProtection="1">
      <alignment vertical="top"/>
      <protection locked="0"/>
    </xf>
    <xf numFmtId="0" fontId="28" fillId="0" borderId="1" xfId="0" applyFont="1" applyBorder="1" applyAlignment="1" applyProtection="1">
      <alignment horizontal="center" vertical="top" wrapText="1"/>
      <protection locked="0"/>
    </xf>
    <xf numFmtId="0" fontId="28" fillId="0" borderId="1" xfId="0" applyFont="1" applyBorder="1" applyAlignment="1" applyProtection="1">
      <alignment horizontal="right" vertical="top" wrapText="1"/>
      <protection locked="0"/>
    </xf>
    <xf numFmtId="0" fontId="28" fillId="0" borderId="1" xfId="0" applyFont="1" applyBorder="1" applyAlignment="1" applyProtection="1">
      <alignment vertical="top" wrapText="1"/>
      <protection locked="0"/>
    </xf>
    <xf numFmtId="164" fontId="28" fillId="0" borderId="1" xfId="0" applyNumberFormat="1" applyFont="1" applyBorder="1" applyAlignment="1" applyProtection="1">
      <alignment vertical="top" wrapText="1"/>
      <protection locked="0"/>
    </xf>
    <xf numFmtId="0" fontId="28" fillId="0" borderId="0" xfId="0" applyFont="1" applyAlignment="1" applyProtection="1">
      <alignment vertical="top"/>
      <protection locked="0"/>
    </xf>
    <xf numFmtId="0" fontId="22" fillId="11" borderId="1" xfId="0" applyFont="1" applyFill="1" applyBorder="1" applyAlignment="1" applyProtection="1">
      <alignment vertical="top" wrapText="1"/>
      <protection locked="0"/>
    </xf>
    <xf numFmtId="0" fontId="22" fillId="11" borderId="1" xfId="0" applyFont="1" applyFill="1" applyBorder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center" vertical="top"/>
      <protection locked="0"/>
    </xf>
    <xf numFmtId="0" fontId="22" fillId="0" borderId="1" xfId="0" applyFont="1" applyBorder="1" applyAlignment="1" applyProtection="1">
      <alignment horizontal="right" vertical="top"/>
      <protection locked="0"/>
    </xf>
    <xf numFmtId="0" fontId="22" fillId="0" borderId="1" xfId="0" applyFont="1" applyBorder="1" applyAlignment="1" applyProtection="1">
      <alignment vertical="top"/>
      <protection locked="0"/>
    </xf>
    <xf numFmtId="2" fontId="22" fillId="0" borderId="1" xfId="0" applyNumberFormat="1" applyFont="1" applyBorder="1" applyAlignment="1" applyProtection="1">
      <alignment vertical="top"/>
      <protection locked="0"/>
    </xf>
    <xf numFmtId="0" fontId="23" fillId="0" borderId="0" xfId="0" applyFont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3" fillId="5" borderId="0" xfId="0" applyFont="1" applyFill="1" applyAlignment="1" applyProtection="1">
      <alignment vertical="top"/>
      <protection locked="0"/>
    </xf>
    <xf numFmtId="165" fontId="29" fillId="0" borderId="0" xfId="0" applyNumberFormat="1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30" fillId="0" borderId="0" xfId="0" applyFont="1" applyAlignment="1" applyProtection="1">
      <alignment vertical="top"/>
      <protection locked="0"/>
    </xf>
    <xf numFmtId="2" fontId="22" fillId="0" borderId="1" xfId="0" applyNumberFormat="1" applyFont="1" applyBorder="1" applyAlignment="1">
      <alignment vertical="top" wrapText="1"/>
    </xf>
    <xf numFmtId="164" fontId="22" fillId="0" borderId="3" xfId="0" applyNumberFormat="1" applyFont="1" applyBorder="1" applyAlignment="1" applyProtection="1">
      <alignment vertical="top" wrapText="1"/>
      <protection locked="0"/>
    </xf>
    <xf numFmtId="0" fontId="31" fillId="7" borderId="0" xfId="0" applyFont="1" applyFill="1" applyAlignment="1" applyProtection="1">
      <alignment vertical="top"/>
      <protection locked="0"/>
    </xf>
    <xf numFmtId="0" fontId="31" fillId="7" borderId="0" xfId="0" applyFont="1" applyFill="1" applyAlignment="1">
      <alignment horizontal="left" vertical="top" wrapText="1"/>
    </xf>
    <xf numFmtId="0" fontId="31" fillId="7" borderId="0" xfId="0" applyFont="1" applyFill="1" applyAlignment="1">
      <alignment vertical="top"/>
    </xf>
    <xf numFmtId="0" fontId="31" fillId="0" borderId="0" xfId="0" applyFont="1" applyAlignment="1">
      <alignment vertical="top"/>
    </xf>
    <xf numFmtId="0" fontId="31" fillId="5" borderId="0" xfId="0" applyFont="1" applyFill="1" applyAlignment="1">
      <alignment horizontal="center" vertical="top" wrapText="1"/>
    </xf>
    <xf numFmtId="0" fontId="31" fillId="5" borderId="0" xfId="0" applyFont="1" applyFill="1" applyAlignment="1">
      <alignment horizontal="center" vertical="top"/>
    </xf>
    <xf numFmtId="9" fontId="27" fillId="6" borderId="10" xfId="0" applyNumberFormat="1" applyFont="1" applyFill="1" applyBorder="1" applyAlignment="1">
      <alignment horizontal="center" vertical="top" wrapText="1"/>
    </xf>
    <xf numFmtId="0" fontId="27" fillId="6" borderId="10" xfId="0" applyFont="1" applyFill="1" applyBorder="1" applyAlignment="1">
      <alignment horizontal="center" vertical="top" wrapText="1"/>
    </xf>
    <xf numFmtId="0" fontId="27" fillId="6" borderId="11" xfId="0" applyFont="1" applyFill="1" applyBorder="1" applyAlignment="1">
      <alignment horizontal="center" vertical="top" wrapText="1"/>
    </xf>
    <xf numFmtId="9" fontId="27" fillId="6" borderId="12" xfId="0" applyNumberFormat="1" applyFont="1" applyFill="1" applyBorder="1" applyAlignment="1">
      <alignment horizontal="center" vertical="top" wrapText="1"/>
    </xf>
    <xf numFmtId="0" fontId="27" fillId="6" borderId="12" xfId="0" applyFont="1" applyFill="1" applyBorder="1" applyAlignment="1">
      <alignment horizontal="center" vertical="top" wrapText="1"/>
    </xf>
    <xf numFmtId="2" fontId="27" fillId="6" borderId="12" xfId="0" applyNumberFormat="1" applyFont="1" applyFill="1" applyBorder="1" applyAlignment="1">
      <alignment horizontal="center" vertical="top" wrapText="1"/>
    </xf>
    <xf numFmtId="9" fontId="31" fillId="6" borderId="13" xfId="0" applyNumberFormat="1" applyFont="1" applyFill="1" applyBorder="1" applyAlignment="1">
      <alignment horizontal="center" vertical="top" wrapText="1"/>
    </xf>
    <xf numFmtId="0" fontId="31" fillId="6" borderId="0" xfId="0" applyFont="1" applyFill="1" applyAlignment="1">
      <alignment horizontal="center" vertical="top" wrapText="1"/>
    </xf>
    <xf numFmtId="2" fontId="31" fillId="6" borderId="10" xfId="0" applyNumberFormat="1" applyFont="1" applyFill="1" applyBorder="1" applyAlignment="1">
      <alignment horizontal="center" vertical="top" wrapText="1"/>
    </xf>
    <xf numFmtId="2" fontId="32" fillId="5" borderId="0" xfId="0" applyNumberFormat="1" applyFont="1" applyFill="1" applyAlignment="1">
      <alignment horizontal="center" vertical="top" wrapText="1"/>
    </xf>
    <xf numFmtId="2" fontId="28" fillId="0" borderId="0" xfId="0" applyNumberFormat="1" applyFont="1" applyAlignment="1">
      <alignment vertical="top"/>
    </xf>
    <xf numFmtId="0" fontId="22" fillId="7" borderId="0" xfId="0" applyFont="1" applyFill="1" applyAlignment="1" applyProtection="1">
      <alignment horizontal="center" vertical="top"/>
      <protection locked="0"/>
    </xf>
    <xf numFmtId="0" fontId="22" fillId="7" borderId="0" xfId="0" applyFont="1" applyFill="1" applyAlignment="1" applyProtection="1">
      <alignment horizontal="left" vertical="top"/>
      <protection locked="0"/>
    </xf>
    <xf numFmtId="0" fontId="22" fillId="7" borderId="0" xfId="0" applyFont="1" applyFill="1" applyAlignment="1" applyProtection="1">
      <alignment vertical="top"/>
      <protection locked="0"/>
    </xf>
    <xf numFmtId="2" fontId="22" fillId="7" borderId="0" xfId="0" applyNumberFormat="1" applyFont="1" applyFill="1" applyAlignment="1">
      <alignment vertical="top"/>
    </xf>
    <xf numFmtId="2" fontId="22" fillId="7" borderId="9" xfId="0" applyNumberFormat="1" applyFont="1" applyFill="1" applyBorder="1" applyAlignment="1" applyProtection="1">
      <alignment vertical="top"/>
      <protection locked="0"/>
    </xf>
    <xf numFmtId="2" fontId="22" fillId="7" borderId="0" xfId="0" applyNumberFormat="1" applyFont="1" applyFill="1" applyAlignment="1" applyProtection="1">
      <alignment vertical="top"/>
      <protection locked="0"/>
    </xf>
    <xf numFmtId="0" fontId="22" fillId="7" borderId="0" xfId="0" applyFont="1" applyFill="1" applyAlignment="1" applyProtection="1">
      <alignment vertical="top" wrapText="1"/>
      <protection locked="0"/>
    </xf>
    <xf numFmtId="0" fontId="31" fillId="7" borderId="0" xfId="0" applyFont="1" applyFill="1" applyAlignment="1" applyProtection="1">
      <alignment horizontal="left" vertical="top"/>
      <protection locked="0"/>
    </xf>
    <xf numFmtId="0" fontId="23" fillId="7" borderId="0" xfId="0" applyFont="1" applyFill="1" applyAlignment="1" applyProtection="1">
      <alignment horizontal="center" vertical="top"/>
      <protection locked="0"/>
    </xf>
    <xf numFmtId="0" fontId="23" fillId="7" borderId="0" xfId="0" applyFont="1" applyFill="1" applyAlignment="1" applyProtection="1">
      <alignment horizontal="left" vertical="top"/>
      <protection locked="0"/>
    </xf>
    <xf numFmtId="2" fontId="23" fillId="7" borderId="0" xfId="0" applyNumberFormat="1" applyFont="1" applyFill="1" applyAlignment="1" applyProtection="1">
      <alignment vertical="top"/>
      <protection locked="0"/>
    </xf>
    <xf numFmtId="2" fontId="30" fillId="7" borderId="0" xfId="0" applyNumberFormat="1" applyFont="1" applyFill="1" applyAlignment="1" applyProtection="1">
      <alignment vertical="top"/>
      <protection locked="0"/>
    </xf>
    <xf numFmtId="165" fontId="29" fillId="7" borderId="0" xfId="0" applyNumberFormat="1" applyFont="1" applyFill="1" applyAlignment="1" applyProtection="1">
      <alignment vertical="top"/>
      <protection locked="0"/>
    </xf>
    <xf numFmtId="0" fontId="23" fillId="7" borderId="0" xfId="0" applyFont="1" applyFill="1" applyAlignment="1" applyProtection="1">
      <alignment vertical="top" wrapText="1"/>
      <protection locked="0"/>
    </xf>
    <xf numFmtId="0" fontId="33" fillId="7" borderId="1" xfId="0" applyFont="1" applyFill="1" applyBorder="1" applyAlignment="1" applyProtection="1">
      <alignment horizontal="center" vertical="top"/>
      <protection locked="0"/>
    </xf>
    <xf numFmtId="0" fontId="33" fillId="7" borderId="0" xfId="0" applyFont="1" applyFill="1" applyAlignment="1" applyProtection="1">
      <alignment vertical="top"/>
      <protection locked="0"/>
    </xf>
    <xf numFmtId="0" fontId="30" fillId="7" borderId="0" xfId="0" applyFont="1" applyFill="1" applyAlignment="1" applyProtection="1">
      <alignment vertical="top"/>
      <protection locked="0"/>
    </xf>
    <xf numFmtId="0" fontId="28" fillId="7" borderId="0" xfId="0" applyFont="1" applyFill="1" applyAlignment="1" applyProtection="1">
      <alignment vertical="top"/>
      <protection locked="0"/>
    </xf>
    <xf numFmtId="0" fontId="31" fillId="7" borderId="0" xfId="0" applyFont="1" applyFill="1" applyAlignment="1" applyProtection="1">
      <alignment horizontal="center" vertical="top"/>
      <protection locked="0"/>
    </xf>
    <xf numFmtId="0" fontId="31" fillId="7" borderId="0" xfId="0" applyFont="1" applyFill="1" applyAlignment="1" applyProtection="1">
      <alignment horizontal="right" vertical="top"/>
      <protection locked="0"/>
    </xf>
    <xf numFmtId="164" fontId="31" fillId="7" borderId="0" xfId="0" applyNumberFormat="1" applyFont="1" applyFill="1" applyAlignment="1" applyProtection="1">
      <alignment vertical="top"/>
      <protection locked="0"/>
    </xf>
    <xf numFmtId="164" fontId="31" fillId="7" borderId="0" xfId="0" applyNumberFormat="1" applyFont="1" applyFill="1" applyAlignment="1" applyProtection="1">
      <alignment horizontal="center" vertical="top"/>
      <protection locked="0"/>
    </xf>
    <xf numFmtId="2" fontId="31" fillId="7" borderId="1" xfId="0" applyNumberFormat="1" applyFont="1" applyFill="1" applyBorder="1" applyAlignment="1">
      <alignment vertical="top"/>
    </xf>
    <xf numFmtId="2" fontId="31" fillId="7" borderId="0" xfId="0" applyNumberFormat="1" applyFont="1" applyFill="1" applyAlignment="1">
      <alignment vertical="top"/>
    </xf>
    <xf numFmtId="2" fontId="31" fillId="7" borderId="0" xfId="0" applyNumberFormat="1" applyFont="1" applyFill="1" applyAlignment="1" applyProtection="1">
      <alignment vertical="top"/>
      <protection locked="0"/>
    </xf>
    <xf numFmtId="2" fontId="31" fillId="7" borderId="14" xfId="0" applyNumberFormat="1" applyFont="1" applyFill="1" applyBorder="1" applyAlignment="1">
      <alignment vertical="top"/>
    </xf>
    <xf numFmtId="0" fontId="31" fillId="7" borderId="0" xfId="0" applyFont="1" applyFill="1" applyAlignment="1" applyProtection="1">
      <alignment vertical="top" wrapText="1"/>
      <protection locked="0"/>
    </xf>
    <xf numFmtId="166" fontId="22" fillId="0" borderId="3" xfId="0" applyNumberFormat="1" applyFont="1" applyBorder="1" applyAlignment="1" applyProtection="1">
      <alignment vertical="top" wrapText="1"/>
      <protection locked="0"/>
    </xf>
    <xf numFmtId="166" fontId="22" fillId="0" borderId="1" xfId="0" applyNumberFormat="1" applyFont="1" applyBorder="1" applyAlignment="1">
      <alignment vertical="top" wrapText="1"/>
    </xf>
    <xf numFmtId="166" fontId="22" fillId="0" borderId="1" xfId="0" applyNumberFormat="1" applyFont="1" applyBorder="1" applyAlignment="1" applyProtection="1">
      <alignment vertical="top" wrapText="1"/>
      <protection locked="0"/>
    </xf>
    <xf numFmtId="166" fontId="28" fillId="0" borderId="1" xfId="0" applyNumberFormat="1" applyFont="1" applyBorder="1" applyAlignment="1">
      <alignment vertical="top" wrapText="1"/>
    </xf>
    <xf numFmtId="165" fontId="34" fillId="7" borderId="0" xfId="0" applyNumberFormat="1" applyFont="1" applyFill="1" applyAlignment="1">
      <alignment vertical="top"/>
    </xf>
    <xf numFmtId="0" fontId="31" fillId="7" borderId="0" xfId="0" applyFont="1" applyFill="1" applyAlignment="1">
      <alignment vertical="top" wrapText="1"/>
    </xf>
    <xf numFmtId="166" fontId="22" fillId="0" borderId="3" xfId="0" applyNumberFormat="1" applyFont="1" applyBorder="1" applyAlignment="1">
      <alignment vertical="top" wrapText="1"/>
    </xf>
    <xf numFmtId="10" fontId="35" fillId="6" borderId="12" xfId="4" applyNumberFormat="1" applyFont="1" applyFill="1" applyBorder="1" applyAlignment="1" applyProtection="1">
      <alignment horizontal="center" vertical="top" wrapText="1"/>
    </xf>
    <xf numFmtId="166" fontId="22" fillId="0" borderId="15" xfId="0" applyNumberFormat="1" applyFont="1" applyBorder="1" applyAlignment="1">
      <alignment vertical="top" wrapText="1"/>
    </xf>
    <xf numFmtId="2" fontId="22" fillId="0" borderId="16" xfId="0" applyNumberFormat="1" applyFont="1" applyBorder="1" applyAlignment="1">
      <alignment vertical="top" wrapText="1"/>
    </xf>
    <xf numFmtId="2" fontId="22" fillId="5" borderId="0" xfId="0" applyNumberFormat="1" applyFont="1" applyFill="1" applyAlignment="1" applyProtection="1">
      <alignment vertical="top" wrapText="1"/>
      <protection locked="0"/>
    </xf>
    <xf numFmtId="2" fontId="28" fillId="0" borderId="0" xfId="0" applyNumberFormat="1" applyFont="1" applyAlignment="1" applyProtection="1">
      <alignment vertical="top" wrapText="1"/>
      <protection locked="0"/>
    </xf>
    <xf numFmtId="166" fontId="22" fillId="0" borderId="17" xfId="0" applyNumberFormat="1" applyFont="1" applyBorder="1" applyAlignment="1">
      <alignment vertical="top" wrapText="1"/>
    </xf>
    <xf numFmtId="166" fontId="22" fillId="0" borderId="8" xfId="0" applyNumberFormat="1" applyFont="1" applyBorder="1" applyAlignment="1">
      <alignment vertical="top" wrapText="1"/>
    </xf>
    <xf numFmtId="166" fontId="28" fillId="0" borderId="8" xfId="0" applyNumberFormat="1" applyFont="1" applyBorder="1" applyAlignment="1">
      <alignment vertical="top" wrapText="1"/>
    </xf>
    <xf numFmtId="2" fontId="22" fillId="0" borderId="8" xfId="0" applyNumberFormat="1" applyFont="1" applyBorder="1" applyAlignment="1">
      <alignment vertical="top" wrapText="1"/>
    </xf>
    <xf numFmtId="0" fontId="22" fillId="7" borderId="9" xfId="0" applyFont="1" applyFill="1" applyBorder="1" applyAlignment="1" applyProtection="1">
      <alignment vertical="top"/>
      <protection locked="0"/>
    </xf>
    <xf numFmtId="2" fontId="31" fillId="7" borderId="18" xfId="0" applyNumberFormat="1" applyFont="1" applyFill="1" applyBorder="1" applyAlignment="1">
      <alignment vertical="top"/>
    </xf>
    <xf numFmtId="0" fontId="25" fillId="7" borderId="1" xfId="0" applyFont="1" applyFill="1" applyBorder="1" applyAlignment="1" applyProtection="1">
      <alignment vertical="top"/>
      <protection locked="0"/>
    </xf>
    <xf numFmtId="0" fontId="31" fillId="7" borderId="1" xfId="0" applyFont="1" applyFill="1" applyBorder="1" applyAlignment="1" applyProtection="1">
      <alignment horizontal="right" vertical="top"/>
      <protection locked="0"/>
    </xf>
    <xf numFmtId="0" fontId="24" fillId="7" borderId="0" xfId="0" applyFont="1" applyFill="1" applyAlignment="1" applyProtection="1">
      <alignment vertical="top"/>
      <protection locked="0"/>
    </xf>
    <xf numFmtId="0" fontId="24" fillId="7" borderId="7" xfId="0" applyFont="1" applyFill="1" applyBorder="1" applyAlignment="1" applyProtection="1">
      <alignment horizontal="center" vertical="top"/>
      <protection locked="0"/>
    </xf>
    <xf numFmtId="2" fontId="25" fillId="7" borderId="1" xfId="0" applyNumberFormat="1" applyFont="1" applyFill="1" applyBorder="1" applyAlignment="1">
      <alignment vertical="top"/>
    </xf>
    <xf numFmtId="2" fontId="35" fillId="7" borderId="0" xfId="0" applyNumberFormat="1" applyFont="1" applyFill="1" applyAlignment="1">
      <alignment vertical="top"/>
    </xf>
    <xf numFmtId="2" fontId="22" fillId="10" borderId="1" xfId="0" applyNumberFormat="1" applyFont="1" applyFill="1" applyBorder="1" applyAlignment="1" applyProtection="1">
      <alignment horizontal="center" vertical="top" wrapText="1"/>
      <protection locked="0"/>
    </xf>
    <xf numFmtId="2" fontId="22" fillId="0" borderId="1" xfId="0" applyNumberFormat="1" applyFont="1" applyBorder="1" applyAlignment="1">
      <alignment horizontal="center" vertical="top" wrapText="1"/>
    </xf>
    <xf numFmtId="165" fontId="22" fillId="7" borderId="0" xfId="0" applyNumberFormat="1" applyFont="1" applyFill="1" applyAlignment="1">
      <alignment vertical="top"/>
    </xf>
    <xf numFmtId="2" fontId="28" fillId="0" borderId="8" xfId="0" applyNumberFormat="1" applyFont="1" applyBorder="1" applyAlignment="1">
      <alignment vertical="top"/>
    </xf>
    <xf numFmtId="0" fontId="31" fillId="7" borderId="19" xfId="0" applyFont="1" applyFill="1" applyBorder="1" applyAlignment="1" applyProtection="1">
      <alignment vertical="top"/>
      <protection locked="0"/>
    </xf>
    <xf numFmtId="0" fontId="31" fillId="7" borderId="20" xfId="0" applyFont="1" applyFill="1" applyBorder="1" applyAlignment="1" applyProtection="1">
      <alignment vertical="top"/>
      <protection locked="0"/>
    </xf>
    <xf numFmtId="0" fontId="31" fillId="7" borderId="21" xfId="0" applyFont="1" applyFill="1" applyBorder="1" applyAlignment="1" applyProtection="1">
      <alignment vertical="top"/>
      <protection locked="0"/>
    </xf>
    <xf numFmtId="2" fontId="27" fillId="6" borderId="10" xfId="0" applyNumberFormat="1" applyFont="1" applyFill="1" applyBorder="1" applyAlignment="1">
      <alignment horizontal="center" vertical="top" wrapText="1"/>
    </xf>
    <xf numFmtId="2" fontId="32" fillId="6" borderId="22" xfId="0" applyNumberFormat="1" applyFont="1" applyFill="1" applyBorder="1" applyAlignment="1">
      <alignment horizontal="center" vertical="top" wrapText="1"/>
    </xf>
    <xf numFmtId="2" fontId="22" fillId="0" borderId="17" xfId="0" applyNumberFormat="1" applyFont="1" applyBorder="1" applyAlignment="1" applyProtection="1">
      <alignment vertical="top"/>
      <protection locked="0"/>
    </xf>
    <xf numFmtId="0" fontId="36" fillId="7" borderId="0" xfId="0" applyFont="1" applyFill="1" applyAlignment="1">
      <alignment vertical="center" wrapText="1"/>
    </xf>
    <xf numFmtId="0" fontId="36" fillId="7" borderId="23" xfId="0" applyFont="1" applyFill="1" applyBorder="1" applyAlignment="1">
      <alignment vertical="center" wrapText="1"/>
    </xf>
    <xf numFmtId="166" fontId="31" fillId="7" borderId="1" xfId="0" applyNumberFormat="1" applyFont="1" applyFill="1" applyBorder="1" applyAlignment="1">
      <alignment vertical="top"/>
    </xf>
    <xf numFmtId="0" fontId="25" fillId="7" borderId="1" xfId="0" applyFont="1" applyFill="1" applyBorder="1" applyAlignment="1" applyProtection="1">
      <alignment horizontal="right" vertical="top"/>
      <protection locked="0"/>
    </xf>
    <xf numFmtId="166" fontId="22" fillId="12" borderId="1" xfId="0" applyNumberFormat="1" applyFont="1" applyFill="1" applyBorder="1" applyAlignment="1" applyProtection="1">
      <alignment vertical="top" wrapText="1"/>
      <protection locked="0"/>
    </xf>
    <xf numFmtId="166" fontId="22" fillId="12" borderId="1" xfId="0" applyNumberFormat="1" applyFont="1" applyFill="1" applyBorder="1" applyAlignment="1" applyProtection="1">
      <alignment vertical="top"/>
      <protection locked="0"/>
    </xf>
    <xf numFmtId="2" fontId="31" fillId="13" borderId="1" xfId="0" applyNumberFormat="1" applyFont="1" applyFill="1" applyBorder="1" applyAlignment="1" applyProtection="1">
      <alignment vertical="top"/>
      <protection locked="0"/>
    </xf>
    <xf numFmtId="0" fontId="31" fillId="7" borderId="27" xfId="0" applyFont="1" applyFill="1" applyBorder="1" applyAlignment="1" applyProtection="1">
      <alignment vertical="top"/>
      <protection locked="0"/>
    </xf>
    <xf numFmtId="0" fontId="25" fillId="8" borderId="28" xfId="0" applyFont="1" applyFill="1" applyBorder="1" applyAlignment="1" applyProtection="1">
      <alignment horizontal="center" vertical="top"/>
      <protection locked="0"/>
    </xf>
    <xf numFmtId="0" fontId="36" fillId="7" borderId="0" xfId="0" applyFont="1" applyFill="1" applyAlignment="1" applyProtection="1">
      <alignment horizontal="left" vertical="top"/>
      <protection locked="0"/>
    </xf>
    <xf numFmtId="0" fontId="27" fillId="7" borderId="0" xfId="0" applyFont="1" applyFill="1" applyAlignment="1">
      <alignment vertical="center" wrapText="1"/>
    </xf>
    <xf numFmtId="0" fontId="25" fillId="7" borderId="29" xfId="0" applyFont="1" applyFill="1" applyBorder="1" applyAlignment="1">
      <alignment horizontal="center" vertical="top"/>
    </xf>
    <xf numFmtId="0" fontId="25" fillId="7" borderId="30" xfId="0" applyFont="1" applyFill="1" applyBorder="1" applyAlignment="1">
      <alignment horizontal="center" vertical="top"/>
    </xf>
    <xf numFmtId="0" fontId="25" fillId="7" borderId="4" xfId="0" applyFont="1" applyFill="1" applyBorder="1" applyAlignment="1">
      <alignment horizontal="center" vertical="top"/>
    </xf>
    <xf numFmtId="0" fontId="22" fillId="7" borderId="33" xfId="0" applyFont="1" applyFill="1" applyBorder="1" applyAlignment="1" applyProtection="1">
      <alignment vertical="top"/>
      <protection locked="0"/>
    </xf>
    <xf numFmtId="0" fontId="31" fillId="7" borderId="34" xfId="0" applyFont="1" applyFill="1" applyBorder="1" applyAlignment="1" applyProtection="1">
      <alignment vertical="top"/>
      <protection locked="0"/>
    </xf>
    <xf numFmtId="0" fontId="31" fillId="7" borderId="4" xfId="0" applyFont="1" applyFill="1" applyBorder="1" applyAlignment="1" applyProtection="1">
      <alignment vertical="top"/>
      <protection locked="0"/>
    </xf>
    <xf numFmtId="0" fontId="25" fillId="7" borderId="4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31" fillId="6" borderId="1" xfId="0" applyFont="1" applyFill="1" applyBorder="1" applyAlignment="1" applyProtection="1">
      <alignment horizontal="center" vertical="top"/>
      <protection locked="0"/>
    </xf>
    <xf numFmtId="165" fontId="31" fillId="13" borderId="11" xfId="0" applyNumberFormat="1" applyFont="1" applyFill="1" applyBorder="1" applyAlignment="1" applyProtection="1">
      <alignment horizontal="center" vertical="top" wrapText="1"/>
      <protection locked="0"/>
    </xf>
    <xf numFmtId="0" fontId="31" fillId="7" borderId="21" xfId="3" applyFont="1" applyFill="1" applyBorder="1" applyAlignment="1" applyProtection="1">
      <alignment vertical="top"/>
      <protection locked="0"/>
    </xf>
    <xf numFmtId="0" fontId="25" fillId="7" borderId="0" xfId="3" applyFont="1" applyFill="1" applyAlignment="1" applyProtection="1">
      <alignment vertical="top"/>
      <protection locked="0"/>
    </xf>
    <xf numFmtId="0" fontId="31" fillId="7" borderId="19" xfId="3" applyFont="1" applyFill="1" applyBorder="1" applyAlignment="1" applyProtection="1">
      <alignment vertical="top"/>
      <protection locked="0"/>
    </xf>
    <xf numFmtId="0" fontId="31" fillId="7" borderId="20" xfId="3" applyFont="1" applyFill="1" applyBorder="1" applyAlignment="1" applyProtection="1">
      <alignment vertical="top"/>
      <protection locked="0"/>
    </xf>
    <xf numFmtId="0" fontId="25" fillId="7" borderId="0" xfId="3" applyFont="1" applyFill="1" applyAlignment="1" applyProtection="1">
      <alignment vertical="top" wrapText="1"/>
      <protection locked="0"/>
    </xf>
    <xf numFmtId="0" fontId="23" fillId="0" borderId="0" xfId="3" applyFont="1" applyAlignment="1" applyProtection="1">
      <alignment vertical="top"/>
      <protection locked="0"/>
    </xf>
    <xf numFmtId="10" fontId="35" fillId="6" borderId="12" xfId="5" applyNumberFormat="1" applyFont="1" applyFill="1" applyBorder="1" applyAlignment="1" applyProtection="1">
      <alignment horizontal="center" vertical="center" wrapText="1"/>
    </xf>
    <xf numFmtId="0" fontId="22" fillId="7" borderId="0" xfId="3" applyFont="1" applyFill="1" applyAlignment="1" applyProtection="1">
      <alignment vertical="top"/>
      <protection locked="0"/>
    </xf>
    <xf numFmtId="0" fontId="22" fillId="0" borderId="38" xfId="3" applyFont="1" applyBorder="1" applyAlignment="1" applyProtection="1">
      <alignment vertical="center" textRotation="90" wrapText="1"/>
      <protection locked="0"/>
    </xf>
    <xf numFmtId="0" fontId="22" fillId="0" borderId="1" xfId="3" applyFont="1" applyBorder="1" applyAlignment="1" applyProtection="1">
      <alignment vertical="top" wrapText="1"/>
      <protection locked="0"/>
    </xf>
    <xf numFmtId="0" fontId="22" fillId="7" borderId="0" xfId="3" applyFont="1" applyFill="1" applyAlignment="1" applyProtection="1">
      <alignment horizontal="center" vertical="top"/>
      <protection locked="0"/>
    </xf>
    <xf numFmtId="0" fontId="22" fillId="7" borderId="0" xfId="3" applyFont="1" applyFill="1" applyAlignment="1" applyProtection="1">
      <alignment horizontal="left" vertical="top"/>
      <protection locked="0"/>
    </xf>
    <xf numFmtId="0" fontId="23" fillId="7" borderId="0" xfId="3" applyFont="1" applyFill="1" applyAlignment="1" applyProtection="1">
      <alignment horizontal="left" vertical="top"/>
      <protection locked="0"/>
    </xf>
    <xf numFmtId="0" fontId="23" fillId="0" borderId="0" xfId="3" applyFont="1" applyAlignment="1" applyProtection="1">
      <alignment horizontal="center" vertical="top"/>
      <protection locked="0"/>
    </xf>
    <xf numFmtId="0" fontId="23" fillId="0" borderId="0" xfId="3" applyFont="1" applyAlignment="1" applyProtection="1">
      <alignment horizontal="left" vertical="top"/>
      <protection locked="0"/>
    </xf>
    <xf numFmtId="0" fontId="30" fillId="0" borderId="0" xfId="3" applyFont="1" applyAlignment="1" applyProtection="1">
      <alignment vertical="top"/>
      <protection locked="0"/>
    </xf>
    <xf numFmtId="0" fontId="2" fillId="6" borderId="16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1" fontId="33" fillId="0" borderId="39" xfId="0" applyNumberFormat="1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8" fillId="7" borderId="30" xfId="0" applyFont="1" applyFill="1" applyBorder="1" applyAlignment="1" applyProtection="1">
      <alignment vertical="top" wrapText="1"/>
      <protection locked="0"/>
    </xf>
    <xf numFmtId="0" fontId="24" fillId="6" borderId="34" xfId="0" applyFont="1" applyFill="1" applyBorder="1" applyAlignment="1" applyProtection="1">
      <alignment vertical="top"/>
      <protection locked="0"/>
    </xf>
    <xf numFmtId="0" fontId="24" fillId="6" borderId="30" xfId="0" applyFont="1" applyFill="1" applyBorder="1" applyAlignment="1" applyProtection="1">
      <alignment vertical="top"/>
      <protection locked="0"/>
    </xf>
    <xf numFmtId="0" fontId="50" fillId="0" borderId="0" xfId="0" applyFont="1"/>
    <xf numFmtId="0" fontId="51" fillId="0" borderId="0" xfId="0" applyFont="1"/>
    <xf numFmtId="0" fontId="51" fillId="0" borderId="82" xfId="0" applyFont="1" applyBorder="1"/>
    <xf numFmtId="0" fontId="50" fillId="0" borderId="65" xfId="0" applyFont="1" applyBorder="1" applyAlignment="1">
      <alignment wrapText="1"/>
    </xf>
    <xf numFmtId="0" fontId="50" fillId="0" borderId="46" xfId="0" applyFont="1" applyBorder="1" applyAlignment="1">
      <alignment wrapText="1"/>
    </xf>
    <xf numFmtId="0" fontId="7" fillId="0" borderId="82" xfId="0" applyFont="1" applyBorder="1" applyAlignment="1">
      <alignment wrapText="1"/>
    </xf>
    <xf numFmtId="0" fontId="51" fillId="10" borderId="58" xfId="0" applyFont="1" applyFill="1" applyBorder="1"/>
    <xf numFmtId="0" fontId="50" fillId="10" borderId="5" xfId="0" applyFont="1" applyFill="1" applyBorder="1"/>
    <xf numFmtId="0" fontId="50" fillId="10" borderId="49" xfId="0" applyFont="1" applyFill="1" applyBorder="1"/>
    <xf numFmtId="44" fontId="7" fillId="18" borderId="58" xfId="1" applyFont="1" applyFill="1" applyBorder="1"/>
    <xf numFmtId="0" fontId="53" fillId="0" borderId="0" xfId="0" applyFont="1"/>
    <xf numFmtId="0" fontId="5" fillId="0" borderId="56" xfId="0" applyFont="1" applyBorder="1"/>
    <xf numFmtId="0" fontId="49" fillId="17" borderId="43" xfId="0" applyFont="1" applyFill="1" applyBorder="1" applyAlignment="1">
      <alignment horizontal="left" wrapText="1"/>
    </xf>
    <xf numFmtId="0" fontId="49" fillId="17" borderId="46" xfId="0" applyFont="1" applyFill="1" applyBorder="1" applyAlignment="1">
      <alignment horizontal="left" wrapText="1"/>
    </xf>
    <xf numFmtId="0" fontId="5" fillId="0" borderId="65" xfId="0" applyFont="1" applyBorder="1"/>
    <xf numFmtId="8" fontId="49" fillId="0" borderId="6" xfId="0" applyNumberFormat="1" applyFont="1" applyBorder="1" applyAlignment="1">
      <alignment horizontal="left" wrapText="1"/>
    </xf>
    <xf numFmtId="8" fontId="49" fillId="0" borderId="49" xfId="0" applyNumberFormat="1" applyFont="1" applyBorder="1" applyAlignment="1">
      <alignment horizontal="left" wrapText="1"/>
    </xf>
    <xf numFmtId="0" fontId="7" fillId="0" borderId="0" xfId="0" applyFont="1" applyAlignment="1">
      <alignment wrapText="1"/>
    </xf>
    <xf numFmtId="44" fontId="7" fillId="0" borderId="0" xfId="1" applyFont="1" applyFill="1" applyBorder="1"/>
    <xf numFmtId="2" fontId="31" fillId="0" borderId="0" xfId="0" applyNumberFormat="1" applyFont="1" applyAlignment="1" applyProtection="1">
      <alignment vertical="top"/>
      <protection locked="0"/>
    </xf>
    <xf numFmtId="0" fontId="24" fillId="7" borderId="0" xfId="3" applyFont="1" applyFill="1" applyAlignment="1" applyProtection="1">
      <alignment horizontal="right" vertical="top"/>
      <protection locked="0"/>
    </xf>
    <xf numFmtId="0" fontId="24" fillId="7" borderId="0" xfId="3" applyFont="1" applyFill="1" applyAlignment="1" applyProtection="1">
      <alignment horizontal="left" vertical="top"/>
      <protection locked="0"/>
    </xf>
    <xf numFmtId="0" fontId="25" fillId="8" borderId="5" xfId="3" applyFont="1" applyFill="1" applyBorder="1" applyAlignment="1" applyProtection="1">
      <alignment horizontal="center" vertical="top"/>
      <protection locked="0"/>
    </xf>
    <xf numFmtId="0" fontId="25" fillId="9" borderId="6" xfId="3" applyFont="1" applyFill="1" applyBorder="1" applyAlignment="1" applyProtection="1">
      <alignment horizontal="center" vertical="top"/>
      <protection locked="0"/>
    </xf>
    <xf numFmtId="0" fontId="31" fillId="7" borderId="26" xfId="3" applyFont="1" applyFill="1" applyBorder="1" applyAlignment="1" applyProtection="1">
      <alignment vertical="top"/>
      <protection locked="0"/>
    </xf>
    <xf numFmtId="0" fontId="27" fillId="7" borderId="0" xfId="3" applyFont="1" applyFill="1" applyAlignment="1">
      <alignment vertical="center" wrapText="1"/>
    </xf>
    <xf numFmtId="0" fontId="36" fillId="7" borderId="0" xfId="3" applyFont="1" applyFill="1" applyAlignment="1">
      <alignment vertical="center" wrapText="1"/>
    </xf>
    <xf numFmtId="0" fontId="25" fillId="7" borderId="0" xfId="3" applyFont="1" applyFill="1" applyAlignment="1" applyProtection="1">
      <alignment horizontal="left" vertical="top" wrapText="1"/>
      <protection locked="0"/>
    </xf>
    <xf numFmtId="6" fontId="25" fillId="7" borderId="0" xfId="3" applyNumberFormat="1" applyFont="1" applyFill="1" applyAlignment="1" applyProtection="1">
      <alignment horizontal="right" vertical="top" wrapText="1"/>
      <protection locked="0"/>
    </xf>
    <xf numFmtId="0" fontId="25" fillId="7" borderId="0" xfId="3" applyFont="1" applyFill="1" applyAlignment="1" applyProtection="1">
      <alignment horizontal="right" vertical="top" wrapText="1"/>
      <protection locked="0"/>
    </xf>
    <xf numFmtId="0" fontId="31" fillId="7" borderId="0" xfId="3" applyFont="1" applyFill="1" applyAlignment="1">
      <alignment horizontal="left" vertical="top" wrapText="1"/>
    </xf>
    <xf numFmtId="0" fontId="31" fillId="7" borderId="0" xfId="3" applyFont="1" applyFill="1" applyAlignment="1">
      <alignment vertical="top"/>
    </xf>
    <xf numFmtId="0" fontId="31" fillId="0" borderId="0" xfId="3" applyFont="1" applyAlignment="1">
      <alignment vertical="top"/>
    </xf>
    <xf numFmtId="0" fontId="31" fillId="5" borderId="0" xfId="3" applyFont="1" applyFill="1" applyAlignment="1">
      <alignment horizontal="center" vertical="top" wrapText="1"/>
    </xf>
    <xf numFmtId="166" fontId="22" fillId="0" borderId="15" xfId="3" applyNumberFormat="1" applyFont="1" applyBorder="1" applyAlignment="1">
      <alignment vertical="top" wrapText="1"/>
    </xf>
    <xf numFmtId="166" fontId="22" fillId="0" borderId="3" xfId="3" applyNumberFormat="1" applyFont="1" applyBorder="1" applyAlignment="1">
      <alignment vertical="top" wrapText="1"/>
    </xf>
    <xf numFmtId="166" fontId="22" fillId="0" borderId="1" xfId="3" applyNumberFormat="1" applyFont="1" applyBorder="1" applyAlignment="1">
      <alignment vertical="top" wrapText="1"/>
    </xf>
    <xf numFmtId="0" fontId="22" fillId="0" borderId="1" xfId="3" applyFont="1" applyBorder="1" applyAlignment="1" applyProtection="1">
      <alignment horizontal="center" vertical="top" wrapText="1"/>
      <protection locked="0"/>
    </xf>
    <xf numFmtId="2" fontId="22" fillId="5" borderId="0" xfId="3" applyNumberFormat="1" applyFont="1" applyFill="1" applyAlignment="1" applyProtection="1">
      <alignment vertical="top" wrapText="1"/>
      <protection locked="0"/>
    </xf>
    <xf numFmtId="2" fontId="22" fillId="10" borderId="1" xfId="3" applyNumberFormat="1" applyFont="1" applyFill="1" applyBorder="1" applyAlignment="1">
      <alignment horizontal="center" vertical="top" wrapText="1"/>
    </xf>
    <xf numFmtId="0" fontId="22" fillId="11" borderId="1" xfId="3" applyFont="1" applyFill="1" applyBorder="1" applyAlignment="1" applyProtection="1">
      <alignment vertical="top" wrapText="1"/>
      <protection locked="0"/>
    </xf>
    <xf numFmtId="166" fontId="22" fillId="12" borderId="1" xfId="3" applyNumberFormat="1" applyFont="1" applyFill="1" applyBorder="1" applyAlignment="1" applyProtection="1">
      <alignment vertical="top" wrapText="1"/>
      <protection locked="0"/>
    </xf>
    <xf numFmtId="0" fontId="28" fillId="0" borderId="1" xfId="3" applyFont="1" applyBorder="1" applyAlignment="1" applyProtection="1">
      <alignment horizontal="center" vertical="top" wrapText="1"/>
      <protection locked="0"/>
    </xf>
    <xf numFmtId="0" fontId="28" fillId="0" borderId="1" xfId="3" applyFont="1" applyBorder="1" applyAlignment="1" applyProtection="1">
      <alignment horizontal="left" vertical="top" wrapText="1"/>
      <protection locked="0"/>
    </xf>
    <xf numFmtId="0" fontId="28" fillId="0" borderId="1" xfId="3" applyFont="1" applyBorder="1" applyAlignment="1" applyProtection="1">
      <alignment vertical="top" wrapText="1"/>
      <protection locked="0"/>
    </xf>
    <xf numFmtId="166" fontId="28" fillId="0" borderId="1" xfId="3" applyNumberFormat="1" applyFont="1" applyBorder="1" applyAlignment="1">
      <alignment vertical="top" wrapText="1"/>
    </xf>
    <xf numFmtId="2" fontId="28" fillId="0" borderId="0" xfId="3" applyNumberFormat="1" applyFont="1" applyAlignment="1" applyProtection="1">
      <alignment vertical="top" wrapText="1"/>
      <protection locked="0"/>
    </xf>
    <xf numFmtId="0" fontId="22" fillId="0" borderId="1" xfId="3" applyFont="1" applyBorder="1" applyAlignment="1" applyProtection="1">
      <alignment horizontal="left" vertical="top"/>
      <protection locked="0"/>
    </xf>
    <xf numFmtId="0" fontId="22" fillId="11" borderId="1" xfId="3" applyFont="1" applyFill="1" applyBorder="1" applyAlignment="1" applyProtection="1">
      <alignment vertical="top"/>
      <protection locked="0"/>
    </xf>
    <xf numFmtId="0" fontId="22" fillId="0" borderId="1" xfId="3" applyFont="1" applyBorder="1" applyAlignment="1" applyProtection="1">
      <alignment horizontal="center" vertical="top"/>
      <protection locked="0"/>
    </xf>
    <xf numFmtId="0" fontId="22" fillId="0" borderId="1" xfId="3" applyFont="1" applyBorder="1" applyAlignment="1" applyProtection="1">
      <alignment vertical="top"/>
      <protection locked="0"/>
    </xf>
    <xf numFmtId="2" fontId="22" fillId="0" borderId="1" xfId="3" applyNumberFormat="1" applyFont="1" applyBorder="1" applyAlignment="1" applyProtection="1">
      <alignment vertical="top"/>
      <protection locked="0"/>
    </xf>
    <xf numFmtId="2" fontId="22" fillId="0" borderId="16" xfId="3" applyNumberFormat="1" applyFont="1" applyBorder="1" applyAlignment="1">
      <alignment vertical="top" wrapText="1"/>
    </xf>
    <xf numFmtId="2" fontId="22" fillId="0" borderId="1" xfId="3" applyNumberFormat="1" applyFont="1" applyBorder="1" applyAlignment="1">
      <alignment vertical="top" wrapText="1"/>
    </xf>
    <xf numFmtId="2" fontId="22" fillId="7" borderId="0" xfId="3" applyNumberFormat="1" applyFont="1" applyFill="1" applyAlignment="1">
      <alignment vertical="top"/>
    </xf>
    <xf numFmtId="0" fontId="23" fillId="5" borderId="0" xfId="3" applyFont="1" applyFill="1" applyAlignment="1" applyProtection="1">
      <alignment vertical="top"/>
      <protection locked="0"/>
    </xf>
    <xf numFmtId="0" fontId="25" fillId="8" borderId="28" xfId="3" applyFont="1" applyFill="1" applyBorder="1" applyAlignment="1" applyProtection="1">
      <alignment horizontal="center" vertical="top"/>
      <protection locked="0"/>
    </xf>
    <xf numFmtId="0" fontId="25" fillId="7" borderId="29" xfId="3" applyFont="1" applyFill="1" applyBorder="1" applyAlignment="1">
      <alignment horizontal="center" vertical="top"/>
    </xf>
    <xf numFmtId="0" fontId="31" fillId="7" borderId="27" xfId="3" applyFont="1" applyFill="1" applyBorder="1" applyAlignment="1" applyProtection="1">
      <alignment vertical="top"/>
      <protection locked="0"/>
    </xf>
    <xf numFmtId="44" fontId="22" fillId="10" borderId="58" xfId="3" applyNumberFormat="1" applyFont="1" applyFill="1" applyBorder="1" applyAlignment="1">
      <alignment vertical="top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41" xfId="0" applyFont="1" applyBorder="1" applyAlignment="1" applyProtection="1">
      <alignment horizontal="left" vertical="top" wrapText="1"/>
      <protection locked="0"/>
    </xf>
    <xf numFmtId="0" fontId="31" fillId="7" borderId="1" xfId="3" applyFont="1" applyFill="1" applyBorder="1" applyAlignment="1" applyProtection="1">
      <alignment horizontal="right" vertical="top"/>
      <protection locked="0"/>
    </xf>
    <xf numFmtId="0" fontId="22" fillId="0" borderId="16" xfId="3" applyFont="1" applyBorder="1" applyAlignment="1" applyProtection="1">
      <alignment horizontal="left" vertical="top" wrapText="1"/>
      <protection locked="0"/>
    </xf>
    <xf numFmtId="0" fontId="22" fillId="0" borderId="1" xfId="3" applyFont="1" applyBorder="1" applyAlignment="1" applyProtection="1">
      <alignment horizontal="left" vertical="top" wrapText="1"/>
      <protection locked="0"/>
    </xf>
    <xf numFmtId="0" fontId="31" fillId="0" borderId="58" xfId="0" applyFont="1" applyBorder="1" applyAlignment="1">
      <alignment vertical="top"/>
    </xf>
    <xf numFmtId="2" fontId="31" fillId="6" borderId="1" xfId="0" applyNumberFormat="1" applyFont="1" applyFill="1" applyBorder="1" applyAlignment="1">
      <alignment horizontal="center" vertical="top"/>
    </xf>
    <xf numFmtId="0" fontId="37" fillId="7" borderId="0" xfId="0" applyFont="1" applyFill="1" applyAlignment="1" applyProtection="1">
      <alignment vertical="top"/>
      <protection locked="0"/>
    </xf>
    <xf numFmtId="2" fontId="33" fillId="7" borderId="0" xfId="0" applyNumberFormat="1" applyFont="1" applyFill="1" applyAlignment="1">
      <alignment vertical="top"/>
    </xf>
    <xf numFmtId="0" fontId="31" fillId="7" borderId="0" xfId="0" applyFont="1" applyFill="1" applyAlignment="1">
      <alignment horizontal="center" vertical="top"/>
    </xf>
    <xf numFmtId="0" fontId="31" fillId="6" borderId="10" xfId="0" applyFont="1" applyFill="1" applyBorder="1" applyAlignment="1">
      <alignment horizontal="center" vertical="top" wrapText="1"/>
    </xf>
    <xf numFmtId="2" fontId="27" fillId="6" borderId="22" xfId="0" applyNumberFormat="1" applyFont="1" applyFill="1" applyBorder="1" applyAlignment="1">
      <alignment horizontal="center" vertical="top" wrapText="1"/>
    </xf>
    <xf numFmtId="2" fontId="32" fillId="7" borderId="0" xfId="0" applyNumberFormat="1" applyFont="1" applyFill="1" applyAlignment="1">
      <alignment horizontal="center" vertical="top" wrapText="1"/>
    </xf>
    <xf numFmtId="165" fontId="38" fillId="0" borderId="10" xfId="0" applyNumberFormat="1" applyFont="1" applyBorder="1" applyAlignment="1">
      <alignment horizontal="center" vertical="top" wrapText="1"/>
    </xf>
    <xf numFmtId="0" fontId="31" fillId="7" borderId="36" xfId="0" applyFont="1" applyFill="1" applyBorder="1" applyAlignment="1">
      <alignment horizontal="center" vertical="center" wrapText="1"/>
    </xf>
    <xf numFmtId="2" fontId="31" fillId="7" borderId="36" xfId="0" applyNumberFormat="1" applyFont="1" applyFill="1" applyBorder="1" applyAlignment="1">
      <alignment horizontal="center" vertical="center" wrapText="1"/>
    </xf>
    <xf numFmtId="166" fontId="22" fillId="7" borderId="33" xfId="0" applyNumberFormat="1" applyFont="1" applyFill="1" applyBorder="1" applyAlignment="1">
      <alignment vertical="top" wrapText="1"/>
    </xf>
    <xf numFmtId="167" fontId="22" fillId="0" borderId="3" xfId="0" applyNumberFormat="1" applyFont="1" applyBorder="1" applyAlignment="1">
      <alignment horizontal="center" vertical="top" wrapText="1"/>
    </xf>
    <xf numFmtId="2" fontId="22" fillId="0" borderId="1" xfId="0" applyNumberFormat="1" applyFont="1" applyBorder="1" applyAlignment="1" applyProtection="1">
      <alignment horizontal="center" vertical="top" wrapText="1"/>
      <protection locked="0"/>
    </xf>
    <xf numFmtId="167" fontId="22" fillId="0" borderId="38" xfId="0" applyNumberFormat="1" applyFont="1" applyBorder="1" applyAlignment="1">
      <alignment horizontal="center" vertical="top" wrapText="1"/>
    </xf>
    <xf numFmtId="2" fontId="22" fillId="10" borderId="1" xfId="0" applyNumberFormat="1" applyFont="1" applyFill="1" applyBorder="1" applyAlignment="1">
      <alignment horizontal="center" vertical="top" wrapText="1"/>
    </xf>
    <xf numFmtId="167" fontId="22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 applyProtection="1">
      <alignment horizontal="left" vertical="top" wrapText="1"/>
      <protection locked="0"/>
    </xf>
    <xf numFmtId="166" fontId="28" fillId="7" borderId="33" xfId="0" applyNumberFormat="1" applyFont="1" applyFill="1" applyBorder="1" applyAlignment="1">
      <alignment vertical="top" wrapText="1"/>
    </xf>
    <xf numFmtId="2" fontId="22" fillId="7" borderId="33" xfId="0" applyNumberFormat="1" applyFont="1" applyFill="1" applyBorder="1" applyAlignment="1">
      <alignment vertical="top" wrapText="1"/>
    </xf>
    <xf numFmtId="2" fontId="31" fillId="7" borderId="33" xfId="0" applyNumberFormat="1" applyFont="1" applyFill="1" applyBorder="1" applyAlignment="1">
      <alignment vertical="top"/>
    </xf>
    <xf numFmtId="166" fontId="31" fillId="7" borderId="0" xfId="0" applyNumberFormat="1" applyFont="1" applyFill="1" applyAlignment="1">
      <alignment vertical="top"/>
    </xf>
    <xf numFmtId="10" fontId="35" fillId="6" borderId="12" xfId="5" applyNumberFormat="1" applyFont="1" applyFill="1" applyBorder="1" applyAlignment="1" applyProtection="1">
      <alignment horizontal="center" vertical="top" wrapText="1"/>
    </xf>
    <xf numFmtId="0" fontId="27" fillId="7" borderId="30" xfId="3" applyFont="1" applyFill="1" applyBorder="1" applyAlignment="1" applyProtection="1">
      <alignment vertical="top"/>
      <protection locked="0"/>
    </xf>
    <xf numFmtId="0" fontId="23" fillId="7" borderId="0" xfId="3" applyFont="1" applyFill="1" applyAlignment="1" applyProtection="1">
      <alignment vertical="top"/>
      <protection locked="0"/>
    </xf>
    <xf numFmtId="0" fontId="24" fillId="7" borderId="4" xfId="3" applyFont="1" applyFill="1" applyBorder="1" applyAlignment="1" applyProtection="1">
      <alignment horizontal="left" vertical="top"/>
      <protection locked="0"/>
    </xf>
    <xf numFmtId="0" fontId="24" fillId="6" borderId="34" xfId="3" applyFont="1" applyFill="1" applyBorder="1" applyAlignment="1" applyProtection="1">
      <alignment vertical="top"/>
      <protection locked="0"/>
    </xf>
    <xf numFmtId="0" fontId="24" fillId="6" borderId="30" xfId="3" applyFont="1" applyFill="1" applyBorder="1" applyAlignment="1" applyProtection="1">
      <alignment vertical="top"/>
      <protection locked="0"/>
    </xf>
    <xf numFmtId="0" fontId="24" fillId="7" borderId="7" xfId="3" applyFont="1" applyFill="1" applyBorder="1" applyAlignment="1" applyProtection="1">
      <alignment horizontal="center" vertical="top"/>
      <protection locked="0"/>
    </xf>
    <xf numFmtId="0" fontId="24" fillId="7" borderId="0" xfId="3" applyFont="1" applyFill="1" applyAlignment="1" applyProtection="1">
      <alignment vertical="top"/>
      <protection locked="0"/>
    </xf>
    <xf numFmtId="0" fontId="23" fillId="7" borderId="0" xfId="3" applyFont="1" applyFill="1" applyAlignment="1" applyProtection="1">
      <alignment horizontal="center" vertical="top"/>
      <protection locked="0"/>
    </xf>
    <xf numFmtId="0" fontId="25" fillId="7" borderId="0" xfId="3" applyFont="1" applyFill="1" applyAlignment="1" applyProtection="1">
      <alignment horizontal="center" vertical="top"/>
      <protection locked="0"/>
    </xf>
    <xf numFmtId="0" fontId="31" fillId="6" borderId="1" xfId="3" applyFont="1" applyFill="1" applyBorder="1" applyAlignment="1" applyProtection="1">
      <alignment vertical="top"/>
      <protection locked="0"/>
    </xf>
    <xf numFmtId="2" fontId="31" fillId="6" borderId="1" xfId="3" applyNumberFormat="1" applyFont="1" applyFill="1" applyBorder="1" applyAlignment="1">
      <alignment horizontal="center" vertical="top"/>
    </xf>
    <xf numFmtId="0" fontId="25" fillId="7" borderId="1" xfId="3" applyFont="1" applyFill="1" applyBorder="1" applyAlignment="1" applyProtection="1">
      <alignment vertical="top"/>
      <protection locked="0"/>
    </xf>
    <xf numFmtId="2" fontId="25" fillId="7" borderId="1" xfId="3" applyNumberFormat="1" applyFont="1" applyFill="1" applyBorder="1" applyAlignment="1">
      <alignment vertical="top"/>
    </xf>
    <xf numFmtId="0" fontId="25" fillId="7" borderId="30" xfId="3" applyFont="1" applyFill="1" applyBorder="1" applyAlignment="1">
      <alignment horizontal="center" vertical="top"/>
    </xf>
    <xf numFmtId="0" fontId="22" fillId="0" borderId="1" xfId="3" applyFont="1" applyBorder="1" applyAlignment="1" applyProtection="1">
      <alignment horizontal="right" vertical="top"/>
      <protection locked="0"/>
    </xf>
    <xf numFmtId="2" fontId="31" fillId="7" borderId="1" xfId="3" applyNumberFormat="1" applyFont="1" applyFill="1" applyBorder="1" applyAlignment="1">
      <alignment vertical="top"/>
    </xf>
    <xf numFmtId="2" fontId="33" fillId="7" borderId="0" xfId="3" applyNumberFormat="1" applyFont="1" applyFill="1" applyAlignment="1">
      <alignment vertical="top"/>
    </xf>
    <xf numFmtId="165" fontId="26" fillId="7" borderId="0" xfId="3" applyNumberFormat="1" applyFont="1" applyFill="1" applyAlignment="1" applyProtection="1">
      <alignment vertical="top"/>
      <protection locked="0"/>
    </xf>
    <xf numFmtId="164" fontId="25" fillId="7" borderId="0" xfId="3" applyNumberFormat="1" applyFont="1" applyFill="1" applyAlignment="1" applyProtection="1">
      <alignment vertical="top"/>
      <protection locked="0"/>
    </xf>
    <xf numFmtId="0" fontId="36" fillId="7" borderId="23" xfId="3" applyFont="1" applyFill="1" applyBorder="1" applyAlignment="1">
      <alignment vertical="center" wrapText="1"/>
    </xf>
    <xf numFmtId="0" fontId="37" fillId="7" borderId="23" xfId="3" applyFont="1" applyFill="1" applyBorder="1" applyAlignment="1">
      <alignment vertical="top" wrapText="1"/>
    </xf>
    <xf numFmtId="0" fontId="37" fillId="7" borderId="32" xfId="3" applyFont="1" applyFill="1" applyBorder="1" applyAlignment="1">
      <alignment vertical="top" wrapText="1"/>
    </xf>
    <xf numFmtId="0" fontId="32" fillId="5" borderId="0" xfId="3" applyFont="1" applyFill="1" applyAlignment="1">
      <alignment horizontal="center" vertical="top" wrapText="1"/>
    </xf>
    <xf numFmtId="0" fontId="32" fillId="5" borderId="0" xfId="3" applyFont="1" applyFill="1" applyAlignment="1">
      <alignment horizontal="center" vertical="top"/>
    </xf>
    <xf numFmtId="0" fontId="39" fillId="14" borderId="11" xfId="3" applyFont="1" applyFill="1" applyBorder="1" applyAlignment="1">
      <alignment horizontal="center" vertical="top" wrapText="1"/>
    </xf>
    <xf numFmtId="0" fontId="31" fillId="7" borderId="0" xfId="3" applyFont="1" applyFill="1" applyAlignment="1">
      <alignment horizontal="center" vertical="top"/>
    </xf>
    <xf numFmtId="165" fontId="34" fillId="7" borderId="0" xfId="3" applyNumberFormat="1" applyFont="1" applyFill="1" applyAlignment="1">
      <alignment vertical="top"/>
    </xf>
    <xf numFmtId="0" fontId="31" fillId="7" borderId="0" xfId="3" applyFont="1" applyFill="1" applyAlignment="1">
      <alignment vertical="top" wrapText="1"/>
    </xf>
    <xf numFmtId="9" fontId="27" fillId="6" borderId="10" xfId="3" applyNumberFormat="1" applyFont="1" applyFill="1" applyBorder="1" applyAlignment="1">
      <alignment horizontal="center" vertical="top" wrapText="1"/>
    </xf>
    <xf numFmtId="0" fontId="27" fillId="6" borderId="10" xfId="3" applyFont="1" applyFill="1" applyBorder="1" applyAlignment="1">
      <alignment horizontal="center" vertical="top" wrapText="1"/>
    </xf>
    <xf numFmtId="9" fontId="27" fillId="6" borderId="10" xfId="5" applyFont="1" applyFill="1" applyBorder="1" applyAlignment="1" applyProtection="1">
      <alignment horizontal="center" vertical="top" wrapText="1"/>
    </xf>
    <xf numFmtId="9" fontId="27" fillId="7" borderId="7" xfId="3" applyNumberFormat="1" applyFont="1" applyFill="1" applyBorder="1" applyAlignment="1" applyProtection="1">
      <alignment horizontal="center" vertical="top" textRotation="90" wrapText="1"/>
      <protection locked="0"/>
    </xf>
    <xf numFmtId="2" fontId="31" fillId="6" borderId="10" xfId="3" applyNumberFormat="1" applyFont="1" applyFill="1" applyBorder="1" applyAlignment="1">
      <alignment horizontal="center" vertical="top" wrapText="1"/>
    </xf>
    <xf numFmtId="2" fontId="32" fillId="5" borderId="0" xfId="3" applyNumberFormat="1" applyFont="1" applyFill="1" applyAlignment="1">
      <alignment horizontal="center" vertical="top" wrapText="1"/>
    </xf>
    <xf numFmtId="2" fontId="27" fillId="6" borderId="10" xfId="3" applyNumberFormat="1" applyFont="1" applyFill="1" applyBorder="1" applyAlignment="1">
      <alignment horizontal="center" vertical="top" wrapText="1"/>
    </xf>
    <xf numFmtId="2" fontId="31" fillId="7" borderId="22" xfId="3" applyNumberFormat="1" applyFont="1" applyFill="1" applyBorder="1" applyAlignment="1">
      <alignment horizontal="center" vertical="top" wrapText="1"/>
    </xf>
    <xf numFmtId="165" fontId="38" fillId="0" borderId="10" xfId="3" applyNumberFormat="1" applyFont="1" applyBorder="1" applyAlignment="1">
      <alignment horizontal="center" vertical="top" wrapText="1"/>
    </xf>
    <xf numFmtId="9" fontId="27" fillId="6" borderId="22" xfId="3" applyNumberFormat="1" applyFont="1" applyFill="1" applyBorder="1" applyAlignment="1">
      <alignment horizontal="center" vertical="top" wrapText="1"/>
    </xf>
    <xf numFmtId="0" fontId="27" fillId="6" borderId="22" xfId="3" applyFont="1" applyFill="1" applyBorder="1" applyAlignment="1">
      <alignment horizontal="center" vertical="top" wrapText="1"/>
    </xf>
    <xf numFmtId="9" fontId="27" fillId="6" borderId="22" xfId="5" applyFont="1" applyFill="1" applyBorder="1" applyAlignment="1" applyProtection="1">
      <alignment horizontal="center" vertical="top" wrapText="1"/>
    </xf>
    <xf numFmtId="9" fontId="27" fillId="5" borderId="0" xfId="3" applyNumberFormat="1" applyFont="1" applyFill="1" applyAlignment="1" applyProtection="1">
      <alignment horizontal="center" vertical="top" textRotation="90" wrapText="1"/>
      <protection locked="0"/>
    </xf>
    <xf numFmtId="2" fontId="32" fillId="6" borderId="22" xfId="3" applyNumberFormat="1" applyFont="1" applyFill="1" applyBorder="1" applyAlignment="1">
      <alignment horizontal="center" vertical="top" wrapText="1"/>
    </xf>
    <xf numFmtId="10" fontId="35" fillId="6" borderId="22" xfId="5" applyNumberFormat="1" applyFont="1" applyFill="1" applyBorder="1" applyAlignment="1" applyProtection="1">
      <alignment horizontal="center" vertical="center" wrapText="1"/>
    </xf>
    <xf numFmtId="10" fontId="35" fillId="7" borderId="7" xfId="5" applyNumberFormat="1" applyFont="1" applyFill="1" applyBorder="1" applyAlignment="1" applyProtection="1">
      <alignment horizontal="center" vertical="top" wrapText="1"/>
    </xf>
    <xf numFmtId="9" fontId="22" fillId="6" borderId="12" xfId="3" applyNumberFormat="1" applyFont="1" applyFill="1" applyBorder="1" applyAlignment="1">
      <alignment horizontal="center" vertical="top" wrapText="1"/>
    </xf>
    <xf numFmtId="9" fontId="27" fillId="6" borderId="12" xfId="3" applyNumberFormat="1" applyFont="1" applyFill="1" applyBorder="1" applyAlignment="1">
      <alignment horizontal="center" vertical="top" wrapText="1"/>
    </xf>
    <xf numFmtId="9" fontId="31" fillId="6" borderId="31" xfId="3" applyNumberFormat="1" applyFont="1" applyFill="1" applyBorder="1" applyAlignment="1">
      <alignment horizontal="center" vertical="top" wrapText="1"/>
    </xf>
    <xf numFmtId="9" fontId="31" fillId="6" borderId="23" xfId="3" applyNumberFormat="1" applyFont="1" applyFill="1" applyBorder="1" applyAlignment="1">
      <alignment horizontal="center" vertical="top" wrapText="1"/>
    </xf>
    <xf numFmtId="9" fontId="31" fillId="6" borderId="32" xfId="3" applyNumberFormat="1" applyFont="1" applyFill="1" applyBorder="1" applyAlignment="1">
      <alignment horizontal="center" vertical="top" wrapText="1"/>
    </xf>
    <xf numFmtId="0" fontId="27" fillId="6" borderId="12" xfId="3" applyFont="1" applyFill="1" applyBorder="1" applyAlignment="1">
      <alignment horizontal="center" vertical="top" wrapText="1"/>
    </xf>
    <xf numFmtId="2" fontId="27" fillId="6" borderId="12" xfId="3" applyNumberFormat="1" applyFont="1" applyFill="1" applyBorder="1" applyAlignment="1">
      <alignment horizontal="center" vertical="top" wrapText="1"/>
    </xf>
    <xf numFmtId="9" fontId="27" fillId="6" borderId="12" xfId="5" applyFont="1" applyFill="1" applyBorder="1" applyAlignment="1" applyProtection="1">
      <alignment horizontal="center" vertical="top" wrapText="1"/>
    </xf>
    <xf numFmtId="0" fontId="31" fillId="7" borderId="36" xfId="3" applyFont="1" applyFill="1" applyBorder="1" applyAlignment="1">
      <alignment horizontal="center" vertical="center" wrapText="1"/>
    </xf>
    <xf numFmtId="0" fontId="27" fillId="6" borderId="31" xfId="3" applyFont="1" applyFill="1" applyBorder="1" applyAlignment="1">
      <alignment horizontal="center" vertical="top"/>
    </xf>
    <xf numFmtId="10" fontId="35" fillId="7" borderId="0" xfId="5" applyNumberFormat="1" applyFont="1" applyFill="1" applyBorder="1" applyAlignment="1" applyProtection="1">
      <alignment horizontal="center" vertical="top" wrapText="1"/>
    </xf>
    <xf numFmtId="0" fontId="22" fillId="0" borderId="3" xfId="3" applyFont="1" applyBorder="1" applyAlignment="1" applyProtection="1">
      <alignment horizontal="center" vertical="top" wrapText="1"/>
      <protection locked="0"/>
    </xf>
    <xf numFmtId="166" fontId="22" fillId="0" borderId="25" xfId="3" applyNumberFormat="1" applyFont="1" applyBorder="1" applyAlignment="1">
      <alignment vertical="top" wrapText="1"/>
    </xf>
    <xf numFmtId="2" fontId="22" fillId="0" borderId="25" xfId="3" applyNumberFormat="1" applyFont="1" applyBorder="1" applyAlignment="1" applyProtection="1">
      <alignment vertical="top"/>
      <protection locked="0"/>
    </xf>
    <xf numFmtId="2" fontId="22" fillId="5" borderId="0" xfId="3" applyNumberFormat="1" applyFont="1" applyFill="1" applyAlignment="1" applyProtection="1">
      <alignment vertical="top"/>
      <protection locked="0"/>
    </xf>
    <xf numFmtId="166" fontId="22" fillId="7" borderId="37" xfId="3" applyNumberFormat="1" applyFont="1" applyFill="1" applyBorder="1" applyAlignment="1">
      <alignment vertical="top" wrapText="1"/>
    </xf>
    <xf numFmtId="167" fontId="22" fillId="0" borderId="38" xfId="3" applyNumberFormat="1" applyFont="1" applyBorder="1" applyAlignment="1">
      <alignment horizontal="center" vertical="top" wrapText="1"/>
    </xf>
    <xf numFmtId="164" fontId="33" fillId="0" borderId="24" xfId="3" applyNumberFormat="1" applyFont="1" applyBorder="1" applyAlignment="1" applyProtection="1">
      <alignment vertical="top" wrapText="1"/>
      <protection locked="0"/>
    </xf>
    <xf numFmtId="0" fontId="22" fillId="0" borderId="0" xfId="3" applyFont="1" applyAlignment="1" applyProtection="1">
      <alignment vertical="top"/>
      <protection locked="0"/>
    </xf>
    <xf numFmtId="166" fontId="22" fillId="0" borderId="8" xfId="3" applyNumberFormat="1" applyFont="1" applyBorder="1" applyAlignment="1">
      <alignment vertical="top" wrapText="1"/>
    </xf>
    <xf numFmtId="2" fontId="22" fillId="0" borderId="8" xfId="3" applyNumberFormat="1" applyFont="1" applyBorder="1" applyAlignment="1" applyProtection="1">
      <alignment vertical="top"/>
      <protection locked="0"/>
    </xf>
    <xf numFmtId="167" fontId="22" fillId="0" borderId="1" xfId="3" applyNumberFormat="1" applyFont="1" applyBorder="1" applyAlignment="1">
      <alignment horizontal="center" vertical="top" wrapText="1"/>
    </xf>
    <xf numFmtId="164" fontId="33" fillId="0" borderId="1" xfId="3" applyNumberFormat="1" applyFont="1" applyBorder="1" applyAlignment="1" applyProtection="1">
      <alignment vertical="top" wrapText="1"/>
      <protection locked="0"/>
    </xf>
    <xf numFmtId="167" fontId="22" fillId="0" borderId="3" xfId="3" applyNumberFormat="1" applyFont="1" applyBorder="1" applyAlignment="1">
      <alignment horizontal="center" vertical="top" wrapText="1"/>
    </xf>
    <xf numFmtId="1" fontId="22" fillId="0" borderId="1" xfId="3" applyNumberFormat="1" applyFont="1" applyBorder="1" applyAlignment="1" applyProtection="1">
      <alignment horizontal="center" vertical="top" wrapText="1"/>
      <protection locked="0"/>
    </xf>
    <xf numFmtId="0" fontId="22" fillId="0" borderId="9" xfId="3" applyFont="1" applyBorder="1" applyAlignment="1" applyProtection="1">
      <alignment vertical="top"/>
      <protection locked="0"/>
    </xf>
    <xf numFmtId="0" fontId="22" fillId="5" borderId="0" xfId="3" applyFont="1" applyFill="1" applyAlignment="1" applyProtection="1">
      <alignment vertical="top"/>
      <protection locked="0"/>
    </xf>
    <xf numFmtId="2" fontId="22" fillId="0" borderId="1" xfId="3" applyNumberFormat="1" applyFont="1" applyBorder="1" applyAlignment="1" applyProtection="1">
      <alignment horizontal="center" vertical="top" wrapText="1"/>
      <protection locked="0"/>
    </xf>
    <xf numFmtId="1" fontId="42" fillId="0" borderId="1" xfId="3" applyNumberFormat="1" applyFont="1" applyBorder="1" applyAlignment="1" applyProtection="1">
      <alignment horizontal="center" vertical="top" wrapText="1"/>
      <protection locked="0"/>
    </xf>
    <xf numFmtId="2" fontId="22" fillId="0" borderId="1" xfId="3" applyNumberFormat="1" applyFont="1" applyBorder="1" applyAlignment="1">
      <alignment horizontal="center" vertical="top" wrapText="1"/>
    </xf>
    <xf numFmtId="166" fontId="28" fillId="0" borderId="8" xfId="3" applyNumberFormat="1" applyFont="1" applyBorder="1" applyAlignment="1">
      <alignment vertical="top" wrapText="1"/>
    </xf>
    <xf numFmtId="2" fontId="28" fillId="0" borderId="8" xfId="3" applyNumberFormat="1" applyFont="1" applyBorder="1" applyAlignment="1">
      <alignment vertical="top"/>
    </xf>
    <xf numFmtId="2" fontId="28" fillId="0" borderId="0" xfId="3" applyNumberFormat="1" applyFont="1" applyAlignment="1">
      <alignment vertical="top"/>
    </xf>
    <xf numFmtId="1" fontId="28" fillId="0" borderId="1" xfId="3" applyNumberFormat="1" applyFont="1" applyBorder="1" applyAlignment="1" applyProtection="1">
      <alignment horizontal="center" vertical="top" wrapText="1"/>
      <protection locked="0"/>
    </xf>
    <xf numFmtId="0" fontId="28" fillId="7" borderId="0" xfId="3" applyFont="1" applyFill="1" applyAlignment="1" applyProtection="1">
      <alignment vertical="top"/>
      <protection locked="0"/>
    </xf>
    <xf numFmtId="0" fontId="28" fillId="0" borderId="0" xfId="3" applyFont="1" applyAlignment="1" applyProtection="1">
      <alignment vertical="top"/>
      <protection locked="0"/>
    </xf>
    <xf numFmtId="166" fontId="22" fillId="12" borderId="1" xfId="3" applyNumberFormat="1" applyFont="1" applyFill="1" applyBorder="1" applyAlignment="1" applyProtection="1">
      <alignment horizontal="right" vertical="top" wrapText="1"/>
      <protection locked="0"/>
    </xf>
    <xf numFmtId="1" fontId="41" fillId="0" borderId="3" xfId="3" applyNumberFormat="1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left" vertical="top" wrapText="1"/>
      <protection locked="0"/>
    </xf>
    <xf numFmtId="166" fontId="22" fillId="7" borderId="0" xfId="3" applyNumberFormat="1" applyFont="1" applyFill="1" applyAlignment="1" applyProtection="1">
      <alignment vertical="top"/>
      <protection locked="0"/>
    </xf>
    <xf numFmtId="166" fontId="22" fillId="12" borderId="1" xfId="3" applyNumberFormat="1" applyFont="1" applyFill="1" applyBorder="1" applyAlignment="1" applyProtection="1">
      <alignment horizontal="right" vertical="top"/>
      <protection locked="0"/>
    </xf>
    <xf numFmtId="2" fontId="22" fillId="0" borderId="1" xfId="3" applyNumberFormat="1" applyFont="1" applyBorder="1" applyAlignment="1">
      <alignment vertical="top"/>
    </xf>
    <xf numFmtId="2" fontId="22" fillId="0" borderId="8" xfId="3" applyNumberFormat="1" applyFont="1" applyBorder="1" applyAlignment="1">
      <alignment vertical="top" wrapText="1"/>
    </xf>
    <xf numFmtId="2" fontId="22" fillId="7" borderId="37" xfId="3" applyNumberFormat="1" applyFont="1" applyFill="1" applyBorder="1" applyAlignment="1">
      <alignment vertical="top" wrapText="1"/>
    </xf>
    <xf numFmtId="0" fontId="22" fillId="7" borderId="26" xfId="3" applyFont="1" applyFill="1" applyBorder="1" applyAlignment="1" applyProtection="1">
      <alignment horizontal="center" vertical="top" wrapText="1"/>
      <protection locked="0"/>
    </xf>
    <xf numFmtId="0" fontId="22" fillId="7" borderId="9" xfId="3" applyFont="1" applyFill="1" applyBorder="1" applyAlignment="1" applyProtection="1">
      <alignment vertical="top"/>
      <protection locked="0"/>
    </xf>
    <xf numFmtId="2" fontId="22" fillId="7" borderId="9" xfId="3" applyNumberFormat="1" applyFont="1" applyFill="1" applyBorder="1" applyAlignment="1" applyProtection="1">
      <alignment vertical="top"/>
      <protection locked="0"/>
    </xf>
    <xf numFmtId="2" fontId="22" fillId="7" borderId="0" xfId="3" applyNumberFormat="1" applyFont="1" applyFill="1" applyAlignment="1" applyProtection="1">
      <alignment vertical="top"/>
      <protection locked="0"/>
    </xf>
    <xf numFmtId="165" fontId="22" fillId="7" borderId="0" xfId="3" applyNumberFormat="1" applyFont="1" applyFill="1" applyAlignment="1">
      <alignment vertical="top"/>
    </xf>
    <xf numFmtId="0" fontId="22" fillId="7" borderId="0" xfId="3" applyFont="1" applyFill="1" applyAlignment="1" applyProtection="1">
      <alignment vertical="top" wrapText="1"/>
      <protection locked="0"/>
    </xf>
    <xf numFmtId="0" fontId="22" fillId="7" borderId="0" xfId="3" applyFont="1" applyFill="1" applyAlignment="1" applyProtection="1">
      <alignment horizontal="center" vertical="top" wrapText="1"/>
      <protection locked="0"/>
    </xf>
    <xf numFmtId="0" fontId="31" fillId="7" borderId="0" xfId="3" applyFont="1" applyFill="1" applyAlignment="1" applyProtection="1">
      <alignment horizontal="center" vertical="top"/>
      <protection locked="0"/>
    </xf>
    <xf numFmtId="0" fontId="31" fillId="7" borderId="0" xfId="3" applyFont="1" applyFill="1" applyAlignment="1" applyProtection="1">
      <alignment horizontal="left" vertical="top"/>
      <protection locked="0"/>
    </xf>
    <xf numFmtId="0" fontId="31" fillId="7" borderId="0" xfId="3" applyFont="1" applyFill="1" applyAlignment="1" applyProtection="1">
      <alignment horizontal="right" vertical="top"/>
      <protection locked="0"/>
    </xf>
    <xf numFmtId="164" fontId="31" fillId="7" borderId="0" xfId="3" applyNumberFormat="1" applyFont="1" applyFill="1" applyAlignment="1" applyProtection="1">
      <alignment vertical="top"/>
      <protection locked="0"/>
    </xf>
    <xf numFmtId="164" fontId="31" fillId="7" borderId="0" xfId="3" applyNumberFormat="1" applyFont="1" applyFill="1" applyAlignment="1" applyProtection="1">
      <alignment horizontal="center" vertical="top"/>
      <protection locked="0"/>
    </xf>
    <xf numFmtId="2" fontId="31" fillId="7" borderId="0" xfId="3" applyNumberFormat="1" applyFont="1" applyFill="1" applyAlignment="1">
      <alignment vertical="top"/>
    </xf>
    <xf numFmtId="2" fontId="31" fillId="7" borderId="18" xfId="3" applyNumberFormat="1" applyFont="1" applyFill="1" applyBorder="1" applyAlignment="1">
      <alignment vertical="top"/>
    </xf>
    <xf numFmtId="2" fontId="31" fillId="7" borderId="0" xfId="3" applyNumberFormat="1" applyFont="1" applyFill="1" applyAlignment="1" applyProtection="1">
      <alignment vertical="top"/>
      <protection locked="0"/>
    </xf>
    <xf numFmtId="2" fontId="31" fillId="7" borderId="14" xfId="3" applyNumberFormat="1" applyFont="1" applyFill="1" applyBorder="1" applyAlignment="1">
      <alignment vertical="top"/>
    </xf>
    <xf numFmtId="2" fontId="31" fillId="13" borderId="18" xfId="3" applyNumberFormat="1" applyFont="1" applyFill="1" applyBorder="1" applyAlignment="1" applyProtection="1">
      <alignment vertical="top"/>
      <protection locked="0"/>
    </xf>
    <xf numFmtId="2" fontId="31" fillId="7" borderId="37" xfId="3" applyNumberFormat="1" applyFont="1" applyFill="1" applyBorder="1" applyAlignment="1" applyProtection="1">
      <alignment vertical="top"/>
      <protection locked="0"/>
    </xf>
    <xf numFmtId="166" fontId="31" fillId="7" borderId="1" xfId="3" applyNumberFormat="1" applyFont="1" applyFill="1" applyBorder="1" applyAlignment="1">
      <alignment vertical="top"/>
    </xf>
    <xf numFmtId="166" fontId="31" fillId="7" borderId="0" xfId="3" applyNumberFormat="1" applyFont="1" applyFill="1" applyAlignment="1">
      <alignment vertical="top"/>
    </xf>
    <xf numFmtId="0" fontId="31" fillId="7" borderId="0" xfId="3" applyFont="1" applyFill="1" applyAlignment="1" applyProtection="1">
      <alignment vertical="top" wrapText="1"/>
      <protection locked="0"/>
    </xf>
    <xf numFmtId="0" fontId="31" fillId="7" borderId="0" xfId="3" applyFont="1" applyFill="1" applyAlignment="1" applyProtection="1">
      <alignment vertical="top"/>
      <protection locked="0"/>
    </xf>
    <xf numFmtId="165" fontId="29" fillId="7" borderId="0" xfId="3" applyNumberFormat="1" applyFont="1" applyFill="1" applyAlignment="1" applyProtection="1">
      <alignment vertical="top"/>
      <protection locked="0"/>
    </xf>
    <xf numFmtId="0" fontId="23" fillId="7" borderId="0" xfId="3" applyFont="1" applyFill="1" applyAlignment="1" applyProtection="1">
      <alignment vertical="top" wrapText="1"/>
      <protection locked="0"/>
    </xf>
    <xf numFmtId="165" fontId="29" fillId="0" borderId="0" xfId="3" applyNumberFormat="1" applyFont="1" applyAlignment="1" applyProtection="1">
      <alignment vertical="top"/>
      <protection locked="0"/>
    </xf>
    <xf numFmtId="0" fontId="23" fillId="0" borderId="0" xfId="3" applyFont="1" applyAlignment="1" applyProtection="1">
      <alignment vertical="top" wrapText="1"/>
      <protection locked="0"/>
    </xf>
    <xf numFmtId="0" fontId="28" fillId="7" borderId="30" xfId="3" applyFont="1" applyFill="1" applyBorder="1" applyAlignment="1" applyProtection="1">
      <alignment vertical="top" wrapText="1"/>
      <protection locked="0"/>
    </xf>
    <xf numFmtId="0" fontId="31" fillId="6" borderId="1" xfId="3" applyFont="1" applyFill="1" applyBorder="1" applyAlignment="1" applyProtection="1">
      <alignment horizontal="center" vertical="top"/>
      <protection locked="0"/>
    </xf>
    <xf numFmtId="0" fontId="31" fillId="7" borderId="34" xfId="3" applyFont="1" applyFill="1" applyBorder="1" applyAlignment="1" applyProtection="1">
      <alignment vertical="top"/>
      <protection locked="0"/>
    </xf>
    <xf numFmtId="0" fontId="25" fillId="7" borderId="4" xfId="3" applyFont="1" applyFill="1" applyBorder="1" applyAlignment="1" applyProtection="1">
      <alignment horizontal="center" vertical="top"/>
      <protection locked="0"/>
    </xf>
    <xf numFmtId="0" fontId="31" fillId="7" borderId="4" xfId="3" applyFont="1" applyFill="1" applyBorder="1" applyAlignment="1" applyProtection="1">
      <alignment vertical="top"/>
      <protection locked="0"/>
    </xf>
    <xf numFmtId="0" fontId="37" fillId="7" borderId="0" xfId="3" applyFont="1" applyFill="1" applyAlignment="1" applyProtection="1">
      <alignment vertical="top"/>
      <protection locked="0"/>
    </xf>
    <xf numFmtId="0" fontId="31" fillId="5" borderId="0" xfId="3" applyFont="1" applyFill="1" applyAlignment="1">
      <alignment horizontal="center" vertical="top"/>
    </xf>
    <xf numFmtId="0" fontId="27" fillId="6" borderId="11" xfId="3" applyFont="1" applyFill="1" applyBorder="1" applyAlignment="1">
      <alignment horizontal="center" vertical="top" wrapText="1"/>
    </xf>
    <xf numFmtId="0" fontId="31" fillId="6" borderId="10" xfId="3" applyFont="1" applyFill="1" applyBorder="1" applyAlignment="1">
      <alignment horizontal="center" vertical="top" wrapText="1"/>
    </xf>
    <xf numFmtId="2" fontId="27" fillId="6" borderId="22" xfId="3" applyNumberFormat="1" applyFont="1" applyFill="1" applyBorder="1" applyAlignment="1">
      <alignment horizontal="center" vertical="top" wrapText="1"/>
    </xf>
    <xf numFmtId="2" fontId="32" fillId="7" borderId="0" xfId="3" applyNumberFormat="1" applyFont="1" applyFill="1" applyAlignment="1">
      <alignment horizontal="center" vertical="top" wrapText="1"/>
    </xf>
    <xf numFmtId="2" fontId="31" fillId="7" borderId="22" xfId="3" applyNumberFormat="1" applyFont="1" applyFill="1" applyBorder="1" applyAlignment="1">
      <alignment horizontal="center" vertical="center" wrapText="1"/>
    </xf>
    <xf numFmtId="165" fontId="31" fillId="13" borderId="11" xfId="3" applyNumberFormat="1" applyFont="1" applyFill="1" applyBorder="1" applyAlignment="1" applyProtection="1">
      <alignment horizontal="center" vertical="top" wrapText="1"/>
      <protection locked="0"/>
    </xf>
    <xf numFmtId="0" fontId="22" fillId="0" borderId="1" xfId="3" applyFont="1" applyBorder="1" applyAlignment="1">
      <alignment horizontal="left" vertical="top" wrapText="1"/>
    </xf>
    <xf numFmtId="2" fontId="22" fillId="0" borderId="17" xfId="3" applyNumberFormat="1" applyFont="1" applyBorder="1" applyAlignment="1" applyProtection="1">
      <alignment vertical="top"/>
      <protection locked="0"/>
    </xf>
    <xf numFmtId="166" fontId="22" fillId="7" borderId="33" xfId="3" applyNumberFormat="1" applyFont="1" applyFill="1" applyBorder="1" applyAlignment="1">
      <alignment vertical="top" wrapText="1"/>
    </xf>
    <xf numFmtId="166" fontId="28" fillId="7" borderId="33" xfId="3" applyNumberFormat="1" applyFont="1" applyFill="1" applyBorder="1" applyAlignment="1">
      <alignment vertical="top" wrapText="1"/>
    </xf>
    <xf numFmtId="2" fontId="22" fillId="7" borderId="33" xfId="3" applyNumberFormat="1" applyFont="1" applyFill="1" applyBorder="1" applyAlignment="1">
      <alignment vertical="top" wrapText="1"/>
    </xf>
    <xf numFmtId="0" fontId="22" fillId="7" borderId="33" xfId="3" applyFont="1" applyFill="1" applyBorder="1" applyAlignment="1" applyProtection="1">
      <alignment vertical="top"/>
      <protection locked="0"/>
    </xf>
    <xf numFmtId="2" fontId="31" fillId="13" borderId="1" xfId="3" applyNumberFormat="1" applyFont="1" applyFill="1" applyBorder="1" applyAlignment="1" applyProtection="1">
      <alignment vertical="top"/>
      <protection locked="0"/>
    </xf>
    <xf numFmtId="2" fontId="31" fillId="7" borderId="33" xfId="3" applyNumberFormat="1" applyFont="1" applyFill="1" applyBorder="1" applyAlignment="1">
      <alignment vertical="top"/>
    </xf>
    <xf numFmtId="0" fontId="31" fillId="0" borderId="58" xfId="3" applyFont="1" applyBorder="1" applyAlignment="1" applyProtection="1">
      <alignment vertical="top"/>
      <protection locked="0"/>
    </xf>
    <xf numFmtId="166" fontId="22" fillId="0" borderId="17" xfId="3" applyNumberFormat="1" applyFont="1" applyBorder="1" applyAlignment="1">
      <alignment vertical="top" wrapText="1"/>
    </xf>
    <xf numFmtId="164" fontId="22" fillId="0" borderId="3" xfId="3" applyNumberFormat="1" applyFont="1" applyBorder="1" applyAlignment="1" applyProtection="1">
      <alignment vertical="top" wrapText="1"/>
      <protection locked="0"/>
    </xf>
    <xf numFmtId="164" fontId="22" fillId="0" borderId="1" xfId="3" applyNumberFormat="1" applyFont="1" applyBorder="1" applyAlignment="1" applyProtection="1">
      <alignment vertical="top" wrapText="1"/>
      <protection locked="0"/>
    </xf>
    <xf numFmtId="164" fontId="28" fillId="0" borderId="1" xfId="3" applyNumberFormat="1" applyFont="1" applyBorder="1" applyAlignment="1" applyProtection="1">
      <alignment vertical="top" wrapText="1"/>
      <protection locked="0"/>
    </xf>
    <xf numFmtId="0" fontId="30" fillId="7" borderId="0" xfId="3" applyFont="1" applyFill="1" applyAlignment="1" applyProtection="1">
      <alignment vertical="top"/>
      <protection locked="0"/>
    </xf>
    <xf numFmtId="44" fontId="22" fillId="10" borderId="58" xfId="0" applyNumberFormat="1" applyFont="1" applyFill="1" applyBorder="1" applyAlignment="1">
      <alignment vertical="top"/>
    </xf>
    <xf numFmtId="0" fontId="31" fillId="0" borderId="88" xfId="0" applyFont="1" applyBorder="1" applyAlignment="1" applyProtection="1">
      <alignment horizontal="center" vertical="top"/>
      <protection locked="0"/>
    </xf>
    <xf numFmtId="0" fontId="31" fillId="0" borderId="88" xfId="0" applyFont="1" applyBorder="1" applyAlignment="1" applyProtection="1">
      <alignment horizontal="left" vertical="top"/>
      <protection locked="0"/>
    </xf>
    <xf numFmtId="0" fontId="31" fillId="0" borderId="88" xfId="0" applyFont="1" applyBorder="1" applyAlignment="1" applyProtection="1">
      <alignment horizontal="right" vertical="top"/>
      <protection locked="0"/>
    </xf>
    <xf numFmtId="164" fontId="31" fillId="0" borderId="88" xfId="0" applyNumberFormat="1" applyFont="1" applyBorder="1" applyAlignment="1" applyProtection="1">
      <alignment vertical="top"/>
      <protection locked="0"/>
    </xf>
    <xf numFmtId="164" fontId="31" fillId="0" borderId="88" xfId="0" applyNumberFormat="1" applyFont="1" applyBorder="1" applyAlignment="1" applyProtection="1">
      <alignment horizontal="center" vertical="top"/>
      <protection locked="0"/>
    </xf>
    <xf numFmtId="2" fontId="31" fillId="0" borderId="88" xfId="0" applyNumberFormat="1" applyFont="1" applyBorder="1" applyAlignment="1">
      <alignment vertical="top"/>
    </xf>
    <xf numFmtId="2" fontId="31" fillId="0" borderId="88" xfId="0" applyNumberFormat="1" applyFont="1" applyBorder="1" applyAlignment="1" applyProtection="1">
      <alignment vertical="top"/>
      <protection locked="0"/>
    </xf>
    <xf numFmtId="0" fontId="27" fillId="6" borderId="7" xfId="3" applyFont="1" applyFill="1" applyBorder="1" applyAlignment="1">
      <alignment horizontal="center" vertical="top"/>
    </xf>
    <xf numFmtId="0" fontId="22" fillId="0" borderId="15" xfId="3" applyFont="1" applyBorder="1" applyAlignment="1" applyProtection="1">
      <alignment horizontal="left" vertical="top" wrapText="1"/>
      <protection locked="0"/>
    </xf>
    <xf numFmtId="0" fontId="31" fillId="6" borderId="35" xfId="3" applyFont="1" applyFill="1" applyBorder="1" applyAlignment="1">
      <alignment horizontal="center" vertical="top" wrapText="1"/>
    </xf>
    <xf numFmtId="0" fontId="43" fillId="0" borderId="30" xfId="3" applyFont="1" applyBorder="1" applyAlignment="1" applyProtection="1">
      <alignment vertical="top"/>
      <protection locked="0"/>
    </xf>
    <xf numFmtId="2" fontId="31" fillId="0" borderId="0" xfId="3" applyNumberFormat="1" applyFont="1" applyAlignment="1" applyProtection="1">
      <alignment vertical="top"/>
      <protection locked="0"/>
    </xf>
    <xf numFmtId="9" fontId="27" fillId="7" borderId="0" xfId="3" applyNumberFormat="1" applyFont="1" applyFill="1" applyAlignment="1" applyProtection="1">
      <alignment horizontal="center" vertical="top" textRotation="90" wrapText="1"/>
      <protection locked="0"/>
    </xf>
    <xf numFmtId="9" fontId="31" fillId="6" borderId="12" xfId="3" applyNumberFormat="1" applyFont="1" applyFill="1" applyBorder="1" applyAlignment="1">
      <alignment horizontal="center" vertical="top" wrapText="1"/>
    </xf>
    <xf numFmtId="2" fontId="31" fillId="13" borderId="0" xfId="3" applyNumberFormat="1" applyFont="1" applyFill="1" applyAlignment="1" applyProtection="1">
      <alignment vertical="top"/>
      <protection locked="0"/>
    </xf>
    <xf numFmtId="0" fontId="22" fillId="7" borderId="1" xfId="0" applyFont="1" applyFill="1" applyBorder="1" applyAlignment="1" applyProtection="1">
      <alignment vertical="top" wrapText="1"/>
      <protection locked="0"/>
    </xf>
    <xf numFmtId="0" fontId="28" fillId="7" borderId="1" xfId="0" applyFont="1" applyFill="1" applyBorder="1" applyAlignment="1" applyProtection="1">
      <alignment vertical="top" wrapText="1"/>
      <protection locked="0"/>
    </xf>
    <xf numFmtId="0" fontId="22" fillId="7" borderId="1" xfId="0" applyFont="1" applyFill="1" applyBorder="1" applyAlignment="1" applyProtection="1">
      <alignment vertical="top"/>
      <protection locked="0"/>
    </xf>
    <xf numFmtId="0" fontId="22" fillId="19" borderId="1" xfId="0" applyFont="1" applyFill="1" applyBorder="1" applyAlignment="1" applyProtection="1">
      <alignment horizontal="left" vertical="top" wrapText="1"/>
      <protection locked="0"/>
    </xf>
    <xf numFmtId="0" fontId="22" fillId="19" borderId="1" xfId="0" applyFont="1" applyFill="1" applyBorder="1" applyAlignment="1" applyProtection="1">
      <alignment vertical="top" wrapText="1"/>
      <protection locked="0"/>
    </xf>
    <xf numFmtId="166" fontId="22" fillId="19" borderId="1" xfId="0" applyNumberFormat="1" applyFont="1" applyFill="1" applyBorder="1" applyAlignment="1">
      <alignment vertical="top" wrapText="1"/>
    </xf>
    <xf numFmtId="166" fontId="22" fillId="19" borderId="15" xfId="0" applyNumberFormat="1" applyFont="1" applyFill="1" applyBorder="1" applyAlignment="1">
      <alignment vertical="top" wrapText="1"/>
    </xf>
    <xf numFmtId="166" fontId="22" fillId="19" borderId="8" xfId="0" applyNumberFormat="1" applyFont="1" applyFill="1" applyBorder="1" applyAlignment="1">
      <alignment vertical="top" wrapText="1"/>
    </xf>
    <xf numFmtId="0" fontId="22" fillId="19" borderId="3" xfId="3" applyFont="1" applyFill="1" applyBorder="1" applyAlignment="1">
      <alignment horizontal="left" vertical="top" wrapText="1"/>
    </xf>
    <xf numFmtId="0" fontId="22" fillId="19" borderId="3" xfId="3" applyFont="1" applyFill="1" applyBorder="1" applyAlignment="1" applyProtection="1">
      <alignment vertical="top" wrapText="1"/>
      <protection locked="0"/>
    </xf>
    <xf numFmtId="166" fontId="22" fillId="19" borderId="3" xfId="3" applyNumberFormat="1" applyFont="1" applyFill="1" applyBorder="1" applyAlignment="1" applyProtection="1">
      <alignment vertical="top" wrapText="1"/>
      <protection locked="0"/>
    </xf>
    <xf numFmtId="166" fontId="22" fillId="19" borderId="3" xfId="3" applyNumberFormat="1" applyFont="1" applyFill="1" applyBorder="1" applyAlignment="1">
      <alignment vertical="top" wrapText="1"/>
    </xf>
    <xf numFmtId="166" fontId="22" fillId="19" borderId="15" xfId="3" applyNumberFormat="1" applyFont="1" applyFill="1" applyBorder="1" applyAlignment="1">
      <alignment vertical="top" wrapText="1"/>
    </xf>
    <xf numFmtId="166" fontId="22" fillId="19" borderId="25" xfId="3" applyNumberFormat="1" applyFont="1" applyFill="1" applyBorder="1" applyAlignment="1">
      <alignment vertical="top" wrapText="1"/>
    </xf>
    <xf numFmtId="0" fontId="22" fillId="19" borderId="1" xfId="3" applyFont="1" applyFill="1" applyBorder="1" applyAlignment="1" applyProtection="1">
      <alignment horizontal="left" vertical="top" wrapText="1"/>
      <protection locked="0"/>
    </xf>
    <xf numFmtId="0" fontId="22" fillId="19" borderId="1" xfId="3" applyFont="1" applyFill="1" applyBorder="1" applyAlignment="1" applyProtection="1">
      <alignment vertical="top" wrapText="1"/>
      <protection locked="0"/>
    </xf>
    <xf numFmtId="166" fontId="22" fillId="19" borderId="1" xfId="3" applyNumberFormat="1" applyFont="1" applyFill="1" applyBorder="1" applyAlignment="1">
      <alignment vertical="top" wrapText="1"/>
    </xf>
    <xf numFmtId="166" fontId="22" fillId="19" borderId="8" xfId="3" applyNumberFormat="1" applyFont="1" applyFill="1" applyBorder="1" applyAlignment="1">
      <alignment vertical="top" wrapText="1"/>
    </xf>
    <xf numFmtId="166" fontId="22" fillId="19" borderId="1" xfId="3" applyNumberFormat="1" applyFont="1" applyFill="1" applyBorder="1" applyAlignment="1" applyProtection="1">
      <alignment vertical="top" wrapText="1"/>
      <protection locked="0"/>
    </xf>
    <xf numFmtId="0" fontId="22" fillId="19" borderId="3" xfId="3" applyFont="1" applyFill="1" applyBorder="1" applyAlignment="1" applyProtection="1">
      <alignment horizontal="left" vertical="top" wrapText="1"/>
      <protection locked="0"/>
    </xf>
    <xf numFmtId="168" fontId="43" fillId="7" borderId="58" xfId="0" applyNumberFormat="1" applyFont="1" applyFill="1" applyBorder="1" applyAlignment="1" applyProtection="1">
      <alignment horizontal="left" vertical="top" wrapText="1"/>
      <protection locked="0"/>
    </xf>
    <xf numFmtId="168" fontId="43" fillId="7" borderId="58" xfId="3" applyNumberFormat="1" applyFont="1" applyFill="1" applyBorder="1" applyAlignment="1" applyProtection="1">
      <alignment horizontal="left" vertical="top" wrapText="1"/>
      <protection locked="0"/>
    </xf>
    <xf numFmtId="168" fontId="24" fillId="7" borderId="4" xfId="0" applyNumberFormat="1" applyFont="1" applyFill="1" applyBorder="1" applyAlignment="1" applyProtection="1">
      <alignment horizontal="left" vertical="top"/>
      <protection locked="0"/>
    </xf>
    <xf numFmtId="0" fontId="5" fillId="13" borderId="35" xfId="0" applyFont="1" applyFill="1" applyBorder="1" applyAlignment="1">
      <alignment horizontal="left" vertical="top" wrapText="1"/>
    </xf>
    <xf numFmtId="0" fontId="5" fillId="13" borderId="4" xfId="0" applyFont="1" applyFill="1" applyBorder="1" applyAlignment="1">
      <alignment horizontal="left" vertical="top" wrapText="1"/>
    </xf>
    <xf numFmtId="0" fontId="5" fillId="13" borderId="56" xfId="0" applyFont="1" applyFill="1" applyBorder="1" applyAlignment="1">
      <alignment horizontal="left" vertical="top" wrapText="1"/>
    </xf>
    <xf numFmtId="0" fontId="5" fillId="13" borderId="7" xfId="0" applyFont="1" applyFill="1" applyBorder="1" applyAlignment="1">
      <alignment horizontal="left" vertical="top" wrapText="1"/>
    </xf>
    <xf numFmtId="0" fontId="5" fillId="13" borderId="0" xfId="0" applyFont="1" applyFill="1" applyAlignment="1">
      <alignment horizontal="left" vertical="top" wrapText="1"/>
    </xf>
    <xf numFmtId="0" fontId="5" fillId="13" borderId="13" xfId="0" applyFont="1" applyFill="1" applyBorder="1" applyAlignment="1">
      <alignment horizontal="left" vertical="top" wrapText="1"/>
    </xf>
    <xf numFmtId="0" fontId="5" fillId="13" borderId="31" xfId="0" applyFont="1" applyFill="1" applyBorder="1" applyAlignment="1">
      <alignment horizontal="left" vertical="top" wrapText="1"/>
    </xf>
    <xf numFmtId="0" fontId="5" fillId="13" borderId="23" xfId="0" applyFont="1" applyFill="1" applyBorder="1" applyAlignment="1">
      <alignment horizontal="left" vertical="top" wrapText="1"/>
    </xf>
    <xf numFmtId="0" fontId="5" fillId="13" borderId="32" xfId="0" applyFont="1" applyFill="1" applyBorder="1" applyAlignment="1">
      <alignment horizontal="left" vertical="top" wrapText="1"/>
    </xf>
    <xf numFmtId="0" fontId="5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37" fillId="15" borderId="68" xfId="0" applyFont="1" applyFill="1" applyBorder="1" applyAlignment="1" applyProtection="1">
      <alignment horizontal="left" vertical="top"/>
      <protection locked="0"/>
    </xf>
    <xf numFmtId="0" fontId="37" fillId="15" borderId="69" xfId="0" applyFont="1" applyFill="1" applyBorder="1" applyAlignment="1" applyProtection="1">
      <alignment horizontal="left" vertical="top"/>
      <protection locked="0"/>
    </xf>
    <xf numFmtId="0" fontId="37" fillId="15" borderId="70" xfId="0" applyFont="1" applyFill="1" applyBorder="1" applyAlignment="1" applyProtection="1">
      <alignment horizontal="left" vertical="top"/>
      <protection locked="0"/>
    </xf>
    <xf numFmtId="0" fontId="37" fillId="16" borderId="35" xfId="0" applyFont="1" applyFill="1" applyBorder="1" applyAlignment="1">
      <alignment horizontal="center" vertical="top"/>
    </xf>
    <xf numFmtId="0" fontId="37" fillId="16" borderId="4" xfId="0" applyFont="1" applyFill="1" applyBorder="1" applyAlignment="1">
      <alignment horizontal="center" vertical="top"/>
    </xf>
    <xf numFmtId="0" fontId="37" fillId="16" borderId="56" xfId="0" applyFont="1" applyFill="1" applyBorder="1" applyAlignment="1">
      <alignment horizontal="center" vertical="top"/>
    </xf>
    <xf numFmtId="0" fontId="31" fillId="10" borderId="33" xfId="0" applyFont="1" applyFill="1" applyBorder="1" applyAlignment="1" applyProtection="1">
      <alignment vertical="top"/>
      <protection locked="0"/>
    </xf>
    <xf numFmtId="0" fontId="31" fillId="10" borderId="0" xfId="0" applyFont="1" applyFill="1" applyAlignment="1" applyProtection="1">
      <alignment vertical="top"/>
      <protection locked="0"/>
    </xf>
    <xf numFmtId="0" fontId="31" fillId="10" borderId="40" xfId="0" applyFont="1" applyFill="1" applyBorder="1" applyAlignment="1" applyProtection="1">
      <alignment vertical="top"/>
      <protection locked="0"/>
    </xf>
    <xf numFmtId="0" fontId="31" fillId="12" borderId="33" xfId="0" applyFont="1" applyFill="1" applyBorder="1" applyAlignment="1" applyProtection="1">
      <alignment vertical="top"/>
      <protection locked="0"/>
    </xf>
    <xf numFmtId="0" fontId="31" fillId="12" borderId="0" xfId="0" applyFont="1" applyFill="1" applyAlignment="1" applyProtection="1">
      <alignment vertical="top"/>
      <protection locked="0"/>
    </xf>
    <xf numFmtId="0" fontId="31" fillId="12" borderId="40" xfId="0" applyFont="1" applyFill="1" applyBorder="1" applyAlignment="1" applyProtection="1">
      <alignment vertical="top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41" xfId="0" applyFont="1" applyBorder="1" applyAlignment="1" applyProtection="1">
      <alignment horizontal="left" vertical="top" wrapText="1"/>
      <protection locked="0"/>
    </xf>
    <xf numFmtId="0" fontId="27" fillId="6" borderId="31" xfId="0" applyFont="1" applyFill="1" applyBorder="1" applyAlignment="1">
      <alignment horizontal="center" vertical="top"/>
    </xf>
    <xf numFmtId="0" fontId="27" fillId="6" borderId="32" xfId="0" applyFont="1" applyFill="1" applyBorder="1" applyAlignment="1">
      <alignment horizontal="center" vertical="top"/>
    </xf>
    <xf numFmtId="0" fontId="31" fillId="6" borderId="35" xfId="0" applyFont="1" applyFill="1" applyBorder="1" applyAlignment="1">
      <alignment horizontal="center" vertical="top" wrapText="1"/>
    </xf>
    <xf numFmtId="0" fontId="31" fillId="6" borderId="56" xfId="0" applyFont="1" applyFill="1" applyBorder="1" applyAlignment="1">
      <alignment horizontal="center" vertical="top" wrapText="1"/>
    </xf>
    <xf numFmtId="164" fontId="36" fillId="15" borderId="10" xfId="0" applyNumberFormat="1" applyFont="1" applyFill="1" applyBorder="1" applyAlignment="1">
      <alignment horizontal="center" vertical="top" wrapText="1"/>
    </xf>
    <xf numFmtId="164" fontId="36" fillId="15" borderId="12" xfId="0" applyNumberFormat="1" applyFont="1" applyFill="1" applyBorder="1" applyAlignment="1">
      <alignment horizontal="center" vertical="top" wrapText="1"/>
    </xf>
    <xf numFmtId="165" fontId="38" fillId="0" borderId="10" xfId="0" applyNumberFormat="1" applyFont="1" applyBorder="1" applyAlignment="1">
      <alignment horizontal="center" vertical="top" wrapText="1"/>
    </xf>
    <xf numFmtId="165" fontId="38" fillId="0" borderId="12" xfId="0" applyNumberFormat="1" applyFont="1" applyBorder="1" applyAlignment="1">
      <alignment horizontal="center" vertical="top" wrapText="1"/>
    </xf>
    <xf numFmtId="0" fontId="37" fillId="16" borderId="66" xfId="0" applyFont="1" applyFill="1" applyBorder="1" applyAlignment="1" applyProtection="1">
      <alignment horizontal="left" vertical="top"/>
      <protection locked="0"/>
    </xf>
    <xf numFmtId="0" fontId="37" fillId="16" borderId="23" xfId="0" applyFont="1" applyFill="1" applyBorder="1" applyAlignment="1" applyProtection="1">
      <alignment horizontal="left" vertical="top"/>
      <protection locked="0"/>
    </xf>
    <xf numFmtId="0" fontId="37" fillId="16" borderId="67" xfId="0" applyFont="1" applyFill="1" applyBorder="1" applyAlignment="1" applyProtection="1">
      <alignment horizontal="left" vertical="top"/>
      <protection locked="0"/>
    </xf>
    <xf numFmtId="0" fontId="31" fillId="13" borderId="33" xfId="0" applyFont="1" applyFill="1" applyBorder="1" applyAlignment="1" applyProtection="1">
      <alignment horizontal="left" vertical="top" wrapText="1"/>
      <protection locked="0"/>
    </xf>
    <xf numFmtId="0" fontId="31" fillId="13" borderId="0" xfId="0" applyFont="1" applyFill="1" applyAlignment="1" applyProtection="1">
      <alignment horizontal="left" vertical="top" wrapText="1"/>
      <protection locked="0"/>
    </xf>
    <xf numFmtId="0" fontId="31" fillId="13" borderId="40" xfId="0" applyFont="1" applyFill="1" applyBorder="1" applyAlignment="1" applyProtection="1">
      <alignment horizontal="left" vertical="top" wrapText="1"/>
      <protection locked="0"/>
    </xf>
    <xf numFmtId="0" fontId="31" fillId="13" borderId="66" xfId="0" applyFont="1" applyFill="1" applyBorder="1" applyAlignment="1" applyProtection="1">
      <alignment horizontal="left" vertical="top" wrapText="1"/>
      <protection locked="0"/>
    </xf>
    <xf numFmtId="0" fontId="31" fillId="13" borderId="23" xfId="0" applyFont="1" applyFill="1" applyBorder="1" applyAlignment="1" applyProtection="1">
      <alignment horizontal="left" vertical="top" wrapText="1"/>
      <protection locked="0"/>
    </xf>
    <xf numFmtId="0" fontId="31" fillId="13" borderId="67" xfId="0" applyFont="1" applyFill="1" applyBorder="1" applyAlignment="1" applyProtection="1">
      <alignment horizontal="left" vertical="top" wrapText="1"/>
      <protection locked="0"/>
    </xf>
    <xf numFmtId="0" fontId="22" fillId="0" borderId="15" xfId="0" applyFont="1" applyBorder="1" applyAlignment="1" applyProtection="1">
      <alignment horizontal="left" vertical="top" wrapText="1"/>
      <protection locked="0"/>
    </xf>
    <xf numFmtId="0" fontId="22" fillId="0" borderId="64" xfId="0" applyFont="1" applyBorder="1" applyAlignment="1" applyProtection="1">
      <alignment horizontal="left" vertical="top" wrapText="1"/>
      <protection locked="0"/>
    </xf>
    <xf numFmtId="0" fontId="22" fillId="0" borderId="19" xfId="0" applyFont="1" applyBorder="1" applyAlignment="1" applyProtection="1">
      <alignment horizontal="left" vertical="top" wrapText="1"/>
      <protection locked="0"/>
    </xf>
    <xf numFmtId="0" fontId="22" fillId="0" borderId="53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8" fillId="0" borderId="16" xfId="0" applyFont="1" applyBorder="1" applyAlignment="1" applyProtection="1">
      <alignment horizontal="right" vertical="top" wrapText="1"/>
      <protection locked="0"/>
    </xf>
    <xf numFmtId="0" fontId="0" fillId="0" borderId="19" xfId="0" applyBorder="1"/>
    <xf numFmtId="0" fontId="0" fillId="0" borderId="53" xfId="0" applyBorder="1"/>
    <xf numFmtId="0" fontId="22" fillId="0" borderId="16" xfId="0" applyFont="1" applyBorder="1" applyAlignment="1" applyProtection="1">
      <alignment horizontal="left" vertical="top"/>
      <protection locked="0"/>
    </xf>
    <xf numFmtId="0" fontId="22" fillId="0" borderId="19" xfId="0" applyFont="1" applyBorder="1" applyAlignment="1" applyProtection="1">
      <alignment horizontal="left" vertical="top"/>
      <protection locked="0"/>
    </xf>
    <xf numFmtId="0" fontId="22" fillId="0" borderId="53" xfId="0" applyFont="1" applyBorder="1" applyAlignment="1" applyProtection="1">
      <alignment horizontal="left" vertical="top"/>
      <protection locked="0"/>
    </xf>
    <xf numFmtId="0" fontId="22" fillId="0" borderId="3" xfId="0" applyFont="1" applyBorder="1" applyAlignment="1" applyProtection="1">
      <alignment horizontal="left" vertical="top" wrapText="1"/>
      <protection locked="0"/>
    </xf>
    <xf numFmtId="0" fontId="31" fillId="7" borderId="55" xfId="0" applyFont="1" applyFill="1" applyBorder="1" applyAlignment="1" applyProtection="1">
      <alignment horizontal="right" vertical="top"/>
      <protection locked="0"/>
    </xf>
    <xf numFmtId="0" fontId="31" fillId="7" borderId="48" xfId="0" applyFont="1" applyFill="1" applyBorder="1" applyAlignment="1" applyProtection="1">
      <alignment horizontal="right" vertical="top"/>
      <protection locked="0"/>
    </xf>
    <xf numFmtId="0" fontId="31" fillId="7" borderId="51" xfId="0" applyFont="1" applyFill="1" applyBorder="1" applyAlignment="1" applyProtection="1">
      <alignment horizontal="right" vertical="top"/>
      <protection locked="0"/>
    </xf>
    <xf numFmtId="0" fontId="31" fillId="7" borderId="39" xfId="0" applyFont="1" applyFill="1" applyBorder="1" applyAlignment="1" applyProtection="1">
      <alignment horizontal="right" vertical="top"/>
      <protection locked="0"/>
    </xf>
    <xf numFmtId="0" fontId="31" fillId="7" borderId="43" xfId="0" applyFont="1" applyFill="1" applyBorder="1" applyAlignment="1" applyProtection="1">
      <alignment horizontal="right" vertical="top"/>
      <protection locked="0"/>
    </xf>
    <xf numFmtId="0" fontId="31" fillId="7" borderId="1" xfId="0" applyFont="1" applyFill="1" applyBorder="1" applyAlignment="1" applyProtection="1">
      <alignment horizontal="right" vertical="top"/>
      <protection locked="0"/>
    </xf>
    <xf numFmtId="0" fontId="31" fillId="7" borderId="43" xfId="0" applyFont="1" applyFill="1" applyBorder="1" applyAlignment="1" applyProtection="1">
      <alignment horizontal="left" vertical="top"/>
      <protection locked="0"/>
    </xf>
    <xf numFmtId="0" fontId="31" fillId="7" borderId="1" xfId="0" applyFont="1" applyFill="1" applyBorder="1" applyAlignment="1" applyProtection="1">
      <alignment horizontal="left" vertical="top"/>
      <protection locked="0"/>
    </xf>
    <xf numFmtId="0" fontId="31" fillId="7" borderId="53" xfId="0" applyFont="1" applyFill="1" applyBorder="1" applyAlignment="1" applyProtection="1">
      <alignment horizontal="right" vertical="top"/>
      <protection locked="0"/>
    </xf>
    <xf numFmtId="9" fontId="24" fillId="13" borderId="34" xfId="0" applyNumberFormat="1" applyFont="1" applyFill="1" applyBorder="1" applyAlignment="1" applyProtection="1">
      <alignment horizontal="center" vertical="top" wrapText="1"/>
      <protection locked="0"/>
    </xf>
    <xf numFmtId="9" fontId="24" fillId="13" borderId="56" xfId="0" applyNumberFormat="1" applyFont="1" applyFill="1" applyBorder="1" applyAlignment="1" applyProtection="1">
      <alignment horizontal="center" vertical="top" wrapText="1"/>
      <protection locked="0"/>
    </xf>
    <xf numFmtId="14" fontId="25" fillId="9" borderId="16" xfId="0" applyNumberFormat="1" applyFont="1" applyFill="1" applyBorder="1" applyAlignment="1" applyProtection="1">
      <alignment horizontal="left" vertical="top"/>
      <protection locked="0"/>
    </xf>
    <xf numFmtId="0" fontId="25" fillId="9" borderId="45" xfId="0" applyFont="1" applyFill="1" applyBorder="1" applyAlignment="1" applyProtection="1">
      <alignment horizontal="left" vertical="top"/>
      <protection locked="0"/>
    </xf>
    <xf numFmtId="0" fontId="31" fillId="7" borderId="2" xfId="0" applyFont="1" applyFill="1" applyBorder="1" applyAlignment="1" applyProtection="1">
      <alignment horizontal="left" vertical="top"/>
      <protection locked="0"/>
    </xf>
    <xf numFmtId="0" fontId="31" fillId="7" borderId="34" xfId="0" applyFont="1" applyFill="1" applyBorder="1" applyAlignment="1" applyProtection="1">
      <alignment horizontal="right" vertical="top"/>
      <protection locked="0"/>
    </xf>
    <xf numFmtId="0" fontId="31" fillId="7" borderId="30" xfId="0" applyFont="1" applyFill="1" applyBorder="1" applyAlignment="1" applyProtection="1">
      <alignment horizontal="right" vertical="top"/>
      <protection locked="0"/>
    </xf>
    <xf numFmtId="0" fontId="25" fillId="9" borderId="16" xfId="0" applyFont="1" applyFill="1" applyBorder="1" applyAlignment="1" applyProtection="1">
      <alignment horizontal="left" vertical="top"/>
      <protection locked="0"/>
    </xf>
    <xf numFmtId="0" fontId="25" fillId="9" borderId="53" xfId="0" applyFont="1" applyFill="1" applyBorder="1" applyAlignment="1" applyProtection="1">
      <alignment horizontal="left" vertical="top"/>
      <protection locked="0"/>
    </xf>
    <xf numFmtId="0" fontId="25" fillId="9" borderId="47" xfId="0" applyFont="1" applyFill="1" applyBorder="1" applyAlignment="1" applyProtection="1">
      <alignment horizontal="left" vertical="top"/>
      <protection locked="0"/>
    </xf>
    <xf numFmtId="0" fontId="25" fillId="9" borderId="20" xfId="0" applyFont="1" applyFill="1" applyBorder="1" applyAlignment="1" applyProtection="1">
      <alignment horizontal="left" vertical="top"/>
      <protection locked="0"/>
    </xf>
    <xf numFmtId="0" fontId="25" fillId="9" borderId="42" xfId="0" applyFont="1" applyFill="1" applyBorder="1" applyAlignment="1" applyProtection="1">
      <alignment horizontal="left" vertical="top"/>
      <protection locked="0"/>
    </xf>
    <xf numFmtId="0" fontId="25" fillId="9" borderId="63" xfId="0" applyFont="1" applyFill="1" applyBorder="1" applyAlignment="1" applyProtection="1">
      <alignment horizontal="left" vertical="top"/>
      <protection locked="0"/>
    </xf>
    <xf numFmtId="0" fontId="43" fillId="4" borderId="30" xfId="0" applyFont="1" applyFill="1" applyBorder="1" applyAlignment="1" applyProtection="1">
      <alignment horizontal="left" vertical="top"/>
      <protection locked="0"/>
    </xf>
    <xf numFmtId="0" fontId="43" fillId="4" borderId="58" xfId="0" applyFont="1" applyFill="1" applyBorder="1" applyAlignment="1" applyProtection="1">
      <alignment horizontal="left" vertical="top"/>
      <protection locked="0"/>
    </xf>
    <xf numFmtId="0" fontId="43" fillId="0" borderId="34" xfId="0" applyFont="1" applyBorder="1" applyAlignment="1" applyProtection="1">
      <alignment horizontal="right" vertical="top"/>
      <protection locked="0"/>
    </xf>
    <xf numFmtId="0" fontId="43" fillId="0" borderId="30" xfId="0" applyFont="1" applyBorder="1" applyAlignment="1" applyProtection="1">
      <alignment horizontal="right" vertical="top"/>
      <protection locked="0"/>
    </xf>
    <xf numFmtId="9" fontId="25" fillId="7" borderId="52" xfId="0" applyNumberFormat="1" applyFont="1" applyFill="1" applyBorder="1" applyAlignment="1">
      <alignment horizontal="left" vertical="top" wrapText="1"/>
    </xf>
    <xf numFmtId="9" fontId="25" fillId="7" borderId="50" xfId="0" applyNumberFormat="1" applyFont="1" applyFill="1" applyBorder="1" applyAlignment="1">
      <alignment horizontal="left" vertical="top" wrapText="1"/>
    </xf>
    <xf numFmtId="9" fontId="25" fillId="7" borderId="16" xfId="4" applyFont="1" applyFill="1" applyBorder="1" applyAlignment="1" applyProtection="1">
      <alignment horizontal="left" vertical="top"/>
      <protection locked="0"/>
    </xf>
    <xf numFmtId="9" fontId="25" fillId="7" borderId="45" xfId="4" applyFont="1" applyFill="1" applyBorder="1" applyAlignment="1" applyProtection="1">
      <alignment horizontal="left" vertical="top"/>
      <protection locked="0"/>
    </xf>
    <xf numFmtId="0" fontId="25" fillId="9" borderId="15" xfId="0" applyFont="1" applyFill="1" applyBorder="1" applyAlignment="1" applyProtection="1">
      <alignment horizontal="left" vertical="top"/>
      <protection locked="0"/>
    </xf>
    <xf numFmtId="0" fontId="25" fillId="9" borderId="61" xfId="0" applyFont="1" applyFill="1" applyBorder="1" applyAlignment="1" applyProtection="1">
      <alignment horizontal="left" vertical="top"/>
      <protection locked="0"/>
    </xf>
    <xf numFmtId="0" fontId="31" fillId="7" borderId="3" xfId="0" applyFont="1" applyFill="1" applyBorder="1" applyAlignment="1" applyProtection="1">
      <alignment horizontal="left" vertical="top"/>
      <protection locked="0"/>
    </xf>
    <xf numFmtId="0" fontId="31" fillId="7" borderId="63" xfId="0" applyFont="1" applyFill="1" applyBorder="1" applyAlignment="1" applyProtection="1">
      <alignment horizontal="left" vertical="top"/>
      <protection locked="0"/>
    </xf>
    <xf numFmtId="0" fontId="31" fillId="7" borderId="65" xfId="0" applyFont="1" applyFill="1" applyBorder="1" applyAlignment="1" applyProtection="1">
      <alignment horizontal="left" vertical="top"/>
      <protection locked="0"/>
    </xf>
    <xf numFmtId="0" fontId="25" fillId="7" borderId="42" xfId="0" applyFont="1" applyFill="1" applyBorder="1" applyAlignment="1">
      <alignment horizontal="left" vertical="top"/>
    </xf>
    <xf numFmtId="0" fontId="25" fillId="7" borderId="62" xfId="0" applyFont="1" applyFill="1" applyBorder="1" applyAlignment="1">
      <alignment horizontal="left" vertical="top"/>
    </xf>
    <xf numFmtId="0" fontId="24" fillId="6" borderId="34" xfId="0" applyFont="1" applyFill="1" applyBorder="1" applyAlignment="1" applyProtection="1">
      <alignment horizontal="center" vertical="top"/>
      <protection locked="0"/>
    </xf>
    <xf numFmtId="0" fontId="24" fillId="6" borderId="30" xfId="0" applyFont="1" applyFill="1" applyBorder="1" applyAlignment="1" applyProtection="1">
      <alignment horizontal="center" vertical="top"/>
      <protection locked="0"/>
    </xf>
    <xf numFmtId="0" fontId="24" fillId="6" borderId="58" xfId="0" applyFont="1" applyFill="1" applyBorder="1" applyAlignment="1" applyProtection="1">
      <alignment horizontal="center" vertical="top"/>
      <protection locked="0"/>
    </xf>
    <xf numFmtId="0" fontId="24" fillId="6" borderId="71" xfId="0" applyFont="1" applyFill="1" applyBorder="1" applyAlignment="1" applyProtection="1">
      <alignment horizontal="left" vertical="top"/>
      <protection locked="0"/>
    </xf>
    <xf numFmtId="0" fontId="24" fillId="6" borderId="72" xfId="0" applyFont="1" applyFill="1" applyBorder="1" applyAlignment="1" applyProtection="1">
      <alignment horizontal="left" vertical="top"/>
      <protection locked="0"/>
    </xf>
    <xf numFmtId="0" fontId="24" fillId="6" borderId="73" xfId="0" applyFont="1" applyFill="1" applyBorder="1" applyAlignment="1" applyProtection="1">
      <alignment horizontal="left" vertical="top"/>
      <protection locked="0"/>
    </xf>
    <xf numFmtId="0" fontId="31" fillId="9" borderId="74" xfId="0" applyFont="1" applyFill="1" applyBorder="1" applyAlignment="1" applyProtection="1">
      <alignment vertical="top"/>
      <protection locked="0"/>
    </xf>
    <xf numFmtId="0" fontId="31" fillId="9" borderId="4" xfId="0" applyFont="1" applyFill="1" applyBorder="1" applyAlignment="1" applyProtection="1">
      <alignment vertical="top"/>
      <protection locked="0"/>
    </xf>
    <xf numFmtId="0" fontId="31" fillId="9" borderId="75" xfId="0" applyFont="1" applyFill="1" applyBorder="1" applyAlignment="1" applyProtection="1">
      <alignment vertical="top"/>
      <protection locked="0"/>
    </xf>
    <xf numFmtId="0" fontId="31" fillId="8" borderId="33" xfId="0" applyFont="1" applyFill="1" applyBorder="1" applyAlignment="1" applyProtection="1">
      <alignment vertical="top"/>
      <protection locked="0"/>
    </xf>
    <xf numFmtId="0" fontId="31" fillId="8" borderId="0" xfId="0" applyFont="1" applyFill="1" applyAlignment="1" applyProtection="1">
      <alignment vertical="top"/>
      <protection locked="0"/>
    </xf>
    <xf numFmtId="0" fontId="31" fillId="8" borderId="40" xfId="0" applyFont="1" applyFill="1" applyBorder="1" applyAlignment="1" applyProtection="1">
      <alignment vertical="top"/>
      <protection locked="0"/>
    </xf>
    <xf numFmtId="0" fontId="31" fillId="7" borderId="61" xfId="0" applyFont="1" applyFill="1" applyBorder="1" applyAlignment="1" applyProtection="1">
      <alignment horizontal="left" vertical="top"/>
      <protection locked="0"/>
    </xf>
    <xf numFmtId="0" fontId="36" fillId="15" borderId="0" xfId="0" applyFont="1" applyFill="1" applyAlignment="1" applyProtection="1">
      <alignment horizontal="left" vertical="top"/>
      <protection locked="0"/>
    </xf>
    <xf numFmtId="0" fontId="33" fillId="7" borderId="1" xfId="0" applyFont="1" applyFill="1" applyBorder="1" applyAlignment="1" applyProtection="1">
      <alignment horizontal="left" vertical="top"/>
      <protection locked="0"/>
    </xf>
    <xf numFmtId="0" fontId="24" fillId="7" borderId="48" xfId="0" applyFont="1" applyFill="1" applyBorder="1" applyAlignment="1">
      <alignment horizontal="center" vertical="center" wrapText="1"/>
    </xf>
    <xf numFmtId="0" fontId="24" fillId="7" borderId="49" xfId="0" applyFont="1" applyFill="1" applyBorder="1" applyAlignment="1">
      <alignment horizontal="center" vertical="center" wrapText="1"/>
    </xf>
    <xf numFmtId="7" fontId="24" fillId="7" borderId="1" xfId="1" applyNumberFormat="1" applyFont="1" applyFill="1" applyBorder="1" applyAlignment="1" applyProtection="1">
      <alignment horizontal="center" vertical="center" wrapText="1"/>
    </xf>
    <xf numFmtId="7" fontId="24" fillId="7" borderId="6" xfId="1" applyNumberFormat="1" applyFont="1" applyFill="1" applyBorder="1" applyAlignment="1" applyProtection="1">
      <alignment horizontal="center" vertical="center" wrapText="1"/>
    </xf>
    <xf numFmtId="0" fontId="31" fillId="7" borderId="46" xfId="0" applyFont="1" applyFill="1" applyBorder="1" applyAlignment="1">
      <alignment horizontal="left" vertical="center" wrapText="1"/>
    </xf>
    <xf numFmtId="0" fontId="31" fillId="7" borderId="48" xfId="0" applyFont="1" applyFill="1" applyBorder="1" applyAlignment="1">
      <alignment horizontal="left" vertical="center" wrapText="1"/>
    </xf>
    <xf numFmtId="0" fontId="31" fillId="7" borderId="43" xfId="0" applyFont="1" applyFill="1" applyBorder="1" applyAlignment="1">
      <alignment horizontal="left" vertical="center" wrapText="1"/>
    </xf>
    <xf numFmtId="0" fontId="31" fillId="7" borderId="1" xfId="0" applyFont="1" applyFill="1" applyBorder="1" applyAlignment="1">
      <alignment horizontal="left" vertical="center" wrapText="1"/>
    </xf>
    <xf numFmtId="0" fontId="23" fillId="0" borderId="39" xfId="0" applyFont="1" applyBorder="1" applyAlignment="1" applyProtection="1">
      <alignment horizontal="center" vertical="top" wrapText="1"/>
      <protection locked="0"/>
    </xf>
    <xf numFmtId="0" fontId="23" fillId="0" borderId="3" xfId="0" applyFont="1" applyBorder="1" applyAlignment="1" applyProtection="1">
      <alignment horizontal="center" vertical="top" wrapText="1"/>
      <protection locked="0"/>
    </xf>
    <xf numFmtId="9" fontId="31" fillId="6" borderId="35" xfId="0" applyNumberFormat="1" applyFont="1" applyFill="1" applyBorder="1" applyAlignment="1">
      <alignment horizontal="center" vertical="top" wrapText="1"/>
    </xf>
    <xf numFmtId="9" fontId="31" fillId="6" borderId="4" xfId="0" applyNumberFormat="1" applyFont="1" applyFill="1" applyBorder="1" applyAlignment="1">
      <alignment horizontal="center" vertical="top" wrapText="1"/>
    </xf>
    <xf numFmtId="9" fontId="31" fillId="6" borderId="56" xfId="0" applyNumberFormat="1" applyFont="1" applyFill="1" applyBorder="1" applyAlignment="1">
      <alignment horizontal="center" vertical="top" wrapText="1"/>
    </xf>
    <xf numFmtId="9" fontId="31" fillId="6" borderId="31" xfId="0" applyNumberFormat="1" applyFont="1" applyFill="1" applyBorder="1" applyAlignment="1">
      <alignment horizontal="center" vertical="top" wrapText="1"/>
    </xf>
    <xf numFmtId="9" fontId="31" fillId="6" borderId="23" xfId="0" applyNumberFormat="1" applyFont="1" applyFill="1" applyBorder="1" applyAlignment="1">
      <alignment horizontal="center" vertical="top" wrapText="1"/>
    </xf>
    <xf numFmtId="9" fontId="31" fillId="6" borderId="32" xfId="0" applyNumberFormat="1" applyFont="1" applyFill="1" applyBorder="1" applyAlignment="1">
      <alignment horizontal="center" vertical="top" wrapText="1"/>
    </xf>
    <xf numFmtId="0" fontId="23" fillId="0" borderId="52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37" fillId="14" borderId="34" xfId="0" applyFont="1" applyFill="1" applyBorder="1" applyAlignment="1">
      <alignment horizontal="center" vertical="top" wrapText="1"/>
    </xf>
    <xf numFmtId="0" fontId="37" fillId="14" borderId="30" xfId="0" applyFont="1" applyFill="1" applyBorder="1" applyAlignment="1">
      <alignment horizontal="center" vertical="top" wrapText="1"/>
    </xf>
    <xf numFmtId="0" fontId="37" fillId="14" borderId="58" xfId="0" applyFont="1" applyFill="1" applyBorder="1" applyAlignment="1">
      <alignment horizontal="center" vertical="top" wrapText="1"/>
    </xf>
    <xf numFmtId="0" fontId="22" fillId="0" borderId="38" xfId="0" applyFont="1" applyBorder="1" applyAlignment="1" applyProtection="1">
      <alignment horizontal="center" vertical="center" textRotation="90" wrapText="1"/>
      <protection locked="0"/>
    </xf>
    <xf numFmtId="0" fontId="22" fillId="0" borderId="3" xfId="0" applyFont="1" applyBorder="1" applyAlignment="1" applyProtection="1">
      <alignment horizontal="center" vertical="center" textRotation="90" wrapText="1"/>
      <protection locked="0"/>
    </xf>
    <xf numFmtId="0" fontId="31" fillId="7" borderId="35" xfId="0" applyFont="1" applyFill="1" applyBorder="1" applyAlignment="1" applyProtection="1">
      <alignment horizontal="right" vertical="top"/>
      <protection locked="0"/>
    </xf>
    <xf numFmtId="0" fontId="31" fillId="7" borderId="4" xfId="0" applyFont="1" applyFill="1" applyBorder="1" applyAlignment="1" applyProtection="1">
      <alignment horizontal="right" vertical="top"/>
      <protection locked="0"/>
    </xf>
    <xf numFmtId="0" fontId="43" fillId="0" borderId="30" xfId="0" applyFont="1" applyBorder="1" applyAlignment="1" applyProtection="1">
      <alignment horizontal="left" vertical="top"/>
      <protection locked="0"/>
    </xf>
    <xf numFmtId="0" fontId="31" fillId="0" borderId="34" xfId="0" applyFont="1" applyBorder="1" applyAlignment="1">
      <alignment horizontal="center" vertical="top"/>
    </xf>
    <xf numFmtId="0" fontId="31" fillId="0" borderId="30" xfId="0" applyFont="1" applyBorder="1" applyAlignment="1">
      <alignment horizontal="center" vertical="top"/>
    </xf>
    <xf numFmtId="0" fontId="24" fillId="6" borderId="34" xfId="0" applyFont="1" applyFill="1" applyBorder="1" applyAlignment="1" applyProtection="1">
      <alignment horizontal="left" vertical="top"/>
      <protection locked="0"/>
    </xf>
    <xf numFmtId="0" fontId="24" fillId="6" borderId="30" xfId="0" applyFont="1" applyFill="1" applyBorder="1" applyAlignment="1" applyProtection="1">
      <alignment horizontal="left" vertical="top"/>
      <protection locked="0"/>
    </xf>
    <xf numFmtId="0" fontId="24" fillId="6" borderId="58" xfId="0" applyFont="1" applyFill="1" applyBorder="1" applyAlignment="1" applyProtection="1">
      <alignment horizontal="left" vertical="top"/>
      <protection locked="0"/>
    </xf>
    <xf numFmtId="0" fontId="31" fillId="7" borderId="79" xfId="0" applyFont="1" applyFill="1" applyBorder="1" applyAlignment="1" applyProtection="1">
      <alignment horizontal="left" vertical="top"/>
      <protection locked="0"/>
    </xf>
    <xf numFmtId="0" fontId="25" fillId="9" borderId="21" xfId="0" applyFont="1" applyFill="1" applyBorder="1" applyAlignment="1" applyProtection="1">
      <alignment horizontal="left" vertical="top"/>
      <protection locked="0"/>
    </xf>
    <xf numFmtId="0" fontId="31" fillId="7" borderId="27" xfId="0" applyFont="1" applyFill="1" applyBorder="1" applyAlignment="1" applyProtection="1">
      <alignment horizontal="left" vertical="top"/>
      <protection locked="0"/>
    </xf>
    <xf numFmtId="0" fontId="31" fillId="9" borderId="35" xfId="0" applyFont="1" applyFill="1" applyBorder="1" applyAlignment="1" applyProtection="1">
      <alignment horizontal="left" vertical="top"/>
      <protection locked="0"/>
    </xf>
    <xf numFmtId="0" fontId="31" fillId="9" borderId="4" xfId="0" applyFont="1" applyFill="1" applyBorder="1" applyAlignment="1" applyProtection="1">
      <alignment horizontal="left" vertical="top"/>
      <protection locked="0"/>
    </xf>
    <xf numFmtId="0" fontId="31" fillId="9" borderId="56" xfId="0" applyFont="1" applyFill="1" applyBorder="1" applyAlignment="1" applyProtection="1">
      <alignment horizontal="left" vertical="top"/>
      <protection locked="0"/>
    </xf>
    <xf numFmtId="14" fontId="25" fillId="9" borderId="45" xfId="0" applyNumberFormat="1" applyFont="1" applyFill="1" applyBorder="1" applyAlignment="1" applyProtection="1">
      <alignment horizontal="left" vertical="top"/>
      <protection locked="0"/>
    </xf>
    <xf numFmtId="0" fontId="31" fillId="7" borderId="78" xfId="0" applyFont="1" applyFill="1" applyBorder="1" applyAlignment="1" applyProtection="1">
      <alignment horizontal="right" vertical="top"/>
      <protection locked="0"/>
    </xf>
    <xf numFmtId="0" fontId="25" fillId="9" borderId="19" xfId="0" applyFont="1" applyFill="1" applyBorder="1" applyAlignment="1" applyProtection="1">
      <alignment horizontal="left" vertical="top"/>
      <protection locked="0"/>
    </xf>
    <xf numFmtId="0" fontId="31" fillId="7" borderId="26" xfId="0" applyFont="1" applyFill="1" applyBorder="1" applyAlignment="1" applyProtection="1">
      <alignment horizontal="right" vertical="top"/>
      <protection locked="0"/>
    </xf>
    <xf numFmtId="0" fontId="31" fillId="10" borderId="7" xfId="0" applyFont="1" applyFill="1" applyBorder="1" applyAlignment="1" applyProtection="1">
      <alignment horizontal="left" vertical="top"/>
      <protection locked="0"/>
    </xf>
    <xf numFmtId="0" fontId="31" fillId="10" borderId="0" xfId="0" applyFont="1" applyFill="1" applyAlignment="1" applyProtection="1">
      <alignment horizontal="left" vertical="top"/>
      <protection locked="0"/>
    </xf>
    <xf numFmtId="0" fontId="31" fillId="10" borderId="13" xfId="0" applyFont="1" applyFill="1" applyBorder="1" applyAlignment="1" applyProtection="1">
      <alignment horizontal="left" vertical="top"/>
      <protection locked="0"/>
    </xf>
    <xf numFmtId="0" fontId="31" fillId="7" borderId="19" xfId="0" applyFont="1" applyFill="1" applyBorder="1" applyAlignment="1" applyProtection="1">
      <alignment horizontal="right" vertical="top"/>
      <protection locked="0"/>
    </xf>
    <xf numFmtId="0" fontId="31" fillId="8" borderId="7" xfId="0" applyFont="1" applyFill="1" applyBorder="1" applyAlignment="1" applyProtection="1">
      <alignment horizontal="left" vertical="top"/>
      <protection locked="0"/>
    </xf>
    <xf numFmtId="0" fontId="31" fillId="8" borderId="0" xfId="0" applyFont="1" applyFill="1" applyAlignment="1" applyProtection="1">
      <alignment horizontal="left" vertical="top"/>
      <protection locked="0"/>
    </xf>
    <xf numFmtId="0" fontId="31" fillId="8" borderId="13" xfId="0" applyFont="1" applyFill="1" applyBorder="1" applyAlignment="1" applyProtection="1">
      <alignment horizontal="left" vertical="top"/>
      <protection locked="0"/>
    </xf>
    <xf numFmtId="0" fontId="31" fillId="13" borderId="7" xfId="0" applyFont="1" applyFill="1" applyBorder="1" applyAlignment="1" applyProtection="1">
      <alignment horizontal="left" vertical="top" wrapText="1"/>
      <protection locked="0"/>
    </xf>
    <xf numFmtId="0" fontId="31" fillId="13" borderId="13" xfId="0" applyFont="1" applyFill="1" applyBorder="1" applyAlignment="1" applyProtection="1">
      <alignment horizontal="left" vertical="top" wrapText="1"/>
      <protection locked="0"/>
    </xf>
    <xf numFmtId="0" fontId="31" fillId="13" borderId="31" xfId="0" applyFont="1" applyFill="1" applyBorder="1" applyAlignment="1" applyProtection="1">
      <alignment horizontal="left" vertical="top" wrapText="1"/>
      <protection locked="0"/>
    </xf>
    <xf numFmtId="0" fontId="31" fillId="13" borderId="32" xfId="0" applyFont="1" applyFill="1" applyBorder="1" applyAlignment="1" applyProtection="1">
      <alignment horizontal="left" vertical="top" wrapText="1"/>
      <protection locked="0"/>
    </xf>
    <xf numFmtId="0" fontId="48" fillId="7" borderId="51" xfId="0" applyFont="1" applyFill="1" applyBorder="1" applyAlignment="1" applyProtection="1">
      <alignment horizontal="right" vertical="top"/>
      <protection locked="0"/>
    </xf>
    <xf numFmtId="0" fontId="48" fillId="7" borderId="39" xfId="0" applyFont="1" applyFill="1" applyBorder="1" applyAlignment="1" applyProtection="1">
      <alignment horizontal="right" vertical="top"/>
      <protection locked="0"/>
    </xf>
    <xf numFmtId="0" fontId="31" fillId="9" borderId="19" xfId="0" applyFont="1" applyFill="1" applyBorder="1" applyAlignment="1" applyProtection="1">
      <alignment horizontal="left" vertical="top"/>
      <protection locked="0"/>
    </xf>
    <xf numFmtId="0" fontId="31" fillId="9" borderId="53" xfId="0" applyFont="1" applyFill="1" applyBorder="1" applyAlignment="1" applyProtection="1">
      <alignment horizontal="left" vertical="top"/>
      <protection locked="0"/>
    </xf>
    <xf numFmtId="0" fontId="31" fillId="7" borderId="77" xfId="0" applyFont="1" applyFill="1" applyBorder="1" applyAlignment="1" applyProtection="1">
      <alignment horizontal="right" vertical="top"/>
      <protection locked="0"/>
    </xf>
    <xf numFmtId="0" fontId="25" fillId="9" borderId="76" xfId="0" applyFont="1" applyFill="1" applyBorder="1" applyAlignment="1" applyProtection="1">
      <alignment horizontal="left" vertical="top"/>
      <protection locked="0"/>
    </xf>
    <xf numFmtId="0" fontId="31" fillId="12" borderId="7" xfId="0" applyFont="1" applyFill="1" applyBorder="1" applyAlignment="1" applyProtection="1">
      <alignment horizontal="left" vertical="top"/>
      <protection locked="0"/>
    </xf>
    <xf numFmtId="0" fontId="31" fillId="12" borderId="0" xfId="0" applyFont="1" applyFill="1" applyAlignment="1" applyProtection="1">
      <alignment horizontal="left" vertical="top"/>
      <protection locked="0"/>
    </xf>
    <xf numFmtId="0" fontId="31" fillId="12" borderId="13" xfId="0" applyFont="1" applyFill="1" applyBorder="1" applyAlignment="1" applyProtection="1">
      <alignment horizontal="left" vertical="top"/>
      <protection locked="0"/>
    </xf>
    <xf numFmtId="0" fontId="48" fillId="7" borderId="43" xfId="0" applyFont="1" applyFill="1" applyBorder="1" applyAlignment="1" applyProtection="1">
      <alignment horizontal="right" vertical="top"/>
      <protection locked="0"/>
    </xf>
    <xf numFmtId="0" fontId="48" fillId="7" borderId="1" xfId="0" applyFont="1" applyFill="1" applyBorder="1" applyAlignment="1" applyProtection="1">
      <alignment horizontal="right" vertical="top"/>
      <protection locked="0"/>
    </xf>
    <xf numFmtId="9" fontId="25" fillId="9" borderId="16" xfId="5" applyFont="1" applyFill="1" applyBorder="1" applyAlignment="1" applyProtection="1">
      <alignment horizontal="left" vertical="top"/>
      <protection locked="0"/>
    </xf>
    <xf numFmtId="9" fontId="25" fillId="9" borderId="45" xfId="5" applyFont="1" applyFill="1" applyBorder="1" applyAlignment="1" applyProtection="1">
      <alignment horizontal="left" vertical="top"/>
      <protection locked="0"/>
    </xf>
    <xf numFmtId="0" fontId="31" fillId="9" borderId="21" xfId="0" applyFont="1" applyFill="1" applyBorder="1" applyAlignment="1" applyProtection="1">
      <alignment horizontal="left" vertical="top"/>
      <protection locked="0"/>
    </xf>
    <xf numFmtId="0" fontId="31" fillId="9" borderId="63" xfId="0" applyFont="1" applyFill="1" applyBorder="1" applyAlignment="1" applyProtection="1">
      <alignment horizontal="left" vertical="top"/>
      <protection locked="0"/>
    </xf>
    <xf numFmtId="0" fontId="31" fillId="7" borderId="21" xfId="0" applyFont="1" applyFill="1" applyBorder="1" applyAlignment="1" applyProtection="1">
      <alignment horizontal="left" vertical="top"/>
      <protection locked="0"/>
    </xf>
    <xf numFmtId="0" fontId="31" fillId="9" borderId="20" xfId="0" applyFont="1" applyFill="1" applyBorder="1" applyAlignment="1" applyProtection="1">
      <alignment horizontal="left" vertical="top"/>
      <protection locked="0"/>
    </xf>
    <xf numFmtId="0" fontId="31" fillId="9" borderId="76" xfId="0" applyFont="1" applyFill="1" applyBorder="1" applyAlignment="1" applyProtection="1">
      <alignment horizontal="left" vertical="top"/>
      <protection locked="0"/>
    </xf>
    <xf numFmtId="0" fontId="25" fillId="0" borderId="34" xfId="0" applyFont="1" applyBorder="1" applyAlignment="1" applyProtection="1">
      <alignment horizontal="center" vertical="top"/>
      <protection locked="0"/>
    </xf>
    <xf numFmtId="0" fontId="25" fillId="0" borderId="81" xfId="0" applyFont="1" applyBorder="1" applyAlignment="1" applyProtection="1">
      <alignment horizontal="center" vertical="top"/>
      <protection locked="0"/>
    </xf>
    <xf numFmtId="0" fontId="37" fillId="15" borderId="34" xfId="0" applyFont="1" applyFill="1" applyBorder="1" applyAlignment="1" applyProtection="1">
      <alignment horizontal="left" vertical="top"/>
      <protection locked="0"/>
    </xf>
    <xf numFmtId="0" fontId="37" fillId="15" borderId="30" xfId="0" applyFont="1" applyFill="1" applyBorder="1" applyAlignment="1" applyProtection="1">
      <alignment horizontal="left" vertical="top"/>
      <protection locked="0"/>
    </xf>
    <xf numFmtId="0" fontId="37" fillId="15" borderId="58" xfId="0" applyFont="1" applyFill="1" applyBorder="1" applyAlignment="1" applyProtection="1">
      <alignment horizontal="left" vertical="top"/>
      <protection locked="0"/>
    </xf>
    <xf numFmtId="7" fontId="24" fillId="7" borderId="1" xfId="2" applyNumberFormat="1" applyFont="1" applyFill="1" applyBorder="1" applyAlignment="1" applyProtection="1">
      <alignment horizontal="center" vertical="center" wrapText="1"/>
    </xf>
    <xf numFmtId="7" fontId="24" fillId="7" borderId="6" xfId="2" applyNumberFormat="1" applyFont="1" applyFill="1" applyBorder="1" applyAlignment="1" applyProtection="1">
      <alignment horizontal="center" vertical="center" wrapText="1"/>
    </xf>
    <xf numFmtId="0" fontId="37" fillId="16" borderId="34" xfId="0" applyFont="1" applyFill="1" applyBorder="1" applyAlignment="1" applyProtection="1">
      <alignment horizontal="left" vertical="top"/>
      <protection locked="0"/>
    </xf>
    <xf numFmtId="0" fontId="37" fillId="16" borderId="30" xfId="0" applyFont="1" applyFill="1" applyBorder="1" applyAlignment="1" applyProtection="1">
      <alignment horizontal="left" vertical="top"/>
      <protection locked="0"/>
    </xf>
    <xf numFmtId="0" fontId="37" fillId="16" borderId="58" xfId="0" applyFont="1" applyFill="1" applyBorder="1" applyAlignment="1" applyProtection="1">
      <alignment horizontal="left" vertical="top"/>
      <protection locked="0"/>
    </xf>
    <xf numFmtId="0" fontId="40" fillId="0" borderId="39" xfId="0" applyFont="1" applyBorder="1" applyAlignment="1" applyProtection="1">
      <alignment horizontal="center" vertical="center" textRotation="90" wrapText="1"/>
      <protection locked="0"/>
    </xf>
    <xf numFmtId="0" fontId="40" fillId="0" borderId="3" xfId="0" applyFont="1" applyBorder="1" applyAlignment="1" applyProtection="1">
      <alignment horizontal="center" vertical="center" textRotation="90" wrapText="1"/>
      <protection locked="0"/>
    </xf>
    <xf numFmtId="0" fontId="22" fillId="19" borderId="1" xfId="0" applyFont="1" applyFill="1" applyBorder="1" applyAlignment="1" applyProtection="1">
      <alignment horizontal="left" vertical="top" wrapText="1"/>
      <protection locked="0"/>
    </xf>
    <xf numFmtId="0" fontId="39" fillId="14" borderId="34" xfId="0" applyFont="1" applyFill="1" applyBorder="1" applyAlignment="1">
      <alignment horizontal="center" vertical="top" wrapText="1"/>
    </xf>
    <xf numFmtId="0" fontId="39" fillId="14" borderId="30" xfId="0" applyFont="1" applyFill="1" applyBorder="1" applyAlignment="1">
      <alignment horizontal="center" vertical="top" wrapText="1"/>
    </xf>
    <xf numFmtId="0" fontId="39" fillId="14" borderId="58" xfId="0" applyFont="1" applyFill="1" applyBorder="1" applyAlignment="1">
      <alignment horizontal="center" vertical="top" wrapText="1"/>
    </xf>
    <xf numFmtId="0" fontId="39" fillId="16" borderId="35" xfId="0" applyFont="1" applyFill="1" applyBorder="1" applyAlignment="1">
      <alignment horizontal="center" vertical="top"/>
    </xf>
    <xf numFmtId="0" fontId="39" fillId="16" borderId="4" xfId="0" applyFont="1" applyFill="1" applyBorder="1" applyAlignment="1">
      <alignment horizontal="center" vertical="top"/>
    </xf>
    <xf numFmtId="0" fontId="39" fillId="16" borderId="56" xfId="0" applyFont="1" applyFill="1" applyBorder="1" applyAlignment="1">
      <alignment horizontal="center" vertical="top"/>
    </xf>
    <xf numFmtId="0" fontId="39" fillId="14" borderId="34" xfId="0" applyFont="1" applyFill="1" applyBorder="1" applyAlignment="1">
      <alignment horizontal="center" vertical="top"/>
    </xf>
    <xf numFmtId="0" fontId="39" fillId="14" borderId="30" xfId="0" applyFont="1" applyFill="1" applyBorder="1" applyAlignment="1">
      <alignment horizontal="center" vertical="top"/>
    </xf>
    <xf numFmtId="0" fontId="39" fillId="14" borderId="58" xfId="0" applyFont="1" applyFill="1" applyBorder="1" applyAlignment="1">
      <alignment horizontal="center" vertical="top"/>
    </xf>
    <xf numFmtId="2" fontId="27" fillId="6" borderId="10" xfId="0" applyNumberFormat="1" applyFont="1" applyFill="1" applyBorder="1" applyAlignment="1">
      <alignment horizontal="center" vertical="top" wrapText="1"/>
    </xf>
    <xf numFmtId="2" fontId="27" fillId="6" borderId="12" xfId="0" applyNumberFormat="1" applyFont="1" applyFill="1" applyBorder="1" applyAlignment="1">
      <alignment horizontal="center" vertical="top" wrapText="1"/>
    </xf>
    <xf numFmtId="9" fontId="31" fillId="6" borderId="10" xfId="0" applyNumberFormat="1" applyFont="1" applyFill="1" applyBorder="1" applyAlignment="1">
      <alignment horizontal="center" vertical="top" wrapText="1"/>
    </xf>
    <xf numFmtId="9" fontId="31" fillId="6" borderId="12" xfId="0" applyNumberFormat="1" applyFont="1" applyFill="1" applyBorder="1" applyAlignment="1">
      <alignment horizontal="center" vertical="top" wrapText="1"/>
    </xf>
    <xf numFmtId="164" fontId="36" fillId="15" borderId="10" xfId="0" applyNumberFormat="1" applyFont="1" applyFill="1" applyBorder="1" applyAlignment="1">
      <alignment horizontal="center" vertical="top" textRotation="90" wrapText="1"/>
    </xf>
    <xf numFmtId="164" fontId="36" fillId="15" borderId="22" xfId="0" applyNumberFormat="1" applyFont="1" applyFill="1" applyBorder="1" applyAlignment="1">
      <alignment horizontal="center" vertical="top" textRotation="90" wrapText="1"/>
    </xf>
    <xf numFmtId="164" fontId="31" fillId="0" borderId="80" xfId="0" applyNumberFormat="1" applyFont="1" applyBorder="1" applyAlignment="1">
      <alignment horizontal="center" vertical="top" wrapText="1"/>
    </xf>
    <xf numFmtId="164" fontId="31" fillId="0" borderId="12" xfId="0" applyNumberFormat="1" applyFont="1" applyBorder="1" applyAlignment="1">
      <alignment horizontal="center" vertical="top" wrapText="1"/>
    </xf>
    <xf numFmtId="0" fontId="23" fillId="18" borderId="52" xfId="0" applyFont="1" applyFill="1" applyBorder="1" applyAlignment="1">
      <alignment horizontal="center" vertical="center" wrapText="1"/>
    </xf>
    <xf numFmtId="0" fontId="23" fillId="18" borderId="54" xfId="0" applyFont="1" applyFill="1" applyBorder="1" applyAlignment="1">
      <alignment horizontal="center" vertical="center" wrapText="1"/>
    </xf>
    <xf numFmtId="0" fontId="23" fillId="18" borderId="57" xfId="0" applyFont="1" applyFill="1" applyBorder="1" applyAlignment="1">
      <alignment horizontal="center" vertical="center" wrapText="1"/>
    </xf>
    <xf numFmtId="0" fontId="23" fillId="18" borderId="37" xfId="0" applyFont="1" applyFill="1" applyBorder="1" applyAlignment="1">
      <alignment horizontal="center" vertical="center" wrapText="1"/>
    </xf>
    <xf numFmtId="0" fontId="23" fillId="18" borderId="15" xfId="0" applyFont="1" applyFill="1" applyBorder="1" applyAlignment="1">
      <alignment horizontal="center" vertical="center" wrapText="1"/>
    </xf>
    <xf numFmtId="0" fontId="23" fillId="18" borderId="61" xfId="0" applyFont="1" applyFill="1" applyBorder="1" applyAlignment="1">
      <alignment horizontal="center" vertical="center" wrapText="1"/>
    </xf>
    <xf numFmtId="0" fontId="22" fillId="0" borderId="52" xfId="0" applyFont="1" applyBorder="1" applyAlignment="1" applyProtection="1">
      <alignment horizontal="left" vertical="top" wrapText="1"/>
      <protection locked="0"/>
    </xf>
    <xf numFmtId="0" fontId="22" fillId="0" borderId="26" xfId="0" applyFont="1" applyBorder="1" applyAlignment="1" applyProtection="1">
      <alignment horizontal="left" vertical="top" wrapText="1"/>
      <protection locked="0"/>
    </xf>
    <xf numFmtId="0" fontId="22" fillId="0" borderId="54" xfId="0" applyFont="1" applyBorder="1" applyAlignment="1" applyProtection="1">
      <alignment horizontal="left" vertical="top" wrapText="1"/>
      <protection locked="0"/>
    </xf>
    <xf numFmtId="0" fontId="22" fillId="0" borderId="16" xfId="3" applyFont="1" applyBorder="1" applyAlignment="1" applyProtection="1">
      <alignment horizontal="left" vertical="top"/>
      <protection locked="0"/>
    </xf>
    <xf numFmtId="0" fontId="22" fillId="0" borderId="19" xfId="3" applyFont="1" applyBorder="1" applyAlignment="1" applyProtection="1">
      <alignment horizontal="left" vertical="top"/>
      <protection locked="0"/>
    </xf>
    <xf numFmtId="0" fontId="22" fillId="0" borderId="53" xfId="3" applyFont="1" applyBorder="1" applyAlignment="1" applyProtection="1">
      <alignment horizontal="left" vertical="top"/>
      <protection locked="0"/>
    </xf>
    <xf numFmtId="0" fontId="22" fillId="0" borderId="16" xfId="3" applyFont="1" applyBorder="1" applyAlignment="1" applyProtection="1">
      <alignment horizontal="left" vertical="top" wrapText="1"/>
      <protection locked="0"/>
    </xf>
    <xf numFmtId="0" fontId="22" fillId="0" borderId="19" xfId="3" applyFont="1" applyBorder="1" applyAlignment="1" applyProtection="1">
      <alignment horizontal="left" vertical="top" wrapText="1"/>
      <protection locked="0"/>
    </xf>
    <xf numFmtId="0" fontId="22" fillId="0" borderId="53" xfId="3" applyFont="1" applyBorder="1" applyAlignment="1" applyProtection="1">
      <alignment horizontal="left" vertical="top" wrapText="1"/>
      <protection locked="0"/>
    </xf>
    <xf numFmtId="0" fontId="22" fillId="0" borderId="52" xfId="3" applyFont="1" applyBorder="1" applyAlignment="1" applyProtection="1">
      <alignment horizontal="left" vertical="top" wrapText="1"/>
      <protection locked="0"/>
    </xf>
    <xf numFmtId="0" fontId="22" fillId="0" borderId="26" xfId="3" applyFont="1" applyBorder="1" applyAlignment="1" applyProtection="1">
      <alignment horizontal="left" vertical="top" wrapText="1"/>
      <protection locked="0"/>
    </xf>
    <xf numFmtId="0" fontId="22" fillId="0" borderId="54" xfId="3" applyFont="1" applyBorder="1" applyAlignment="1" applyProtection="1">
      <alignment horizontal="left" vertical="top" wrapText="1"/>
      <protection locked="0"/>
    </xf>
    <xf numFmtId="0" fontId="28" fillId="0" borderId="16" xfId="3" applyFont="1" applyBorder="1" applyAlignment="1" applyProtection="1">
      <alignment horizontal="right" vertical="top" wrapText="1"/>
      <protection locked="0"/>
    </xf>
    <xf numFmtId="0" fontId="5" fillId="0" borderId="19" xfId="3" applyBorder="1"/>
    <xf numFmtId="0" fontId="5" fillId="0" borderId="53" xfId="3" applyBorder="1"/>
    <xf numFmtId="0" fontId="22" fillId="0" borderId="1" xfId="3" applyFont="1" applyBorder="1" applyAlignment="1" applyProtection="1">
      <alignment horizontal="left" vertical="top" wrapText="1"/>
      <protection locked="0"/>
    </xf>
    <xf numFmtId="0" fontId="23" fillId="18" borderId="52" xfId="3" applyFont="1" applyFill="1" applyBorder="1" applyAlignment="1">
      <alignment horizontal="center" vertical="center" wrapText="1"/>
    </xf>
    <xf numFmtId="0" fontId="23" fillId="18" borderId="54" xfId="3" applyFont="1" applyFill="1" applyBorder="1" applyAlignment="1">
      <alignment horizontal="center" vertical="center" wrapText="1"/>
    </xf>
    <xf numFmtId="0" fontId="23" fillId="18" borderId="57" xfId="3" applyFont="1" applyFill="1" applyBorder="1" applyAlignment="1">
      <alignment horizontal="center" vertical="center" wrapText="1"/>
    </xf>
    <xf numFmtId="0" fontId="23" fillId="18" borderId="37" xfId="3" applyFont="1" applyFill="1" applyBorder="1" applyAlignment="1">
      <alignment horizontal="center" vertical="center" wrapText="1"/>
    </xf>
    <xf numFmtId="0" fontId="23" fillId="18" borderId="15" xfId="3" applyFont="1" applyFill="1" applyBorder="1" applyAlignment="1">
      <alignment horizontal="center" vertical="center" wrapText="1"/>
    </xf>
    <xf numFmtId="0" fontId="23" fillId="18" borderId="61" xfId="3" applyFont="1" applyFill="1" applyBorder="1" applyAlignment="1">
      <alignment horizontal="center" vertical="center" wrapText="1"/>
    </xf>
    <xf numFmtId="0" fontId="40" fillId="0" borderId="39" xfId="3" applyFont="1" applyBorder="1" applyAlignment="1" applyProtection="1">
      <alignment horizontal="center" vertical="center" textRotation="90" wrapText="1"/>
      <protection locked="0"/>
    </xf>
    <xf numFmtId="0" fontId="40" fillId="0" borderId="3" xfId="3" applyFont="1" applyBorder="1" applyAlignment="1" applyProtection="1">
      <alignment horizontal="center" vertical="center" textRotation="90" wrapText="1"/>
      <protection locked="0"/>
    </xf>
    <xf numFmtId="0" fontId="22" fillId="19" borderId="1" xfId="3" applyFont="1" applyFill="1" applyBorder="1" applyAlignment="1" applyProtection="1">
      <alignment horizontal="left" vertical="top" wrapText="1"/>
      <protection locked="0"/>
    </xf>
    <xf numFmtId="164" fontId="36" fillId="15" borderId="10" xfId="3" applyNumberFormat="1" applyFont="1" applyFill="1" applyBorder="1" applyAlignment="1">
      <alignment horizontal="center" vertical="top" textRotation="90" wrapText="1"/>
    </xf>
    <xf numFmtId="164" fontId="36" fillId="15" borderId="22" xfId="3" applyNumberFormat="1" applyFont="1" applyFill="1" applyBorder="1" applyAlignment="1">
      <alignment horizontal="center" vertical="top" textRotation="90" wrapText="1"/>
    </xf>
    <xf numFmtId="164" fontId="36" fillId="15" borderId="12" xfId="3" applyNumberFormat="1" applyFont="1" applyFill="1" applyBorder="1" applyAlignment="1">
      <alignment horizontal="center" vertical="top" textRotation="90" wrapText="1"/>
    </xf>
    <xf numFmtId="164" fontId="31" fillId="0" borderId="10" xfId="3" applyNumberFormat="1" applyFont="1" applyBorder="1" applyAlignment="1">
      <alignment horizontal="center" vertical="top" wrapText="1"/>
    </xf>
    <xf numFmtId="164" fontId="31" fillId="0" borderId="22" xfId="3" applyNumberFormat="1" applyFont="1" applyBorder="1" applyAlignment="1">
      <alignment horizontal="center" vertical="top" wrapText="1"/>
    </xf>
    <xf numFmtId="164" fontId="31" fillId="0" borderId="12" xfId="3" applyNumberFormat="1" applyFont="1" applyBorder="1" applyAlignment="1">
      <alignment horizontal="center" vertical="top" wrapText="1"/>
    </xf>
    <xf numFmtId="165" fontId="31" fillId="13" borderId="10" xfId="3" applyNumberFormat="1" applyFont="1" applyFill="1" applyBorder="1" applyAlignment="1" applyProtection="1">
      <alignment horizontal="center" vertical="top" wrapText="1"/>
      <protection locked="0"/>
    </xf>
    <xf numFmtId="165" fontId="31" fillId="13" borderId="12" xfId="3" applyNumberFormat="1" applyFont="1" applyFill="1" applyBorder="1" applyAlignment="1" applyProtection="1">
      <alignment horizontal="center" vertical="top" wrapText="1"/>
      <protection locked="0"/>
    </xf>
    <xf numFmtId="0" fontId="22" fillId="19" borderId="3" xfId="3" applyFont="1" applyFill="1" applyBorder="1" applyAlignment="1" applyProtection="1">
      <alignment horizontal="left" vertical="top" wrapText="1"/>
      <protection locked="0"/>
    </xf>
    <xf numFmtId="0" fontId="39" fillId="14" borderId="30" xfId="3" applyFont="1" applyFill="1" applyBorder="1" applyAlignment="1">
      <alignment horizontal="center" vertical="top" wrapText="1"/>
    </xf>
    <xf numFmtId="0" fontId="39" fillId="14" borderId="58" xfId="3" applyFont="1" applyFill="1" applyBorder="1" applyAlignment="1">
      <alignment horizontal="center" vertical="top" wrapText="1"/>
    </xf>
    <xf numFmtId="0" fontId="39" fillId="16" borderId="35" xfId="3" applyFont="1" applyFill="1" applyBorder="1" applyAlignment="1">
      <alignment horizontal="center" vertical="top" wrapText="1"/>
    </xf>
    <xf numFmtId="0" fontId="39" fillId="16" borderId="56" xfId="3" applyFont="1" applyFill="1" applyBorder="1" applyAlignment="1">
      <alignment horizontal="center" vertical="top"/>
    </xf>
    <xf numFmtId="9" fontId="31" fillId="6" borderId="10" xfId="3" applyNumberFormat="1" applyFont="1" applyFill="1" applyBorder="1" applyAlignment="1">
      <alignment horizontal="center" vertical="top" wrapText="1"/>
    </xf>
    <xf numFmtId="9" fontId="31" fillId="6" borderId="22" xfId="3" applyNumberFormat="1" applyFont="1" applyFill="1" applyBorder="1" applyAlignment="1">
      <alignment horizontal="center" vertical="top" wrapText="1"/>
    </xf>
    <xf numFmtId="2" fontId="27" fillId="6" borderId="10" xfId="3" applyNumberFormat="1" applyFont="1" applyFill="1" applyBorder="1" applyAlignment="1">
      <alignment horizontal="center" vertical="top" wrapText="1"/>
    </xf>
    <xf numFmtId="2" fontId="27" fillId="6" borderId="22" xfId="3" applyNumberFormat="1" applyFont="1" applyFill="1" applyBorder="1" applyAlignment="1">
      <alignment horizontal="center" vertical="top" wrapText="1"/>
    </xf>
    <xf numFmtId="0" fontId="31" fillId="6" borderId="56" xfId="3" applyFont="1" applyFill="1" applyBorder="1" applyAlignment="1">
      <alignment horizontal="center" vertical="top" wrapText="1"/>
    </xf>
    <xf numFmtId="0" fontId="31" fillId="6" borderId="13" xfId="3" applyFont="1" applyFill="1" applyBorder="1" applyAlignment="1">
      <alignment horizontal="center" vertical="top" wrapText="1"/>
    </xf>
    <xf numFmtId="0" fontId="37" fillId="16" borderId="83" xfId="3" applyFont="1" applyFill="1" applyBorder="1" applyAlignment="1" applyProtection="1">
      <alignment horizontal="left" vertical="top"/>
      <protection locked="0"/>
    </xf>
    <xf numFmtId="0" fontId="37" fillId="16" borderId="30" xfId="3" applyFont="1" applyFill="1" applyBorder="1" applyAlignment="1" applyProtection="1">
      <alignment horizontal="left" vertical="top"/>
      <protection locked="0"/>
    </xf>
    <xf numFmtId="0" fontId="37" fillId="16" borderId="84" xfId="3" applyFont="1" applyFill="1" applyBorder="1" applyAlignment="1" applyProtection="1">
      <alignment horizontal="left" vertical="top"/>
      <protection locked="0"/>
    </xf>
    <xf numFmtId="0" fontId="31" fillId="7" borderId="46" xfId="3" applyFont="1" applyFill="1" applyBorder="1" applyAlignment="1">
      <alignment horizontal="left" vertical="center" wrapText="1"/>
    </xf>
    <xf numFmtId="0" fontId="31" fillId="7" borderId="48" xfId="3" applyFont="1" applyFill="1" applyBorder="1" applyAlignment="1">
      <alignment horizontal="left" vertical="center" wrapText="1"/>
    </xf>
    <xf numFmtId="0" fontId="24" fillId="7" borderId="48" xfId="3" applyFont="1" applyFill="1" applyBorder="1" applyAlignment="1">
      <alignment horizontal="center" vertical="center" wrapText="1"/>
    </xf>
    <xf numFmtId="0" fontId="24" fillId="7" borderId="49" xfId="3" applyFont="1" applyFill="1" applyBorder="1" applyAlignment="1">
      <alignment horizontal="center" vertical="center" wrapText="1"/>
    </xf>
    <xf numFmtId="0" fontId="31" fillId="7" borderId="77" xfId="3" applyFont="1" applyFill="1" applyBorder="1" applyAlignment="1" applyProtection="1">
      <alignment horizontal="right" vertical="top"/>
      <protection locked="0"/>
    </xf>
    <xf numFmtId="0" fontId="31" fillId="7" borderId="55" xfId="3" applyFont="1" applyFill="1" applyBorder="1" applyAlignment="1" applyProtection="1">
      <alignment horizontal="right" vertical="top"/>
      <protection locked="0"/>
    </xf>
    <xf numFmtId="0" fontId="25" fillId="9" borderId="47" xfId="3" applyFont="1" applyFill="1" applyBorder="1" applyAlignment="1" applyProtection="1">
      <alignment horizontal="left" vertical="top"/>
      <protection locked="0"/>
    </xf>
    <xf numFmtId="0" fontId="25" fillId="9" borderId="76" xfId="3" applyFont="1" applyFill="1" applyBorder="1" applyAlignment="1" applyProtection="1">
      <alignment horizontal="left" vertical="top"/>
      <protection locked="0"/>
    </xf>
    <xf numFmtId="0" fontId="37" fillId="15" borderId="85" xfId="3" applyFont="1" applyFill="1" applyBorder="1" applyAlignment="1" applyProtection="1">
      <alignment horizontal="left" vertical="top"/>
      <protection locked="0"/>
    </xf>
    <xf numFmtId="0" fontId="37" fillId="15" borderId="86" xfId="3" applyFont="1" applyFill="1" applyBorder="1" applyAlignment="1" applyProtection="1">
      <alignment horizontal="left" vertical="top"/>
      <protection locked="0"/>
    </xf>
    <xf numFmtId="0" fontId="37" fillId="15" borderId="87" xfId="3" applyFont="1" applyFill="1" applyBorder="1" applyAlignment="1" applyProtection="1">
      <alignment horizontal="left" vertical="top"/>
      <protection locked="0"/>
    </xf>
    <xf numFmtId="0" fontId="31" fillId="7" borderId="43" xfId="3" applyFont="1" applyFill="1" applyBorder="1" applyAlignment="1">
      <alignment horizontal="left" vertical="center" wrapText="1"/>
    </xf>
    <xf numFmtId="0" fontId="31" fillId="7" borderId="1" xfId="3" applyFont="1" applyFill="1" applyBorder="1" applyAlignment="1">
      <alignment horizontal="left" vertical="center" wrapText="1"/>
    </xf>
    <xf numFmtId="0" fontId="31" fillId="7" borderId="78" xfId="3" applyFont="1" applyFill="1" applyBorder="1" applyAlignment="1" applyProtection="1">
      <alignment horizontal="right" vertical="top"/>
      <protection locked="0"/>
    </xf>
    <xf numFmtId="0" fontId="31" fillId="7" borderId="53" xfId="3" applyFont="1" applyFill="1" applyBorder="1" applyAlignment="1" applyProtection="1">
      <alignment horizontal="right" vertical="top"/>
      <protection locked="0"/>
    </xf>
    <xf numFmtId="0" fontId="25" fillId="9" borderId="16" xfId="3" applyFont="1" applyFill="1" applyBorder="1" applyAlignment="1" applyProtection="1">
      <alignment horizontal="left" vertical="top"/>
      <protection locked="0"/>
    </xf>
    <xf numFmtId="0" fontId="25" fillId="9" borderId="53" xfId="3" applyFont="1" applyFill="1" applyBorder="1" applyAlignment="1" applyProtection="1">
      <alignment horizontal="left" vertical="top"/>
      <protection locked="0"/>
    </xf>
    <xf numFmtId="0" fontId="31" fillId="7" borderId="47" xfId="3" applyFont="1" applyFill="1" applyBorder="1" applyAlignment="1" applyProtection="1">
      <alignment horizontal="right" vertical="top"/>
      <protection locked="0"/>
    </xf>
    <xf numFmtId="0" fontId="31" fillId="7" borderId="20" xfId="3" applyFont="1" applyFill="1" applyBorder="1" applyAlignment="1" applyProtection="1">
      <alignment horizontal="right" vertical="top"/>
      <protection locked="0"/>
    </xf>
    <xf numFmtId="0" fontId="25" fillId="0" borderId="34" xfId="3" applyFont="1" applyBorder="1" applyAlignment="1" applyProtection="1">
      <alignment horizontal="center" vertical="top"/>
      <protection locked="0"/>
    </xf>
    <xf numFmtId="0" fontId="25" fillId="0" borderId="30" xfId="3" applyFont="1" applyBorder="1" applyAlignment="1" applyProtection="1">
      <alignment horizontal="center" vertical="top"/>
      <protection locked="0"/>
    </xf>
    <xf numFmtId="0" fontId="48" fillId="7" borderId="1" xfId="3" applyFont="1" applyFill="1" applyBorder="1" applyAlignment="1" applyProtection="1">
      <alignment horizontal="right" vertical="top"/>
      <protection locked="0"/>
    </xf>
    <xf numFmtId="9" fontId="25" fillId="9" borderId="16" xfId="5" applyFont="1" applyFill="1" applyBorder="1" applyAlignment="1" applyProtection="1">
      <alignment horizontal="center" vertical="top"/>
      <protection locked="0"/>
    </xf>
    <xf numFmtId="9" fontId="25" fillId="9" borderId="45" xfId="5" applyFont="1" applyFill="1" applyBorder="1" applyAlignment="1" applyProtection="1">
      <alignment horizontal="center" vertical="top"/>
      <protection locked="0"/>
    </xf>
    <xf numFmtId="0" fontId="31" fillId="7" borderId="79" xfId="3" applyFont="1" applyFill="1" applyBorder="1" applyAlignment="1" applyProtection="1">
      <alignment horizontal="left" vertical="top"/>
      <protection locked="0"/>
    </xf>
    <xf numFmtId="0" fontId="31" fillId="7" borderId="63" xfId="3" applyFont="1" applyFill="1" applyBorder="1" applyAlignment="1" applyProtection="1">
      <alignment horizontal="left" vertical="top"/>
      <protection locked="0"/>
    </xf>
    <xf numFmtId="0" fontId="25" fillId="9" borderId="42" xfId="3" applyFont="1" applyFill="1" applyBorder="1" applyAlignment="1" applyProtection="1">
      <alignment horizontal="left" vertical="top"/>
      <protection locked="0"/>
    </xf>
    <xf numFmtId="0" fontId="25" fillId="9" borderId="63" xfId="3" applyFont="1" applyFill="1" applyBorder="1" applyAlignment="1" applyProtection="1">
      <alignment horizontal="left" vertical="top"/>
      <protection locked="0"/>
    </xf>
    <xf numFmtId="9" fontId="25" fillId="7" borderId="47" xfId="3" applyNumberFormat="1" applyFont="1" applyFill="1" applyBorder="1" applyAlignment="1">
      <alignment horizontal="center" vertical="top" wrapText="1"/>
    </xf>
    <xf numFmtId="9" fontId="25" fillId="7" borderId="76" xfId="3" applyNumberFormat="1" applyFont="1" applyFill="1" applyBorder="1" applyAlignment="1">
      <alignment horizontal="center" vertical="top" wrapText="1"/>
    </xf>
    <xf numFmtId="0" fontId="31" fillId="7" borderId="1" xfId="3" applyFont="1" applyFill="1" applyBorder="1" applyAlignment="1" applyProtection="1">
      <alignment horizontal="left" vertical="top"/>
      <protection locked="0"/>
    </xf>
    <xf numFmtId="14" fontId="25" fillId="9" borderId="16" xfId="3" applyNumberFormat="1" applyFont="1" applyFill="1" applyBorder="1" applyAlignment="1" applyProtection="1">
      <alignment horizontal="left" vertical="top"/>
      <protection locked="0"/>
    </xf>
    <xf numFmtId="14" fontId="25" fillId="9" borderId="45" xfId="3" applyNumberFormat="1" applyFont="1" applyFill="1" applyBorder="1" applyAlignment="1" applyProtection="1">
      <alignment horizontal="left" vertical="top"/>
      <protection locked="0"/>
    </xf>
    <xf numFmtId="0" fontId="31" fillId="10" borderId="33" xfId="3" applyFont="1" applyFill="1" applyBorder="1" applyAlignment="1" applyProtection="1">
      <alignment horizontal="left" vertical="top"/>
      <protection locked="0"/>
    </xf>
    <xf numFmtId="0" fontId="31" fillId="10" borderId="0" xfId="3" applyFont="1" applyFill="1" applyAlignment="1" applyProtection="1">
      <alignment horizontal="left" vertical="top"/>
      <protection locked="0"/>
    </xf>
    <xf numFmtId="0" fontId="31" fillId="10" borderId="40" xfId="3" applyFont="1" applyFill="1" applyBorder="1" applyAlignment="1" applyProtection="1">
      <alignment horizontal="left" vertical="top"/>
      <protection locked="0"/>
    </xf>
    <xf numFmtId="0" fontId="25" fillId="9" borderId="45" xfId="3" applyFont="1" applyFill="1" applyBorder="1" applyAlignment="1" applyProtection="1">
      <alignment horizontal="left" vertical="top"/>
      <protection locked="0"/>
    </xf>
    <xf numFmtId="0" fontId="25" fillId="9" borderId="55" xfId="3" applyFont="1" applyFill="1" applyBorder="1" applyAlignment="1" applyProtection="1">
      <alignment horizontal="left" vertical="top"/>
      <protection locked="0"/>
    </xf>
    <xf numFmtId="0" fontId="31" fillId="12" borderId="33" xfId="3" applyFont="1" applyFill="1" applyBorder="1" applyAlignment="1" applyProtection="1">
      <alignment vertical="top"/>
      <protection locked="0"/>
    </xf>
    <xf numFmtId="0" fontId="31" fillId="12" borderId="0" xfId="3" applyFont="1" applyFill="1" applyAlignment="1" applyProtection="1">
      <alignment vertical="top"/>
      <protection locked="0"/>
    </xf>
    <xf numFmtId="0" fontId="31" fillId="12" borderId="40" xfId="3" applyFont="1" applyFill="1" applyBorder="1" applyAlignment="1" applyProtection="1">
      <alignment vertical="top"/>
      <protection locked="0"/>
    </xf>
    <xf numFmtId="0" fontId="43" fillId="0" borderId="34" xfId="3" applyFont="1" applyBorder="1" applyAlignment="1" applyProtection="1">
      <alignment horizontal="right" vertical="top"/>
      <protection locked="0"/>
    </xf>
    <xf numFmtId="0" fontId="43" fillId="0" borderId="30" xfId="3" applyFont="1" applyBorder="1" applyAlignment="1" applyProtection="1">
      <alignment horizontal="right" vertical="top"/>
      <protection locked="0"/>
    </xf>
    <xf numFmtId="0" fontId="43" fillId="0" borderId="30" xfId="3" applyFont="1" applyBorder="1" applyAlignment="1" applyProtection="1">
      <alignment horizontal="left" vertical="top"/>
      <protection locked="0"/>
    </xf>
    <xf numFmtId="0" fontId="24" fillId="6" borderId="71" xfId="3" applyFont="1" applyFill="1" applyBorder="1" applyAlignment="1" applyProtection="1">
      <alignment horizontal="left" vertical="top"/>
      <protection locked="0"/>
    </xf>
    <xf numFmtId="0" fontId="24" fillId="6" borderId="72" xfId="3" applyFont="1" applyFill="1" applyBorder="1" applyAlignment="1" applyProtection="1">
      <alignment horizontal="left" vertical="top"/>
      <protection locked="0"/>
    </xf>
    <xf numFmtId="0" fontId="24" fillId="6" borderId="73" xfId="3" applyFont="1" applyFill="1" applyBorder="1" applyAlignment="1" applyProtection="1">
      <alignment horizontal="left" vertical="top"/>
      <protection locked="0"/>
    </xf>
    <xf numFmtId="0" fontId="31" fillId="7" borderId="3" xfId="3" applyFont="1" applyFill="1" applyBorder="1" applyAlignment="1" applyProtection="1">
      <alignment horizontal="left" vertical="top"/>
      <protection locked="0"/>
    </xf>
    <xf numFmtId="0" fontId="25" fillId="7" borderId="15" xfId="3" applyFont="1" applyFill="1" applyBorder="1" applyAlignment="1">
      <alignment horizontal="left" vertical="top"/>
    </xf>
    <xf numFmtId="0" fontId="25" fillId="7" borderId="60" xfId="3" applyFont="1" applyFill="1" applyBorder="1" applyAlignment="1">
      <alignment horizontal="left" vertical="top"/>
    </xf>
    <xf numFmtId="0" fontId="31" fillId="7" borderId="59" xfId="3" applyFont="1" applyFill="1" applyBorder="1" applyAlignment="1" applyProtection="1">
      <alignment horizontal="left" vertical="top"/>
      <protection locked="0"/>
    </xf>
    <xf numFmtId="0" fontId="31" fillId="7" borderId="61" xfId="3" applyFont="1" applyFill="1" applyBorder="1" applyAlignment="1" applyProtection="1">
      <alignment horizontal="left" vertical="top"/>
      <protection locked="0"/>
    </xf>
    <xf numFmtId="0" fontId="31" fillId="9" borderId="74" xfId="3" applyFont="1" applyFill="1" applyBorder="1" applyAlignment="1" applyProtection="1">
      <alignment vertical="top"/>
      <protection locked="0"/>
    </xf>
    <xf numFmtId="0" fontId="31" fillId="9" borderId="4" xfId="3" applyFont="1" applyFill="1" applyBorder="1" applyAlignment="1" applyProtection="1">
      <alignment vertical="top"/>
      <protection locked="0"/>
    </xf>
    <xf numFmtId="0" fontId="31" fillId="9" borderId="75" xfId="3" applyFont="1" applyFill="1" applyBorder="1" applyAlignment="1" applyProtection="1">
      <alignment vertical="top"/>
      <protection locked="0"/>
    </xf>
    <xf numFmtId="0" fontId="24" fillId="6" borderId="34" xfId="3" applyFont="1" applyFill="1" applyBorder="1" applyAlignment="1" applyProtection="1">
      <alignment vertical="top"/>
      <protection locked="0"/>
    </xf>
    <xf numFmtId="0" fontId="24" fillId="6" borderId="30" xfId="3" applyFont="1" applyFill="1" applyBorder="1" applyAlignment="1" applyProtection="1">
      <alignment vertical="top"/>
      <protection locked="0"/>
    </xf>
    <xf numFmtId="0" fontId="24" fillId="6" borderId="58" xfId="3" applyFont="1" applyFill="1" applyBorder="1" applyAlignment="1" applyProtection="1">
      <alignment vertical="top"/>
      <protection locked="0"/>
    </xf>
    <xf numFmtId="0" fontId="31" fillId="8" borderId="33" xfId="3" applyFont="1" applyFill="1" applyBorder="1" applyAlignment="1" applyProtection="1">
      <alignment horizontal="left" vertical="top"/>
      <protection locked="0"/>
    </xf>
    <xf numFmtId="0" fontId="31" fillId="8" borderId="0" xfId="3" applyFont="1" applyFill="1" applyAlignment="1" applyProtection="1">
      <alignment horizontal="left" vertical="top"/>
      <protection locked="0"/>
    </xf>
    <xf numFmtId="0" fontId="31" fillId="8" borderId="40" xfId="3" applyFont="1" applyFill="1" applyBorder="1" applyAlignment="1" applyProtection="1">
      <alignment horizontal="left" vertical="top"/>
      <protection locked="0"/>
    </xf>
    <xf numFmtId="0" fontId="31" fillId="13" borderId="33" xfId="3" applyFont="1" applyFill="1" applyBorder="1" applyAlignment="1" applyProtection="1">
      <alignment horizontal="left" vertical="top" wrapText="1"/>
      <protection locked="0"/>
    </xf>
    <xf numFmtId="0" fontId="31" fillId="13" borderId="9" xfId="3" applyFont="1" applyFill="1" applyBorder="1" applyAlignment="1" applyProtection="1">
      <alignment horizontal="left" vertical="top" wrapText="1"/>
      <protection locked="0"/>
    </xf>
    <xf numFmtId="0" fontId="31" fillId="7" borderId="42" xfId="3" applyFont="1" applyFill="1" applyBorder="1" applyAlignment="1" applyProtection="1">
      <alignment horizontal="left" vertical="top"/>
      <protection locked="0"/>
    </xf>
    <xf numFmtId="0" fontId="31" fillId="7" borderId="21" xfId="3" applyFont="1" applyFill="1" applyBorder="1" applyAlignment="1" applyProtection="1">
      <alignment horizontal="left" vertical="top"/>
      <protection locked="0"/>
    </xf>
    <xf numFmtId="0" fontId="31" fillId="7" borderId="16" xfId="3" applyFont="1" applyFill="1" applyBorder="1" applyAlignment="1" applyProtection="1">
      <alignment horizontal="right" vertical="top"/>
      <protection locked="0"/>
    </xf>
    <xf numFmtId="0" fontId="31" fillId="7" borderId="19" xfId="3" applyFont="1" applyFill="1" applyBorder="1" applyAlignment="1" applyProtection="1">
      <alignment horizontal="right" vertical="top"/>
      <protection locked="0"/>
    </xf>
    <xf numFmtId="0" fontId="31" fillId="7" borderId="89" xfId="3" applyFont="1" applyFill="1" applyBorder="1" applyAlignment="1" applyProtection="1">
      <alignment horizontal="right" vertical="top"/>
      <protection locked="0"/>
    </xf>
    <xf numFmtId="0" fontId="31" fillId="7" borderId="30" xfId="3" applyFont="1" applyFill="1" applyBorder="1" applyAlignment="1" applyProtection="1">
      <alignment horizontal="right" vertical="top"/>
      <protection locked="0"/>
    </xf>
    <xf numFmtId="0" fontId="22" fillId="0" borderId="1" xfId="3" applyFont="1" applyBorder="1" applyAlignment="1" applyProtection="1">
      <alignment horizontal="left" vertical="top"/>
      <protection locked="0"/>
    </xf>
    <xf numFmtId="0" fontId="22" fillId="0" borderId="41" xfId="3" applyFont="1" applyBorder="1" applyAlignment="1" applyProtection="1">
      <alignment horizontal="left" vertical="top" wrapText="1"/>
      <protection locked="0"/>
    </xf>
    <xf numFmtId="0" fontId="27" fillId="6" borderId="31" xfId="3" applyFont="1" applyFill="1" applyBorder="1" applyAlignment="1">
      <alignment horizontal="center" vertical="top"/>
    </xf>
    <xf numFmtId="0" fontId="27" fillId="6" borderId="32" xfId="3" applyFont="1" applyFill="1" applyBorder="1" applyAlignment="1">
      <alignment horizontal="center" vertical="top"/>
    </xf>
    <xf numFmtId="0" fontId="22" fillId="0" borderId="24" xfId="3" applyFont="1" applyBorder="1" applyAlignment="1" applyProtection="1">
      <alignment horizontal="center" vertical="center" textRotation="90" wrapText="1"/>
      <protection locked="0"/>
    </xf>
    <xf numFmtId="0" fontId="22" fillId="0" borderId="38" xfId="3" applyFont="1" applyBorder="1" applyAlignment="1" applyProtection="1">
      <alignment horizontal="center" vertical="center" textRotation="90" wrapText="1"/>
      <protection locked="0"/>
    </xf>
    <xf numFmtId="0" fontId="22" fillId="0" borderId="3" xfId="3" applyFont="1" applyBorder="1" applyAlignment="1" applyProtection="1">
      <alignment horizontal="center" vertical="center" textRotation="90" wrapText="1"/>
      <protection locked="0"/>
    </xf>
    <xf numFmtId="0" fontId="10" fillId="19" borderId="3" xfId="3" applyFont="1" applyFill="1" applyBorder="1" applyAlignment="1" applyProtection="1">
      <alignment horizontal="left" vertical="top" wrapText="1"/>
      <protection locked="0"/>
    </xf>
    <xf numFmtId="0" fontId="22" fillId="0" borderId="15" xfId="3" applyFont="1" applyBorder="1" applyAlignment="1" applyProtection="1">
      <alignment horizontal="left" vertical="top" wrapText="1"/>
      <protection locked="0"/>
    </xf>
    <xf numFmtId="0" fontId="22" fillId="0" borderId="64" xfId="3" applyFont="1" applyBorder="1" applyAlignment="1" applyProtection="1">
      <alignment horizontal="left" vertical="top" wrapText="1"/>
      <protection locked="0"/>
    </xf>
    <xf numFmtId="0" fontId="39" fillId="14" borderId="34" xfId="3" applyFont="1" applyFill="1" applyBorder="1" applyAlignment="1">
      <alignment horizontal="center" vertical="top" wrapText="1"/>
    </xf>
    <xf numFmtId="0" fontId="39" fillId="16" borderId="35" xfId="3" applyFont="1" applyFill="1" applyBorder="1" applyAlignment="1">
      <alignment horizontal="center" vertical="top"/>
    </xf>
    <xf numFmtId="0" fontId="39" fillId="16" borderId="4" xfId="3" applyFont="1" applyFill="1" applyBorder="1" applyAlignment="1">
      <alignment horizontal="center" vertical="top"/>
    </xf>
    <xf numFmtId="0" fontId="39" fillId="14" borderId="34" xfId="3" applyFont="1" applyFill="1" applyBorder="1" applyAlignment="1">
      <alignment horizontal="center" vertical="top"/>
    </xf>
    <xf numFmtId="0" fontId="39" fillId="14" borderId="30" xfId="3" applyFont="1" applyFill="1" applyBorder="1" applyAlignment="1">
      <alignment horizontal="center" vertical="top"/>
    </xf>
    <xf numFmtId="0" fontId="39" fillId="14" borderId="58" xfId="3" applyFont="1" applyFill="1" applyBorder="1" applyAlignment="1">
      <alignment horizontal="center" vertical="top"/>
    </xf>
    <xf numFmtId="9" fontId="31" fillId="6" borderId="35" xfId="3" applyNumberFormat="1" applyFont="1" applyFill="1" applyBorder="1" applyAlignment="1">
      <alignment horizontal="center" vertical="top" wrapText="1"/>
    </xf>
    <xf numFmtId="9" fontId="31" fillId="6" borderId="4" xfId="3" applyNumberFormat="1" applyFont="1" applyFill="1" applyBorder="1" applyAlignment="1">
      <alignment horizontal="center" vertical="top" wrapText="1"/>
    </xf>
    <xf numFmtId="9" fontId="31" fillId="6" borderId="56" xfId="3" applyNumberFormat="1" applyFont="1" applyFill="1" applyBorder="1" applyAlignment="1">
      <alignment horizontal="center" vertical="top" wrapText="1"/>
    </xf>
    <xf numFmtId="9" fontId="31" fillId="6" borderId="31" xfId="3" applyNumberFormat="1" applyFont="1" applyFill="1" applyBorder="1" applyAlignment="1">
      <alignment horizontal="center" vertical="top" wrapText="1"/>
    </xf>
    <xf numFmtId="9" fontId="31" fillId="6" borderId="23" xfId="3" applyNumberFormat="1" applyFont="1" applyFill="1" applyBorder="1" applyAlignment="1">
      <alignment horizontal="center" vertical="top" wrapText="1"/>
    </xf>
    <xf numFmtId="9" fontId="31" fillId="6" borderId="32" xfId="3" applyNumberFormat="1" applyFont="1" applyFill="1" applyBorder="1" applyAlignment="1">
      <alignment horizontal="center" vertical="top" wrapText="1"/>
    </xf>
    <xf numFmtId="9" fontId="31" fillId="6" borderId="12" xfId="3" applyNumberFormat="1" applyFont="1" applyFill="1" applyBorder="1" applyAlignment="1">
      <alignment horizontal="center" vertical="top" wrapText="1"/>
    </xf>
    <xf numFmtId="0" fontId="31" fillId="6" borderId="35" xfId="3" applyFont="1" applyFill="1" applyBorder="1" applyAlignment="1">
      <alignment horizontal="center" vertical="top" wrapText="1"/>
    </xf>
    <xf numFmtId="0" fontId="31" fillId="7" borderId="46" xfId="3" applyFont="1" applyFill="1" applyBorder="1" applyAlignment="1" applyProtection="1">
      <alignment horizontal="right" vertical="top"/>
      <protection locked="0"/>
    </xf>
    <xf numFmtId="0" fontId="31" fillId="7" borderId="48" xfId="3" applyFont="1" applyFill="1" applyBorder="1" applyAlignment="1" applyProtection="1">
      <alignment horizontal="right" vertical="top"/>
      <protection locked="0"/>
    </xf>
    <xf numFmtId="0" fontId="25" fillId="9" borderId="48" xfId="3" applyFont="1" applyFill="1" applyBorder="1" applyAlignment="1" applyProtection="1">
      <alignment horizontal="left" vertical="top"/>
      <protection locked="0"/>
    </xf>
    <xf numFmtId="0" fontId="25" fillId="9" borderId="49" xfId="3" applyFont="1" applyFill="1" applyBorder="1" applyAlignment="1" applyProtection="1">
      <alignment horizontal="left" vertical="top"/>
      <protection locked="0"/>
    </xf>
    <xf numFmtId="0" fontId="37" fillId="15" borderId="34" xfId="3" applyFont="1" applyFill="1" applyBorder="1" applyAlignment="1" applyProtection="1">
      <alignment horizontal="left" vertical="top"/>
      <protection locked="0"/>
    </xf>
    <xf numFmtId="0" fontId="37" fillId="15" borderId="30" xfId="3" applyFont="1" applyFill="1" applyBorder="1" applyAlignment="1" applyProtection="1">
      <alignment horizontal="left" vertical="top"/>
      <protection locked="0"/>
    </xf>
    <xf numFmtId="0" fontId="37" fillId="15" borderId="58" xfId="3" applyFont="1" applyFill="1" applyBorder="1" applyAlignment="1" applyProtection="1">
      <alignment horizontal="left" vertical="top"/>
      <protection locked="0"/>
    </xf>
    <xf numFmtId="0" fontId="31" fillId="7" borderId="43" xfId="3" applyFont="1" applyFill="1" applyBorder="1" applyAlignment="1" applyProtection="1">
      <alignment horizontal="right" vertical="top"/>
      <protection locked="0"/>
    </xf>
    <xf numFmtId="0" fontId="31" fillId="7" borderId="1" xfId="3" applyFont="1" applyFill="1" applyBorder="1" applyAlignment="1" applyProtection="1">
      <alignment horizontal="right" vertical="top"/>
      <protection locked="0"/>
    </xf>
    <xf numFmtId="0" fontId="25" fillId="9" borderId="1" xfId="3" applyFont="1" applyFill="1" applyBorder="1" applyAlignment="1" applyProtection="1">
      <alignment horizontal="left" vertical="top"/>
      <protection locked="0"/>
    </xf>
    <xf numFmtId="0" fontId="31" fillId="7" borderId="26" xfId="3" applyFont="1" applyFill="1" applyBorder="1" applyAlignment="1" applyProtection="1">
      <alignment horizontal="right" vertical="top"/>
      <protection locked="0"/>
    </xf>
    <xf numFmtId="0" fontId="37" fillId="16" borderId="34" xfId="3" applyFont="1" applyFill="1" applyBorder="1" applyAlignment="1" applyProtection="1">
      <alignment horizontal="left" vertical="top"/>
      <protection locked="0"/>
    </xf>
    <xf numFmtId="0" fontId="37" fillId="16" borderId="58" xfId="3" applyFont="1" applyFill="1" applyBorder="1" applyAlignment="1" applyProtection="1">
      <alignment horizontal="left" vertical="top"/>
      <protection locked="0"/>
    </xf>
    <xf numFmtId="0" fontId="31" fillId="13" borderId="7" xfId="3" applyFont="1" applyFill="1" applyBorder="1" applyAlignment="1" applyProtection="1">
      <alignment horizontal="left" vertical="top" wrapText="1"/>
      <protection locked="0"/>
    </xf>
    <xf numFmtId="0" fontId="31" fillId="13" borderId="0" xfId="3" applyFont="1" applyFill="1" applyAlignment="1" applyProtection="1">
      <alignment horizontal="left" vertical="top" wrapText="1"/>
      <protection locked="0"/>
    </xf>
    <xf numFmtId="0" fontId="31" fillId="13" borderId="13" xfId="3" applyFont="1" applyFill="1" applyBorder="1" applyAlignment="1" applyProtection="1">
      <alignment horizontal="left" vertical="top" wrapText="1"/>
      <protection locked="0"/>
    </xf>
    <xf numFmtId="0" fontId="31" fillId="13" borderId="31" xfId="3" applyFont="1" applyFill="1" applyBorder="1" applyAlignment="1" applyProtection="1">
      <alignment horizontal="left" vertical="top" wrapText="1"/>
      <protection locked="0"/>
    </xf>
    <xf numFmtId="0" fontId="31" fillId="13" borderId="23" xfId="3" applyFont="1" applyFill="1" applyBorder="1" applyAlignment="1" applyProtection="1">
      <alignment horizontal="left" vertical="top" wrapText="1"/>
      <protection locked="0"/>
    </xf>
    <xf numFmtId="0" fontId="31" fillId="13" borderId="32" xfId="3" applyFont="1" applyFill="1" applyBorder="1" applyAlignment="1" applyProtection="1">
      <alignment horizontal="left" vertical="top" wrapText="1"/>
      <protection locked="0"/>
    </xf>
    <xf numFmtId="0" fontId="48" fillId="7" borderId="51" xfId="3" applyFont="1" applyFill="1" applyBorder="1" applyAlignment="1" applyProtection="1">
      <alignment horizontal="right" vertical="top"/>
      <protection locked="0"/>
    </xf>
    <xf numFmtId="0" fontId="48" fillId="7" borderId="39" xfId="3" applyFont="1" applyFill="1" applyBorder="1" applyAlignment="1" applyProtection="1">
      <alignment horizontal="right" vertical="top"/>
      <protection locked="0"/>
    </xf>
    <xf numFmtId="9" fontId="25" fillId="7" borderId="52" xfId="3" applyNumberFormat="1" applyFont="1" applyFill="1" applyBorder="1" applyAlignment="1">
      <alignment horizontal="left" vertical="top" wrapText="1"/>
    </xf>
    <xf numFmtId="9" fontId="25" fillId="7" borderId="50" xfId="3" applyNumberFormat="1" applyFont="1" applyFill="1" applyBorder="1" applyAlignment="1">
      <alignment horizontal="left" vertical="top" wrapText="1"/>
    </xf>
    <xf numFmtId="0" fontId="31" fillId="7" borderId="43" xfId="3" applyFont="1" applyFill="1" applyBorder="1" applyAlignment="1" applyProtection="1">
      <alignment horizontal="left" vertical="top"/>
      <protection locked="0"/>
    </xf>
    <xf numFmtId="0" fontId="31" fillId="7" borderId="51" xfId="3" applyFont="1" applyFill="1" applyBorder="1" applyAlignment="1" applyProtection="1">
      <alignment horizontal="right" vertical="top"/>
      <protection locked="0"/>
    </xf>
    <xf numFmtId="0" fontId="31" fillId="7" borderId="39" xfId="3" applyFont="1" applyFill="1" applyBorder="1" applyAlignment="1" applyProtection="1">
      <alignment horizontal="right" vertical="top"/>
      <protection locked="0"/>
    </xf>
    <xf numFmtId="0" fontId="25" fillId="9" borderId="39" xfId="3" applyFont="1" applyFill="1" applyBorder="1" applyAlignment="1" applyProtection="1">
      <alignment horizontal="left" vertical="top"/>
      <protection locked="0"/>
    </xf>
    <xf numFmtId="0" fontId="25" fillId="9" borderId="52" xfId="3" applyFont="1" applyFill="1" applyBorder="1" applyAlignment="1" applyProtection="1">
      <alignment horizontal="left" vertical="top"/>
      <protection locked="0"/>
    </xf>
    <xf numFmtId="0" fontId="31" fillId="12" borderId="7" xfId="3" applyFont="1" applyFill="1" applyBorder="1" applyAlignment="1" applyProtection="1">
      <alignment horizontal="left" vertical="top"/>
      <protection locked="0"/>
    </xf>
    <xf numFmtId="0" fontId="31" fillId="12" borderId="0" xfId="3" applyFont="1" applyFill="1" applyAlignment="1" applyProtection="1">
      <alignment horizontal="left" vertical="top"/>
      <protection locked="0"/>
    </xf>
    <xf numFmtId="0" fontId="31" fillId="12" borderId="13" xfId="3" applyFont="1" applyFill="1" applyBorder="1" applyAlignment="1" applyProtection="1">
      <alignment horizontal="left" vertical="top"/>
      <protection locked="0"/>
    </xf>
    <xf numFmtId="0" fontId="48" fillId="7" borderId="43" xfId="3" applyFont="1" applyFill="1" applyBorder="1" applyAlignment="1" applyProtection="1">
      <alignment horizontal="right" vertical="top"/>
      <protection locked="0"/>
    </xf>
    <xf numFmtId="0" fontId="31" fillId="7" borderId="65" xfId="3" applyFont="1" applyFill="1" applyBorder="1" applyAlignment="1" applyProtection="1">
      <alignment horizontal="left" vertical="top"/>
      <protection locked="0"/>
    </xf>
    <xf numFmtId="0" fontId="31" fillId="7" borderId="2" xfId="3" applyFont="1" applyFill="1" applyBorder="1" applyAlignment="1" applyProtection="1">
      <alignment horizontal="left" vertical="top"/>
      <protection locked="0"/>
    </xf>
    <xf numFmtId="0" fontId="25" fillId="9" borderId="2" xfId="3" applyFont="1" applyFill="1" applyBorder="1" applyAlignment="1" applyProtection="1">
      <alignment horizontal="left" vertical="top"/>
      <protection locked="0"/>
    </xf>
    <xf numFmtId="0" fontId="31" fillId="10" borderId="7" xfId="3" applyFont="1" applyFill="1" applyBorder="1" applyAlignment="1" applyProtection="1">
      <alignment horizontal="left" vertical="top"/>
      <protection locked="0"/>
    </xf>
    <xf numFmtId="0" fontId="31" fillId="10" borderId="13" xfId="3" applyFont="1" applyFill="1" applyBorder="1" applyAlignment="1" applyProtection="1">
      <alignment horizontal="left" vertical="top"/>
      <protection locked="0"/>
    </xf>
    <xf numFmtId="0" fontId="31" fillId="8" borderId="7" xfId="3" applyFont="1" applyFill="1" applyBorder="1" applyAlignment="1" applyProtection="1">
      <alignment horizontal="left" vertical="top"/>
      <protection locked="0"/>
    </xf>
    <xf numFmtId="0" fontId="31" fillId="8" borderId="13" xfId="3" applyFont="1" applyFill="1" applyBorder="1" applyAlignment="1" applyProtection="1">
      <alignment horizontal="left" vertical="top"/>
      <protection locked="0"/>
    </xf>
    <xf numFmtId="0" fontId="31" fillId="0" borderId="34" xfId="3" applyFont="1" applyBorder="1" applyAlignment="1">
      <alignment horizontal="center" vertical="top"/>
    </xf>
    <xf numFmtId="0" fontId="31" fillId="0" borderId="30" xfId="3" applyFont="1" applyBorder="1" applyAlignment="1">
      <alignment horizontal="center" vertical="top"/>
    </xf>
    <xf numFmtId="0" fontId="24" fillId="6" borderId="34" xfId="3" applyFont="1" applyFill="1" applyBorder="1" applyAlignment="1" applyProtection="1">
      <alignment horizontal="left" vertical="top"/>
      <protection locked="0"/>
    </xf>
    <xf numFmtId="0" fontId="24" fillId="6" borderId="30" xfId="3" applyFont="1" applyFill="1" applyBorder="1" applyAlignment="1" applyProtection="1">
      <alignment horizontal="left" vertical="top"/>
      <protection locked="0"/>
    </xf>
    <xf numFmtId="0" fontId="24" fillId="6" borderId="58" xfId="3" applyFont="1" applyFill="1" applyBorder="1" applyAlignment="1" applyProtection="1">
      <alignment horizontal="left" vertical="top"/>
      <protection locked="0"/>
    </xf>
    <xf numFmtId="0" fontId="25" fillId="7" borderId="42" xfId="3" applyFont="1" applyFill="1" applyBorder="1" applyAlignment="1">
      <alignment horizontal="left" vertical="top"/>
    </xf>
    <xf numFmtId="0" fontId="25" fillId="7" borderId="62" xfId="3" applyFont="1" applyFill="1" applyBorder="1" applyAlignment="1">
      <alignment horizontal="left" vertical="top"/>
    </xf>
    <xf numFmtId="0" fontId="31" fillId="7" borderId="44" xfId="3" applyFont="1" applyFill="1" applyBorder="1" applyAlignment="1" applyProtection="1">
      <alignment horizontal="left" vertical="top"/>
      <protection locked="0"/>
    </xf>
    <xf numFmtId="0" fontId="25" fillId="9" borderId="3" xfId="3" applyFont="1" applyFill="1" applyBorder="1" applyAlignment="1" applyProtection="1">
      <alignment horizontal="left" vertical="top"/>
      <protection locked="0"/>
    </xf>
    <xf numFmtId="0" fontId="31" fillId="7" borderId="27" xfId="3" applyFont="1" applyFill="1" applyBorder="1" applyAlignment="1" applyProtection="1">
      <alignment horizontal="left" vertical="top"/>
      <protection locked="0"/>
    </xf>
    <xf numFmtId="0" fontId="31" fillId="9" borderId="35" xfId="3" applyFont="1" applyFill="1" applyBorder="1" applyAlignment="1" applyProtection="1">
      <alignment horizontal="left" vertical="top"/>
      <protection locked="0"/>
    </xf>
    <xf numFmtId="0" fontId="31" fillId="9" borderId="4" xfId="3" applyFont="1" applyFill="1" applyBorder="1" applyAlignment="1" applyProtection="1">
      <alignment horizontal="left" vertical="top"/>
      <protection locked="0"/>
    </xf>
    <xf numFmtId="0" fontId="31" fillId="9" borderId="56" xfId="3" applyFont="1" applyFill="1" applyBorder="1" applyAlignment="1" applyProtection="1">
      <alignment horizontal="left" vertical="top"/>
      <protection locked="0"/>
    </xf>
  </cellXfs>
  <cellStyles count="7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4000000}"/>
    <cellStyle name="Normal 3" xfId="6" xr:uid="{00000000-0005-0000-0000-000005000000}"/>
    <cellStyle name="Percent" xfId="4" builtinId="5"/>
    <cellStyle name="Percent 2" xfId="5" xr:uid="{00000000-0005-0000-0000-000007000000}"/>
  </cellStyles>
  <dxfs count="51"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indexed="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F9F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0</xdr:rowOff>
        </xdr:from>
        <xdr:to>
          <xdr:col>2</xdr:col>
          <xdr:colOff>965200</xdr:colOff>
          <xdr:row>1</xdr:row>
          <xdr:rowOff>31750</xdr:rowOff>
        </xdr:to>
        <xdr:sp macro="" textlink="">
          <xdr:nvSpPr>
            <xdr:cNvPr id="28678" name="Button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7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 ISSUE SUMMARY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13</xdr:row>
          <xdr:rowOff>527050</xdr:rowOff>
        </xdr:from>
        <xdr:to>
          <xdr:col>0</xdr:col>
          <xdr:colOff>279400</xdr:colOff>
          <xdr:row>14</xdr:row>
          <xdr:rowOff>209550</xdr:rowOff>
        </xdr:to>
        <xdr:sp macro="" textlink="">
          <xdr:nvSpPr>
            <xdr:cNvPr id="28695" name="Button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7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222250</xdr:rowOff>
        </xdr:from>
        <xdr:to>
          <xdr:col>0</xdr:col>
          <xdr:colOff>260350</xdr:colOff>
          <xdr:row>13</xdr:row>
          <xdr:rowOff>546100</xdr:rowOff>
        </xdr:to>
        <xdr:sp macro="" textlink="">
          <xdr:nvSpPr>
            <xdr:cNvPr id="28696" name="Button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7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 - DEF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Services/Training%20Documents%20and%20Procedures/Revenue%20Distribution%20Training/Revenue%20Distribution%20Worksheet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ira\Documents\DistributionWorksheets%202018%20Training%20W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Worksheets Included"/>
      <sheetName val="Drop-Down List"/>
      <sheetName val="2023 UPDATE"/>
      <sheetName val="2022 UPDATE"/>
      <sheetName val="2021 UPDATE"/>
      <sheetName val="2019 UPDATE "/>
      <sheetName val="2014 UPDATE"/>
      <sheetName val="2013 UPDATE"/>
      <sheetName val="2012 UPDATE"/>
      <sheetName val="2011 UPDATE"/>
      <sheetName val="2010 UPDATE"/>
      <sheetName val="2009 UPDATE"/>
      <sheetName val="Local Penalties"/>
      <sheetName val="1-DUI (Reduce Base)"/>
      <sheetName val="2-DUI (Reduce Base)"/>
      <sheetName val="3-RD (Reduce Base)"/>
      <sheetName val="4-RRBF"/>
      <sheetName val="5-RRTS (BF &amp; No 2%)"/>
      <sheetName val="6-RLBF"/>
      <sheetName val="7-RLTS"/>
      <sheetName val="8-RLBF (No 30%)"/>
      <sheetName val="9-SpBF"/>
      <sheetName val="10-SpTS"/>
      <sheetName val="11-CSBF"/>
      <sheetName val="12-CSTS (BF &amp; 2%)"/>
      <sheetName val="13-UC"/>
      <sheetName val="14-POC"/>
      <sheetName val="15-POI (Base Reduce)"/>
      <sheetName val="16-DV"/>
      <sheetName val="17-HS (Enhance Base)"/>
      <sheetName val="18-FG"/>
      <sheetName val="19-Standard Distribution"/>
    </sheetNames>
    <sheetDataSet>
      <sheetData sheetId="0">
        <row r="3">
          <cell r="A3" t="str">
            <v>January 2023</v>
          </cell>
        </row>
      </sheetData>
      <sheetData sheetId="1" refreshError="1"/>
      <sheetData sheetId="2">
        <row r="1">
          <cell r="A1" t="str">
            <v>TOP-DOWN 1 (B-C)</v>
          </cell>
        </row>
        <row r="2">
          <cell r="A2" t="str">
            <v>TOP-DOWN 2 (B-D)</v>
          </cell>
        </row>
        <row r="3">
          <cell r="A3" t="str">
            <v>BASE-UP (B-A)</v>
          </cell>
        </row>
        <row r="5">
          <cell r="A5" t="str">
            <v>Yes</v>
          </cell>
        </row>
        <row r="6">
          <cell r="A6" t="str">
            <v>No</v>
          </cell>
        </row>
        <row r="7">
          <cell r="A7" t="str">
            <v>NA-County Arrest</v>
          </cell>
        </row>
        <row r="9">
          <cell r="A9" t="str">
            <v>Yes</v>
          </cell>
        </row>
        <row r="10">
          <cell r="A10" t="str">
            <v>No</v>
          </cell>
        </row>
        <row r="11">
          <cell r="A11" t="str">
            <v>NA-City Arrest</v>
          </cell>
        </row>
        <row r="13">
          <cell r="A13" t="str">
            <v>Yes</v>
          </cell>
        </row>
        <row r="14">
          <cell r="A14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4">
          <cell r="A14" t="str">
            <v>Alameda</v>
          </cell>
        </row>
        <row r="15">
          <cell r="A15" t="str">
            <v>Alpine</v>
          </cell>
        </row>
        <row r="16">
          <cell r="A16" t="str">
            <v>Amador</v>
          </cell>
        </row>
        <row r="17">
          <cell r="A17" t="str">
            <v>Butte</v>
          </cell>
        </row>
        <row r="18">
          <cell r="A18" t="str">
            <v>Calaveras</v>
          </cell>
        </row>
        <row r="19">
          <cell r="A19" t="str">
            <v>Colusa</v>
          </cell>
        </row>
        <row r="20">
          <cell r="A20" t="str">
            <v>Contra Costa</v>
          </cell>
        </row>
        <row r="21">
          <cell r="A21" t="str">
            <v>Del Norte</v>
          </cell>
        </row>
        <row r="22">
          <cell r="A22" t="str">
            <v>El Dorado</v>
          </cell>
        </row>
        <row r="23">
          <cell r="A23" t="str">
            <v>Fresno</v>
          </cell>
        </row>
        <row r="24">
          <cell r="A24" t="str">
            <v>Glenn</v>
          </cell>
        </row>
        <row r="25">
          <cell r="A25" t="str">
            <v>Humboldt</v>
          </cell>
        </row>
        <row r="26">
          <cell r="A26" t="str">
            <v>Imperial</v>
          </cell>
        </row>
        <row r="27">
          <cell r="A27" t="str">
            <v>Inyo</v>
          </cell>
        </row>
        <row r="28">
          <cell r="A28" t="str">
            <v>Kern</v>
          </cell>
        </row>
        <row r="29">
          <cell r="A29" t="str">
            <v>Kings</v>
          </cell>
        </row>
        <row r="30">
          <cell r="A30" t="str">
            <v>Lake</v>
          </cell>
        </row>
        <row r="31">
          <cell r="A31" t="str">
            <v>Lassen</v>
          </cell>
        </row>
        <row r="32">
          <cell r="A32" t="str">
            <v>Los Angeles</v>
          </cell>
        </row>
        <row r="33">
          <cell r="A33" t="str">
            <v>Madera</v>
          </cell>
        </row>
        <row r="34">
          <cell r="A34" t="str">
            <v>Marin</v>
          </cell>
        </row>
        <row r="35">
          <cell r="A35" t="str">
            <v>Mariposa</v>
          </cell>
        </row>
        <row r="36">
          <cell r="A36" t="str">
            <v>Mendocino</v>
          </cell>
        </row>
        <row r="37">
          <cell r="A37" t="str">
            <v>Merced</v>
          </cell>
        </row>
        <row r="38">
          <cell r="A38" t="str">
            <v>Modoc</v>
          </cell>
        </row>
        <row r="39">
          <cell r="A39" t="str">
            <v>Mono</v>
          </cell>
        </row>
        <row r="40">
          <cell r="A40" t="str">
            <v>Monterey</v>
          </cell>
        </row>
        <row r="41">
          <cell r="A41" t="str">
            <v>Napa</v>
          </cell>
        </row>
        <row r="42">
          <cell r="A42" t="str">
            <v>Nevada</v>
          </cell>
        </row>
        <row r="43">
          <cell r="A43" t="str">
            <v>Orange</v>
          </cell>
        </row>
        <row r="44">
          <cell r="A44" t="str">
            <v>Placer</v>
          </cell>
        </row>
        <row r="45">
          <cell r="A45" t="str">
            <v>Plumas</v>
          </cell>
        </row>
        <row r="46">
          <cell r="A46" t="str">
            <v>Riverside</v>
          </cell>
        </row>
        <row r="47">
          <cell r="A47" t="str">
            <v>Sacramento</v>
          </cell>
        </row>
        <row r="48">
          <cell r="A48" t="str">
            <v>San Benito</v>
          </cell>
        </row>
        <row r="49">
          <cell r="A49" t="str">
            <v>San Bernardino</v>
          </cell>
        </row>
        <row r="50">
          <cell r="A50" t="str">
            <v>San Diego</v>
          </cell>
        </row>
        <row r="51">
          <cell r="A51" t="str">
            <v>San Francisco</v>
          </cell>
        </row>
        <row r="52">
          <cell r="A52" t="str">
            <v>San Joaquin</v>
          </cell>
        </row>
        <row r="53">
          <cell r="A53" t="str">
            <v>San Luis Obispo</v>
          </cell>
        </row>
        <row r="54">
          <cell r="A54" t="str">
            <v>San Mateo</v>
          </cell>
        </row>
        <row r="55">
          <cell r="A55" t="str">
            <v>Santa Barbara</v>
          </cell>
        </row>
        <row r="56">
          <cell r="A56" t="str">
            <v>Santa Clara</v>
          </cell>
        </row>
        <row r="57">
          <cell r="A57" t="str">
            <v>Santa Cruz</v>
          </cell>
        </row>
        <row r="58">
          <cell r="A58" t="str">
            <v>Shasta</v>
          </cell>
        </row>
        <row r="59">
          <cell r="A59" t="str">
            <v>Sierra</v>
          </cell>
        </row>
        <row r="60">
          <cell r="A60" t="str">
            <v>Siskiyou</v>
          </cell>
        </row>
        <row r="61">
          <cell r="A61" t="str">
            <v>Solano</v>
          </cell>
        </row>
        <row r="62">
          <cell r="A62" t="str">
            <v>Sonoma</v>
          </cell>
        </row>
        <row r="63">
          <cell r="A63" t="str">
            <v>Stanislaus</v>
          </cell>
        </row>
        <row r="64">
          <cell r="A64" t="str">
            <v>Sutter</v>
          </cell>
        </row>
        <row r="65">
          <cell r="A65" t="str">
            <v>Tehama</v>
          </cell>
        </row>
        <row r="66">
          <cell r="A66" t="str">
            <v>Trinity</v>
          </cell>
        </row>
        <row r="67">
          <cell r="A67" t="str">
            <v>Tulare</v>
          </cell>
        </row>
        <row r="68">
          <cell r="A68" t="str">
            <v>Tuolumne</v>
          </cell>
        </row>
        <row r="69">
          <cell r="A69" t="str">
            <v>Ventura</v>
          </cell>
        </row>
        <row r="70">
          <cell r="A70" t="str">
            <v>Yolo</v>
          </cell>
        </row>
        <row r="71">
          <cell r="A71" t="str">
            <v>Yuba</v>
          </cell>
        </row>
      </sheetData>
      <sheetData sheetId="14">
        <row r="30">
          <cell r="B30">
            <v>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-Down List"/>
      <sheetName val="2009 UPDATE"/>
      <sheetName val="Cover Page"/>
      <sheetName val="Worksheets Included"/>
      <sheetName val="2014 UPDATE"/>
      <sheetName val="2013 UPDATE"/>
      <sheetName val="2012 UPDATE"/>
      <sheetName val="2011 UPDATE"/>
      <sheetName val="2010 UPDATE"/>
      <sheetName val="Local Penalties"/>
      <sheetName val="TEST SUMMARY"/>
      <sheetName val="Sheet1"/>
      <sheetName val="Section"/>
      <sheetName val="Acct Mapping"/>
      <sheetName val="Pmt Plan Tmpl"/>
      <sheetName val="1-DUI (ALT)"/>
      <sheetName val="1-DUI (Reduce Base)"/>
      <sheetName val="3-RD (Reduce Base)"/>
      <sheetName val="4-RRBF"/>
      <sheetName val="5-RRTS (BF &amp; No 2%)"/>
      <sheetName val="7-RLTS"/>
      <sheetName val="8-RLBF (No 30%)"/>
      <sheetName val="9-SpBF"/>
      <sheetName val="Speeding BF"/>
      <sheetName val="Reckless Driving "/>
      <sheetName val="DUI"/>
      <sheetName val="POI"/>
      <sheetName val="H&amp;S"/>
      <sheetName val="Juvenile MV"/>
      <sheetName val="Speeding TS"/>
      <sheetName val="Red Light BF"/>
      <sheetName val="Red Light BF (No 30%)"/>
      <sheetName val="Red Light TS"/>
      <sheetName val="RailRoad TS"/>
      <sheetName val="Child Seat TS"/>
      <sheetName val="H&amp;S PC1463.23"/>
      <sheetName val="11-CSBF"/>
      <sheetName val="12-CSTS (BF &amp; 2%)"/>
      <sheetName val="13-UC"/>
      <sheetName val="14-POC"/>
      <sheetName val="15-POI (Base Reduce)"/>
      <sheetName val="16-DV"/>
      <sheetName val="17-HS (Enhance Base)"/>
      <sheetName val="18-HS (Enh-Red Base)"/>
      <sheetName val="19-FG"/>
    </sheetNames>
    <sheetDataSet>
      <sheetData sheetId="0">
        <row r="12">
          <cell r="A12" t="str">
            <v>Yes</v>
          </cell>
        </row>
        <row r="13">
          <cell r="A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13"/>
  <sheetViews>
    <sheetView workbookViewId="0">
      <selection activeCell="A12" sqref="A12:A13"/>
    </sheetView>
  </sheetViews>
  <sheetFormatPr defaultRowHeight="12.5" x14ac:dyDescent="0.25"/>
  <cols>
    <col min="1" max="1" width="18.453125" customWidth="1"/>
  </cols>
  <sheetData>
    <row r="1" spans="1:1" x14ac:dyDescent="0.25">
      <c r="A1" s="191" t="s">
        <v>240</v>
      </c>
    </row>
    <row r="2" spans="1:1" x14ac:dyDescent="0.25">
      <c r="A2" s="191" t="s">
        <v>239</v>
      </c>
    </row>
    <row r="4" spans="1:1" x14ac:dyDescent="0.25">
      <c r="A4" s="36" t="s">
        <v>257</v>
      </c>
    </row>
    <row r="5" spans="1:1" x14ac:dyDescent="0.25">
      <c r="A5" s="36" t="s">
        <v>258</v>
      </c>
    </row>
    <row r="6" spans="1:1" x14ac:dyDescent="0.25">
      <c r="A6" s="36" t="s">
        <v>259</v>
      </c>
    </row>
    <row r="8" spans="1:1" x14ac:dyDescent="0.25">
      <c r="A8" s="36" t="s">
        <v>257</v>
      </c>
    </row>
    <row r="9" spans="1:1" x14ac:dyDescent="0.25">
      <c r="A9" s="36" t="s">
        <v>258</v>
      </c>
    </row>
    <row r="10" spans="1:1" x14ac:dyDescent="0.25">
      <c r="A10" s="36" t="s">
        <v>260</v>
      </c>
    </row>
    <row r="12" spans="1:1" x14ac:dyDescent="0.25">
      <c r="A12" s="36" t="s">
        <v>257</v>
      </c>
    </row>
    <row r="13" spans="1:1" x14ac:dyDescent="0.25">
      <c r="A13" s="36" t="s">
        <v>258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F7058-6D97-4D85-A639-08C4F5D7E3A6}">
  <sheetPr>
    <tabColor theme="6"/>
    <pageSetUpPr fitToPage="1"/>
  </sheetPr>
  <dimension ref="A1:AF39"/>
  <sheetViews>
    <sheetView zoomScale="75" zoomScaleNormal="75" workbookViewId="0">
      <pane ySplit="1" topLeftCell="A2" activePane="bottomLeft" state="frozen"/>
      <selection pane="bottomLeft" activeCell="D9" sqref="D9:E9"/>
    </sheetView>
  </sheetViews>
  <sheetFormatPr defaultColWidth="9.1796875" defaultRowHeight="18.5" x14ac:dyDescent="0.25"/>
  <cols>
    <col min="1" max="1" width="4.26953125" style="87" customWidth="1"/>
    <col min="2" max="2" width="4.7265625" style="87" customWidth="1"/>
    <col min="3" max="3" width="13.54296875" style="87" customWidth="1"/>
    <col min="4" max="4" width="12" style="87" customWidth="1"/>
    <col min="5" max="5" width="11.26953125" style="88" customWidth="1"/>
    <col min="6" max="6" width="17.453125" style="121" customWidth="1"/>
    <col min="7" max="7" width="9.90625" style="46" customWidth="1"/>
    <col min="8" max="8" width="43.90625" style="46" hidden="1" customWidth="1"/>
    <col min="9" max="9" width="10.7265625" style="46" customWidth="1"/>
    <col min="10" max="10" width="8.1796875" style="46" customWidth="1"/>
    <col min="11" max="11" width="11.1796875" style="92" customWidth="1"/>
    <col min="12" max="12" width="0.81640625" style="89" customWidth="1"/>
    <col min="13" max="13" width="15.26953125" style="46" customWidth="1"/>
    <col min="14" max="14" width="1.54296875" style="46" customWidth="1"/>
    <col min="15" max="15" width="11" style="46" customWidth="1"/>
    <col min="16" max="16" width="1.81640625" style="89" customWidth="1"/>
    <col min="17" max="17" width="10.81640625" style="89" customWidth="1"/>
    <col min="18" max="18" width="5.7265625" style="89" customWidth="1"/>
    <col min="19" max="19" width="10.7265625" style="89" customWidth="1"/>
    <col min="20" max="20" width="1.81640625" style="50" customWidth="1"/>
    <col min="21" max="21" width="12.453125" style="90" customWidth="1"/>
    <col min="22" max="22" width="6.26953125" style="90" customWidth="1"/>
    <col min="23" max="23" width="18.7265625" style="91" customWidth="1"/>
    <col min="24" max="24" width="2.1796875" style="50" customWidth="1"/>
    <col min="25" max="25" width="11.26953125" style="50" customWidth="1"/>
    <col min="26" max="26" width="11.1796875" style="50" customWidth="1"/>
    <col min="27" max="27" width="12.36328125" style="50" customWidth="1"/>
    <col min="28" max="28" width="9.1796875" style="50"/>
    <col min="29" max="16384" width="9.1796875" style="46"/>
  </cols>
  <sheetData>
    <row r="1" spans="1:32" ht="20.25" customHeight="1" thickBot="1" x14ac:dyDescent="0.3">
      <c r="A1" s="565" t="s">
        <v>338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622"/>
      <c r="M1" s="622"/>
      <c r="N1" s="622"/>
      <c r="O1" s="622"/>
      <c r="P1" s="622"/>
      <c r="Q1" s="622"/>
      <c r="R1" s="622"/>
      <c r="S1" s="622"/>
      <c r="T1" s="622"/>
      <c r="U1" s="622"/>
      <c r="V1" s="215" t="s">
        <v>264</v>
      </c>
      <c r="W1" s="484">
        <f>'Case Study #1'!W1</f>
        <v>45292</v>
      </c>
    </row>
    <row r="2" spans="1:32" s="50" customFormat="1" ht="6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49"/>
      <c r="V2" s="49"/>
      <c r="W2" s="49"/>
    </row>
    <row r="3" spans="1:32" s="50" customFormat="1" ht="19" thickBot="1" x14ac:dyDescent="0.3">
      <c r="A3" s="216" t="s">
        <v>191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623"/>
      <c r="N3" s="624"/>
      <c r="O3" s="284"/>
      <c r="P3" s="159"/>
      <c r="Q3" s="625" t="s">
        <v>218</v>
      </c>
      <c r="R3" s="626"/>
      <c r="S3" s="626"/>
      <c r="T3" s="626"/>
      <c r="U3" s="626"/>
      <c r="V3" s="626"/>
      <c r="W3" s="627"/>
      <c r="Y3" s="159" t="s">
        <v>207</v>
      </c>
      <c r="Z3" s="120"/>
    </row>
    <row r="4" spans="1:32" s="53" customFormat="1" ht="15.5" x14ac:dyDescent="0.25">
      <c r="A4" s="575" t="s">
        <v>188</v>
      </c>
      <c r="B4" s="554"/>
      <c r="C4" s="554"/>
      <c r="D4" s="576"/>
      <c r="E4" s="577"/>
      <c r="F4" s="628" t="s">
        <v>22</v>
      </c>
      <c r="G4" s="574"/>
      <c r="H4" s="169"/>
      <c r="I4" s="629" t="s">
        <v>297</v>
      </c>
      <c r="J4" s="629"/>
      <c r="K4" s="629"/>
      <c r="L4" s="562"/>
      <c r="M4" s="630" t="s">
        <v>214</v>
      </c>
      <c r="N4" s="630"/>
      <c r="O4" s="181"/>
      <c r="P4" s="95"/>
      <c r="Q4" s="631" t="s">
        <v>193</v>
      </c>
      <c r="R4" s="632"/>
      <c r="S4" s="632"/>
      <c r="T4" s="632"/>
      <c r="U4" s="632"/>
      <c r="V4" s="632"/>
      <c r="W4" s="633"/>
      <c r="Y4" s="192" t="s">
        <v>242</v>
      </c>
      <c r="Z4" s="285" t="s">
        <v>243</v>
      </c>
      <c r="AA4" s="285" t="s">
        <v>300</v>
      </c>
      <c r="AB4" s="285" t="s">
        <v>301</v>
      </c>
    </row>
    <row r="5" spans="1:32" s="53" customFormat="1" ht="15.5" x14ac:dyDescent="0.25">
      <c r="A5" s="547" t="s">
        <v>3</v>
      </c>
      <c r="B5" s="548"/>
      <c r="C5" s="548"/>
      <c r="D5" s="552">
        <v>45307</v>
      </c>
      <c r="E5" s="553"/>
      <c r="F5" s="635" t="s">
        <v>201</v>
      </c>
      <c r="G5" s="549"/>
      <c r="H5" s="167"/>
      <c r="I5" s="636" t="s">
        <v>298</v>
      </c>
      <c r="J5" s="636"/>
      <c r="K5" s="636"/>
      <c r="L5" s="558"/>
      <c r="M5" s="641" t="s">
        <v>17</v>
      </c>
      <c r="N5" s="641"/>
      <c r="O5" s="54"/>
      <c r="P5" s="95"/>
      <c r="Q5" s="642" t="s">
        <v>241</v>
      </c>
      <c r="R5" s="643"/>
      <c r="S5" s="643"/>
      <c r="T5" s="643"/>
      <c r="U5" s="643"/>
      <c r="V5" s="643"/>
      <c r="W5" s="644"/>
      <c r="Y5" s="157" t="s">
        <v>25</v>
      </c>
      <c r="Z5" s="161">
        <f>SUMIF($G$16:$G$36,"STATE",$K$16:$K$36)</f>
        <v>0</v>
      </c>
      <c r="AA5" s="161">
        <f>SUMIF($G$16:$G$36,"STATE",$S$16:$S$36)</f>
        <v>0</v>
      </c>
      <c r="AB5" s="161">
        <f>SUMIF($G$16:$G$36,"STATE",$W$16:$W$36)</f>
        <v>0</v>
      </c>
    </row>
    <row r="6" spans="1:32" s="53" customFormat="1" ht="16" thickBot="1" x14ac:dyDescent="0.3">
      <c r="A6" s="547" t="s">
        <v>10</v>
      </c>
      <c r="B6" s="548"/>
      <c r="C6" s="548"/>
      <c r="D6" s="552">
        <v>45376</v>
      </c>
      <c r="E6" s="634"/>
      <c r="F6" s="635" t="s">
        <v>15</v>
      </c>
      <c r="G6" s="549"/>
      <c r="H6" s="167"/>
      <c r="I6" s="636" t="s">
        <v>244</v>
      </c>
      <c r="J6" s="636"/>
      <c r="K6" s="636"/>
      <c r="L6" s="558"/>
      <c r="M6" s="637" t="s">
        <v>190</v>
      </c>
      <c r="N6" s="637"/>
      <c r="O6" s="184">
        <f>O4+O5*10</f>
        <v>0</v>
      </c>
      <c r="P6" s="95"/>
      <c r="Q6" s="638" t="s">
        <v>295</v>
      </c>
      <c r="R6" s="639"/>
      <c r="S6" s="639"/>
      <c r="T6" s="639"/>
      <c r="U6" s="639"/>
      <c r="V6" s="639"/>
      <c r="W6" s="640"/>
      <c r="Y6" s="157" t="s">
        <v>26</v>
      </c>
      <c r="Z6" s="161">
        <f>SUMIF($G$16:$G$36,"COUNTY",$K$16:$K$36)</f>
        <v>0</v>
      </c>
      <c r="AA6" s="161">
        <f>SUMIF($G$16:$G$36,"COUNTY",$S$16:$S$36)</f>
        <v>0</v>
      </c>
      <c r="AB6" s="161">
        <f>SUMIF($G$16:$G$36,"COUNTY",$W$16:$W$36)</f>
        <v>0</v>
      </c>
    </row>
    <row r="7" spans="1:32" s="53" customFormat="1" ht="16" thickBot="1" x14ac:dyDescent="0.3">
      <c r="A7" s="547" t="s">
        <v>4</v>
      </c>
      <c r="B7" s="548"/>
      <c r="C7" s="548"/>
      <c r="D7" s="557" t="s">
        <v>296</v>
      </c>
      <c r="E7" s="553"/>
      <c r="F7" s="653" t="s">
        <v>16</v>
      </c>
      <c r="G7" s="541"/>
      <c r="H7" s="168"/>
      <c r="I7" s="560" t="s">
        <v>2</v>
      </c>
      <c r="J7" s="560"/>
      <c r="K7" s="560"/>
      <c r="L7" s="654"/>
      <c r="M7" s="188"/>
      <c r="N7" s="190"/>
      <c r="O7" s="189"/>
      <c r="P7" s="95"/>
      <c r="Q7" s="655" t="s">
        <v>192</v>
      </c>
      <c r="R7" s="656"/>
      <c r="S7" s="656"/>
      <c r="T7" s="656"/>
      <c r="U7" s="656"/>
      <c r="V7" s="656"/>
      <c r="W7" s="657"/>
      <c r="Y7" s="157" t="s">
        <v>45</v>
      </c>
      <c r="Z7" s="161">
        <f>SUMIF($G$16:$G$36,"CITY",$K$16:$K$36)</f>
        <v>0</v>
      </c>
      <c r="AA7" s="161">
        <f>SUMIF($G$16:$G$36,"CITY",$S$16:$S$36)</f>
        <v>0</v>
      </c>
      <c r="AB7" s="161">
        <f>SUMIF($G$16:$G$36,"CITY",$W$16:$W$36)</f>
        <v>0</v>
      </c>
    </row>
    <row r="8" spans="1:32" s="53" customFormat="1" ht="15.75" customHeight="1" x14ac:dyDescent="0.25">
      <c r="A8" s="658" t="s">
        <v>47</v>
      </c>
      <c r="B8" s="659"/>
      <c r="C8" s="659"/>
      <c r="D8" s="660">
        <v>0</v>
      </c>
      <c r="E8" s="661"/>
      <c r="F8" s="628" t="s">
        <v>210</v>
      </c>
      <c r="G8" s="574"/>
      <c r="H8" s="169"/>
      <c r="I8" s="662"/>
      <c r="J8" s="662"/>
      <c r="K8" s="662"/>
      <c r="L8" s="663"/>
      <c r="M8" s="664" t="s">
        <v>214</v>
      </c>
      <c r="N8" s="664"/>
      <c r="O8" s="51">
        <v>0</v>
      </c>
      <c r="P8" s="138"/>
      <c r="Q8" s="645" t="s">
        <v>302</v>
      </c>
      <c r="R8" s="524"/>
      <c r="S8" s="524"/>
      <c r="T8" s="524"/>
      <c r="U8" s="524"/>
      <c r="V8" s="524"/>
      <c r="W8" s="646"/>
      <c r="Y8" s="157" t="s">
        <v>187</v>
      </c>
      <c r="Z8" s="161">
        <f>SUMIF($G$16:$G$36,"COURT",$K$16:$K$36)</f>
        <v>0</v>
      </c>
      <c r="AA8" s="161">
        <f>SUMIF($G$16:$G$36,"COURT",$S$16:$S$36)</f>
        <v>0</v>
      </c>
      <c r="AB8" s="161">
        <f>SUMIF($G$16:$G$36,"COURT",$W$16:$W$36)</f>
        <v>0</v>
      </c>
    </row>
    <row r="9" spans="1:32" s="53" customFormat="1" ht="18" customHeight="1" thickBot="1" x14ac:dyDescent="0.3">
      <c r="A9" s="649" t="s">
        <v>46</v>
      </c>
      <c r="B9" s="650"/>
      <c r="C9" s="650"/>
      <c r="D9" s="567">
        <f>100%-D8</f>
        <v>1</v>
      </c>
      <c r="E9" s="568"/>
      <c r="F9" s="635" t="s">
        <v>201</v>
      </c>
      <c r="G9" s="549"/>
      <c r="H9" s="167"/>
      <c r="I9" s="651"/>
      <c r="J9" s="651"/>
      <c r="K9" s="651"/>
      <c r="L9" s="652"/>
      <c r="M9" s="641" t="s">
        <v>17</v>
      </c>
      <c r="N9" s="641"/>
      <c r="O9" s="54"/>
      <c r="P9" s="138"/>
      <c r="Q9" s="647"/>
      <c r="R9" s="527"/>
      <c r="S9" s="527"/>
      <c r="T9" s="527"/>
      <c r="U9" s="527"/>
      <c r="V9" s="527"/>
      <c r="W9" s="648"/>
      <c r="Y9" s="84" t="s">
        <v>261</v>
      </c>
      <c r="Z9" s="161">
        <f>SUMIF($G$16:$G$36,"CNTY or CTY",$K$16:$K$36)</f>
        <v>0</v>
      </c>
      <c r="AA9" s="161">
        <f>SUMIF($G$16:$G$36,"CNTY or CTY",$S$16:$S$36)</f>
        <v>0</v>
      </c>
      <c r="AB9" s="161">
        <f>SUMIF($G$16:$G$36,"CNTY or CTY",$W$16:$W$36)</f>
        <v>0</v>
      </c>
    </row>
    <row r="10" spans="1:32" s="53" customFormat="1" ht="16.5" customHeight="1" thickBot="1" x14ac:dyDescent="0.3">
      <c r="A10" s="599" t="s">
        <v>224</v>
      </c>
      <c r="B10" s="600"/>
      <c r="C10" s="600"/>
      <c r="D10" s="672">
        <f>O6+O10</f>
        <v>0</v>
      </c>
      <c r="E10" s="673"/>
      <c r="F10" s="635" t="s">
        <v>15</v>
      </c>
      <c r="G10" s="549"/>
      <c r="H10" s="167"/>
      <c r="I10" s="651"/>
      <c r="J10" s="651"/>
      <c r="K10" s="651"/>
      <c r="L10" s="652"/>
      <c r="M10" s="637" t="s">
        <v>190</v>
      </c>
      <c r="N10" s="637"/>
      <c r="O10" s="184">
        <f>O8+O9*10</f>
        <v>0</v>
      </c>
      <c r="P10" s="286"/>
      <c r="Q10" s="674" t="s">
        <v>196</v>
      </c>
      <c r="R10" s="675"/>
      <c r="S10" s="675"/>
      <c r="T10" s="675"/>
      <c r="U10" s="675"/>
      <c r="V10" s="675"/>
      <c r="W10" s="676"/>
      <c r="Y10" s="158" t="s">
        <v>203</v>
      </c>
      <c r="Z10" s="134">
        <f>SUM(Z5:Z9)</f>
        <v>0</v>
      </c>
      <c r="AA10" s="134">
        <f>SUM(AA5:AA9)</f>
        <v>0</v>
      </c>
      <c r="AB10" s="134">
        <f>SUM(AB5:AB9)</f>
        <v>0</v>
      </c>
    </row>
    <row r="11" spans="1:32" s="53" customFormat="1" ht="16.5" customHeight="1" thickBot="1" x14ac:dyDescent="0.3">
      <c r="A11" s="597" t="s">
        <v>225</v>
      </c>
      <c r="B11" s="598"/>
      <c r="C11" s="598"/>
      <c r="D11" s="593">
        <f>ROUNDUP(D10/10,0)</f>
        <v>0</v>
      </c>
      <c r="E11" s="594"/>
      <c r="F11" s="653" t="s">
        <v>16</v>
      </c>
      <c r="G11" s="541"/>
      <c r="H11" s="168"/>
      <c r="I11" s="665"/>
      <c r="J11" s="665"/>
      <c r="K11" s="665"/>
      <c r="L11" s="666"/>
      <c r="M11" s="667" t="s">
        <v>287</v>
      </c>
      <c r="N11" s="668"/>
      <c r="O11" s="448">
        <f>'Local Penalties'!B8</f>
        <v>5</v>
      </c>
      <c r="P11" s="286"/>
      <c r="Q11" s="669" t="s">
        <v>256</v>
      </c>
      <c r="R11" s="670"/>
      <c r="S11" s="670"/>
      <c r="T11" s="670"/>
      <c r="U11" s="670"/>
      <c r="V11" s="670"/>
      <c r="W11" s="671"/>
      <c r="Z11" s="287">
        <f>Z10-K38</f>
        <v>0</v>
      </c>
      <c r="AA11" s="287">
        <f>AA10-S38</f>
        <v>0</v>
      </c>
      <c r="AB11" s="287">
        <f>AB10-W38</f>
        <v>0</v>
      </c>
    </row>
    <row r="12" spans="1:32" s="53" customFormat="1" ht="15.7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O12" s="52"/>
      <c r="P12" s="52"/>
      <c r="Q12" s="52"/>
      <c r="R12" s="52"/>
      <c r="S12" s="52"/>
      <c r="T12" s="52"/>
      <c r="U12" s="58"/>
      <c r="V12" s="58"/>
      <c r="W12" s="56"/>
      <c r="AA12" s="59"/>
    </row>
    <row r="13" spans="1:32" s="98" customFormat="1" ht="18.75" customHeight="1" thickBot="1" x14ac:dyDescent="0.3">
      <c r="A13" s="174"/>
      <c r="B13" s="174"/>
      <c r="C13" s="174"/>
      <c r="D13" s="174"/>
      <c r="E13" s="174"/>
      <c r="F13" s="96"/>
      <c r="G13" s="97"/>
      <c r="I13" s="680" t="s">
        <v>236</v>
      </c>
      <c r="J13" s="681"/>
      <c r="K13" s="682"/>
      <c r="L13" s="99"/>
      <c r="M13" s="683" t="s">
        <v>186</v>
      </c>
      <c r="N13" s="684"/>
      <c r="O13" s="685"/>
      <c r="P13" s="100"/>
      <c r="Q13" s="686" t="s">
        <v>303</v>
      </c>
      <c r="R13" s="687"/>
      <c r="S13" s="688"/>
      <c r="T13" s="100"/>
      <c r="U13" s="686" t="s">
        <v>304</v>
      </c>
      <c r="V13" s="687"/>
      <c r="W13" s="688"/>
      <c r="X13" s="288"/>
      <c r="Y13" s="143"/>
      <c r="Z13" s="143"/>
      <c r="AA13" s="144"/>
      <c r="AB13" s="97"/>
      <c r="AC13" s="97"/>
      <c r="AD13" s="97"/>
      <c r="AE13" s="97"/>
      <c r="AF13" s="97"/>
    </row>
    <row r="14" spans="1:32" ht="44.25" customHeight="1" thickBot="1" x14ac:dyDescent="0.3">
      <c r="A14" s="101">
        <v>0.02</v>
      </c>
      <c r="B14" s="101" t="s">
        <v>51</v>
      </c>
      <c r="C14" s="603" t="s">
        <v>183</v>
      </c>
      <c r="D14" s="604"/>
      <c r="E14" s="604"/>
      <c r="F14" s="605"/>
      <c r="G14" s="102" t="s">
        <v>206</v>
      </c>
      <c r="H14" s="103" t="s">
        <v>0</v>
      </c>
      <c r="I14" s="689" t="s">
        <v>237</v>
      </c>
      <c r="J14" s="691" t="s">
        <v>5</v>
      </c>
      <c r="K14" s="289" t="s">
        <v>238</v>
      </c>
      <c r="L14" s="61"/>
      <c r="M14" s="514" t="s">
        <v>217</v>
      </c>
      <c r="N14" s="515"/>
      <c r="O14" s="109" t="s">
        <v>205</v>
      </c>
      <c r="P14" s="110"/>
      <c r="Q14" s="290" t="s">
        <v>255</v>
      </c>
      <c r="R14" s="691" t="s">
        <v>5</v>
      </c>
      <c r="S14" s="289" t="s">
        <v>238</v>
      </c>
      <c r="T14" s="110"/>
      <c r="U14" s="290" t="s">
        <v>305</v>
      </c>
      <c r="V14" s="691" t="s">
        <v>5</v>
      </c>
      <c r="W14" s="289" t="s">
        <v>238</v>
      </c>
      <c r="X14" s="291"/>
      <c r="Y14" s="292" t="s">
        <v>213</v>
      </c>
      <c r="Z14" s="693" t="s">
        <v>54</v>
      </c>
      <c r="AA14" s="695" t="s">
        <v>249</v>
      </c>
      <c r="AC14" s="50"/>
      <c r="AD14" s="50"/>
      <c r="AE14" s="50"/>
      <c r="AF14" s="50"/>
    </row>
    <row r="15" spans="1:32" ht="30.75" customHeight="1" thickBot="1" x14ac:dyDescent="0.3">
      <c r="A15" s="104"/>
      <c r="B15" s="104"/>
      <c r="C15" s="606"/>
      <c r="D15" s="607"/>
      <c r="E15" s="607"/>
      <c r="F15" s="608"/>
      <c r="G15" s="105"/>
      <c r="H15" s="105"/>
      <c r="I15" s="690"/>
      <c r="J15" s="692"/>
      <c r="K15" s="293" t="s">
        <v>35</v>
      </c>
      <c r="L15" s="62"/>
      <c r="M15" s="512"/>
      <c r="N15" s="513"/>
      <c r="O15" s="294" t="s">
        <v>36</v>
      </c>
      <c r="P15" s="110"/>
      <c r="Q15" s="200">
        <f>IFERROR(Q31/I31,0)</f>
        <v>0</v>
      </c>
      <c r="R15" s="692"/>
      <c r="S15" s="293" t="s">
        <v>37</v>
      </c>
      <c r="T15" s="110"/>
      <c r="U15" s="200" t="e">
        <f>(U38)/(I38)</f>
        <v>#DIV/0!</v>
      </c>
      <c r="V15" s="692"/>
      <c r="W15" s="293" t="s">
        <v>37</v>
      </c>
      <c r="X15" s="291"/>
      <c r="Y15" s="193" t="s">
        <v>240</v>
      </c>
      <c r="Z15" s="694"/>
      <c r="AA15" s="696"/>
      <c r="AC15" s="50"/>
      <c r="AD15" s="50"/>
      <c r="AE15" s="50"/>
      <c r="AF15" s="50"/>
    </row>
    <row r="16" spans="1:32" s="68" customFormat="1" ht="15.75" customHeight="1" x14ac:dyDescent="0.25">
      <c r="A16" s="63" t="s">
        <v>7</v>
      </c>
      <c r="B16" s="677" t="s">
        <v>198</v>
      </c>
      <c r="C16" s="679" t="s">
        <v>169</v>
      </c>
      <c r="D16" s="679"/>
      <c r="E16" s="679"/>
      <c r="F16" s="679"/>
      <c r="G16" s="467" t="s">
        <v>26</v>
      </c>
      <c r="H16" s="468" t="s">
        <v>21</v>
      </c>
      <c r="I16" s="469">
        <f>D10*D8</f>
        <v>0</v>
      </c>
      <c r="J16" s="470">
        <f>IF(A16="Y",I16* 2%,0)</f>
        <v>0</v>
      </c>
      <c r="K16" s="471">
        <f>I16-J16</f>
        <v>0</v>
      </c>
      <c r="L16" s="149"/>
      <c r="M16" s="510"/>
      <c r="N16" s="511"/>
      <c r="O16" s="72"/>
      <c r="P16" s="66"/>
      <c r="Q16" s="145">
        <f t="shared" ref="Q16:Q30" si="0">IF($Q$38=0,,I16*$Q$15)</f>
        <v>0</v>
      </c>
      <c r="R16" s="147">
        <f t="shared" ref="R16:R30" si="1">IF(A16="Y", Q16*2%,)</f>
        <v>0</v>
      </c>
      <c r="S16" s="152">
        <f t="shared" ref="S16:S35" si="2">Q16-R16</f>
        <v>0</v>
      </c>
      <c r="T16" s="66"/>
      <c r="U16" s="145">
        <f t="shared" ref="U16:U30" si="3">IF($U$38=0,,I16*$U$15)</f>
        <v>0</v>
      </c>
      <c r="V16" s="147">
        <f t="shared" ref="V16:V30" si="4">IF(A16="Y", U16*2%,)</f>
        <v>0</v>
      </c>
      <c r="W16" s="152">
        <f t="shared" ref="W16:W25" si="5">U16-V16</f>
        <v>0</v>
      </c>
      <c r="X16" s="295"/>
      <c r="Y16" s="145">
        <f>IF($Y$15="BASE-UP (B-A)", O16-K16,
(IF($Y$15="TOP-DOWN 1 (B-C)",O16-S16,O16-W16)))</f>
        <v>0</v>
      </c>
      <c r="Z16" s="296"/>
      <c r="AA16" s="67"/>
      <c r="AB16" s="114"/>
      <c r="AC16" s="114"/>
      <c r="AD16" s="114"/>
      <c r="AE16" s="114"/>
      <c r="AF16" s="114"/>
    </row>
    <row r="17" spans="1:32" s="68" customFormat="1" ht="15.75" customHeight="1" x14ac:dyDescent="0.25">
      <c r="A17" s="63" t="s">
        <v>7</v>
      </c>
      <c r="B17" s="678"/>
      <c r="C17" s="679" t="s">
        <v>170</v>
      </c>
      <c r="D17" s="679"/>
      <c r="E17" s="679"/>
      <c r="F17" s="679"/>
      <c r="G17" s="467" t="s">
        <v>45</v>
      </c>
      <c r="H17" s="468" t="s">
        <v>19</v>
      </c>
      <c r="I17" s="469">
        <f>D10*D9</f>
        <v>0</v>
      </c>
      <c r="J17" s="470">
        <f t="shared" ref="J17:J30" si="6">IF(A17="Y",I17* 2%,0)</f>
        <v>0</v>
      </c>
      <c r="K17" s="471">
        <f t="shared" ref="K17:K29" si="7">I17-J17</f>
        <v>0</v>
      </c>
      <c r="L17" s="149"/>
      <c r="M17" s="510"/>
      <c r="N17" s="511"/>
      <c r="O17" s="72"/>
      <c r="P17" s="66"/>
      <c r="Q17" s="145">
        <f t="shared" si="0"/>
        <v>0</v>
      </c>
      <c r="R17" s="147">
        <f t="shared" si="1"/>
        <v>0</v>
      </c>
      <c r="S17" s="152">
        <f t="shared" si="2"/>
        <v>0</v>
      </c>
      <c r="T17" s="66"/>
      <c r="U17" s="145">
        <f t="shared" si="3"/>
        <v>0</v>
      </c>
      <c r="V17" s="147">
        <f t="shared" si="4"/>
        <v>0</v>
      </c>
      <c r="W17" s="152">
        <f t="shared" si="5"/>
        <v>0</v>
      </c>
      <c r="X17" s="295"/>
      <c r="Y17" s="145">
        <f t="shared" ref="Y17:Y36" si="8">IF($Y$15="BASE-UP (B-A)", O17-K17,
(IF($Y$15="TOP-DOWN 1 (B-C)",O17-S17,O17-W17)))</f>
        <v>0</v>
      </c>
      <c r="Z17" s="296"/>
      <c r="AA17" s="67"/>
      <c r="AB17" s="114"/>
      <c r="AC17" s="114"/>
      <c r="AD17" s="114"/>
      <c r="AE17" s="114"/>
      <c r="AF17" s="114"/>
    </row>
    <row r="18" spans="1:32" s="68" customFormat="1" ht="15.75" customHeight="1" x14ac:dyDescent="0.25">
      <c r="A18" s="63" t="s">
        <v>7</v>
      </c>
      <c r="B18" s="69">
        <v>7</v>
      </c>
      <c r="C18" s="533" t="s">
        <v>281</v>
      </c>
      <c r="D18" s="533"/>
      <c r="E18" s="533"/>
      <c r="F18" s="533"/>
      <c r="G18" s="278" t="s">
        <v>25</v>
      </c>
      <c r="H18" s="71" t="s">
        <v>20</v>
      </c>
      <c r="I18" s="140">
        <f>$D$11*B18</f>
        <v>0</v>
      </c>
      <c r="J18" s="147">
        <f t="shared" si="6"/>
        <v>0</v>
      </c>
      <c r="K18" s="152">
        <f t="shared" si="7"/>
        <v>0</v>
      </c>
      <c r="L18" s="149"/>
      <c r="M18" s="510"/>
      <c r="N18" s="511"/>
      <c r="O18" s="74"/>
      <c r="P18" s="75"/>
      <c r="Q18" s="145">
        <f t="shared" si="0"/>
        <v>0</v>
      </c>
      <c r="R18" s="147">
        <f t="shared" si="1"/>
        <v>0</v>
      </c>
      <c r="S18" s="152">
        <f t="shared" si="2"/>
        <v>0</v>
      </c>
      <c r="T18" s="75"/>
      <c r="U18" s="145">
        <f t="shared" si="3"/>
        <v>0</v>
      </c>
      <c r="V18" s="147">
        <f t="shared" si="4"/>
        <v>0</v>
      </c>
      <c r="W18" s="152">
        <f t="shared" si="5"/>
        <v>0</v>
      </c>
      <c r="X18" s="295"/>
      <c r="Y18" s="145">
        <f t="shared" si="8"/>
        <v>0</v>
      </c>
      <c r="Z18" s="296"/>
      <c r="AA18" s="67"/>
      <c r="AB18" s="114"/>
      <c r="AC18" s="114"/>
      <c r="AD18" s="114"/>
      <c r="AE18" s="114"/>
      <c r="AF18" s="114"/>
    </row>
    <row r="19" spans="1:32" s="68" customFormat="1" ht="15.75" customHeight="1" x14ac:dyDescent="0.25">
      <c r="A19" s="63" t="s">
        <v>7</v>
      </c>
      <c r="B19" s="69">
        <v>3</v>
      </c>
      <c r="C19" s="533" t="s">
        <v>282</v>
      </c>
      <c r="D19" s="533"/>
      <c r="E19" s="533"/>
      <c r="F19" s="533"/>
      <c r="G19" s="278" t="s">
        <v>26</v>
      </c>
      <c r="H19" s="71" t="s">
        <v>21</v>
      </c>
      <c r="I19" s="140">
        <f t="shared" ref="I19:I29" si="9">$D$11*B19</f>
        <v>0</v>
      </c>
      <c r="J19" s="147">
        <f t="shared" si="6"/>
        <v>0</v>
      </c>
      <c r="K19" s="152">
        <f t="shared" si="7"/>
        <v>0</v>
      </c>
      <c r="L19" s="149"/>
      <c r="M19" s="510"/>
      <c r="N19" s="511"/>
      <c r="O19" s="72"/>
      <c r="P19" s="66"/>
      <c r="Q19" s="145">
        <f t="shared" si="0"/>
        <v>0</v>
      </c>
      <c r="R19" s="147">
        <f t="shared" si="1"/>
        <v>0</v>
      </c>
      <c r="S19" s="152">
        <f t="shared" si="2"/>
        <v>0</v>
      </c>
      <c r="T19" s="66"/>
      <c r="U19" s="145">
        <f t="shared" si="3"/>
        <v>0</v>
      </c>
      <c r="V19" s="147">
        <f t="shared" si="4"/>
        <v>0</v>
      </c>
      <c r="W19" s="152">
        <f t="shared" si="5"/>
        <v>0</v>
      </c>
      <c r="X19" s="295"/>
      <c r="Y19" s="145">
        <f t="shared" si="8"/>
        <v>0</v>
      </c>
      <c r="Z19" s="296"/>
      <c r="AA19" s="67"/>
      <c r="AB19" s="114"/>
      <c r="AC19" s="114"/>
      <c r="AD19" s="114"/>
      <c r="AE19" s="114"/>
      <c r="AF19" s="114"/>
    </row>
    <row r="20" spans="1:32" s="68" customFormat="1" ht="15.75" customHeight="1" x14ac:dyDescent="0.25">
      <c r="A20" s="63" t="s">
        <v>7</v>
      </c>
      <c r="B20" s="297">
        <v>0.75</v>
      </c>
      <c r="C20" s="510" t="s">
        <v>293</v>
      </c>
      <c r="D20" s="531"/>
      <c r="E20" s="531"/>
      <c r="F20" s="532"/>
      <c r="G20" s="278" t="s">
        <v>26</v>
      </c>
      <c r="H20" s="71" t="s">
        <v>48</v>
      </c>
      <c r="I20" s="140">
        <f t="shared" si="9"/>
        <v>0</v>
      </c>
      <c r="J20" s="147">
        <f t="shared" si="6"/>
        <v>0</v>
      </c>
      <c r="K20" s="152">
        <f t="shared" si="7"/>
        <v>0</v>
      </c>
      <c r="L20" s="149"/>
      <c r="M20" s="510"/>
      <c r="N20" s="511"/>
      <c r="O20" s="72"/>
      <c r="P20" s="66"/>
      <c r="Q20" s="145">
        <f t="shared" si="0"/>
        <v>0</v>
      </c>
      <c r="R20" s="147">
        <f t="shared" si="1"/>
        <v>0</v>
      </c>
      <c r="S20" s="152">
        <f t="shared" si="2"/>
        <v>0</v>
      </c>
      <c r="T20" s="66"/>
      <c r="U20" s="145">
        <f t="shared" si="3"/>
        <v>0</v>
      </c>
      <c r="V20" s="147">
        <f t="shared" si="4"/>
        <v>0</v>
      </c>
      <c r="W20" s="152">
        <f t="shared" si="5"/>
        <v>0</v>
      </c>
      <c r="X20" s="295"/>
      <c r="Y20" s="145">
        <f t="shared" si="8"/>
        <v>0</v>
      </c>
      <c r="Z20" s="296"/>
      <c r="AA20" s="67"/>
      <c r="AB20" s="114"/>
      <c r="AC20" s="114"/>
      <c r="AD20" s="114"/>
      <c r="AE20" s="114"/>
      <c r="AF20" s="114"/>
    </row>
    <row r="21" spans="1:32" s="68" customFormat="1" ht="15.75" customHeight="1" x14ac:dyDescent="0.25">
      <c r="A21" s="63" t="s">
        <v>7</v>
      </c>
      <c r="B21" s="297">
        <v>0.25</v>
      </c>
      <c r="C21" s="510" t="s">
        <v>292</v>
      </c>
      <c r="D21" s="531"/>
      <c r="E21" s="531"/>
      <c r="F21" s="532"/>
      <c r="G21" s="278" t="s">
        <v>25</v>
      </c>
      <c r="H21" s="71" t="s">
        <v>48</v>
      </c>
      <c r="I21" s="140">
        <f t="shared" si="9"/>
        <v>0</v>
      </c>
      <c r="J21" s="147">
        <f t="shared" si="6"/>
        <v>0</v>
      </c>
      <c r="K21" s="152">
        <f t="shared" si="7"/>
        <v>0</v>
      </c>
      <c r="L21" s="149"/>
      <c r="M21" s="510"/>
      <c r="N21" s="511"/>
      <c r="O21" s="72"/>
      <c r="P21" s="66"/>
      <c r="Q21" s="145">
        <f t="shared" si="0"/>
        <v>0</v>
      </c>
      <c r="R21" s="147">
        <f t="shared" si="1"/>
        <v>0</v>
      </c>
      <c r="S21" s="152">
        <f t="shared" si="2"/>
        <v>0</v>
      </c>
      <c r="T21" s="66"/>
      <c r="U21" s="145">
        <f t="shared" si="3"/>
        <v>0</v>
      </c>
      <c r="V21" s="147">
        <f t="shared" si="4"/>
        <v>0</v>
      </c>
      <c r="W21" s="152">
        <f t="shared" si="5"/>
        <v>0</v>
      </c>
      <c r="X21" s="295"/>
      <c r="Y21" s="145">
        <f t="shared" si="8"/>
        <v>0</v>
      </c>
      <c r="Z21" s="296"/>
      <c r="AA21" s="67"/>
      <c r="AB21" s="114"/>
      <c r="AC21" s="114"/>
      <c r="AD21" s="114"/>
      <c r="AE21" s="114"/>
      <c r="AF21" s="114"/>
    </row>
    <row r="22" spans="1:32" s="68" customFormat="1" ht="14.5" x14ac:dyDescent="0.25">
      <c r="A22" s="63" t="s">
        <v>7</v>
      </c>
      <c r="B22" s="69">
        <v>4</v>
      </c>
      <c r="C22" s="510" t="s">
        <v>263</v>
      </c>
      <c r="D22" s="531"/>
      <c r="E22" s="531"/>
      <c r="F22" s="532"/>
      <c r="G22" s="278" t="s">
        <v>25</v>
      </c>
      <c r="H22" s="71" t="s">
        <v>60</v>
      </c>
      <c r="I22" s="140">
        <f t="shared" si="9"/>
        <v>0</v>
      </c>
      <c r="J22" s="147">
        <f t="shared" si="6"/>
        <v>0</v>
      </c>
      <c r="K22" s="152">
        <f t="shared" si="7"/>
        <v>0</v>
      </c>
      <c r="L22" s="149"/>
      <c r="M22" s="510"/>
      <c r="N22" s="511"/>
      <c r="O22" s="72"/>
      <c r="P22" s="66"/>
      <c r="Q22" s="145">
        <f t="shared" si="0"/>
        <v>0</v>
      </c>
      <c r="R22" s="147">
        <f t="shared" si="1"/>
        <v>0</v>
      </c>
      <c r="S22" s="152">
        <f t="shared" si="2"/>
        <v>0</v>
      </c>
      <c r="T22" s="66"/>
      <c r="U22" s="145">
        <f t="shared" si="3"/>
        <v>0</v>
      </c>
      <c r="V22" s="147">
        <f t="shared" si="4"/>
        <v>0</v>
      </c>
      <c r="W22" s="152">
        <f t="shared" si="5"/>
        <v>0</v>
      </c>
      <c r="X22" s="295"/>
      <c r="Y22" s="145">
        <f t="shared" si="8"/>
        <v>0</v>
      </c>
      <c r="Z22" s="298"/>
      <c r="AA22" s="212"/>
      <c r="AB22" s="114"/>
      <c r="AC22" s="114"/>
      <c r="AD22" s="114"/>
      <c r="AE22" s="114"/>
      <c r="AF22" s="114"/>
    </row>
    <row r="23" spans="1:32" s="68" customFormat="1" ht="15.75" customHeight="1" x14ac:dyDescent="0.25">
      <c r="A23" s="63" t="s">
        <v>7</v>
      </c>
      <c r="B23" s="299"/>
      <c r="C23" s="533" t="s">
        <v>174</v>
      </c>
      <c r="D23" s="533"/>
      <c r="E23" s="697" t="str">
        <f>IF(SUM(B23:B27)=O11,"GC 76000 PA ($" &amp;O11 &amp; " for every 10) breakdown per local board of supervisor resolution (BOS).","ERROR! GC 76000 PA total is not $" &amp;O11&amp; ". Check Court's board resolution.")</f>
        <v>ERROR! GC 76000 PA total is not $5. Check Court's board resolution.</v>
      </c>
      <c r="F23" s="698"/>
      <c r="G23" s="278" t="s">
        <v>26</v>
      </c>
      <c r="H23" s="71" t="s">
        <v>56</v>
      </c>
      <c r="I23" s="140">
        <f t="shared" si="9"/>
        <v>0</v>
      </c>
      <c r="J23" s="147">
        <f t="shared" si="6"/>
        <v>0</v>
      </c>
      <c r="K23" s="152">
        <f t="shared" si="7"/>
        <v>0</v>
      </c>
      <c r="L23" s="149"/>
      <c r="M23" s="510"/>
      <c r="N23" s="511"/>
      <c r="O23" s="72"/>
      <c r="P23" s="66"/>
      <c r="Q23" s="145">
        <f t="shared" si="0"/>
        <v>0</v>
      </c>
      <c r="R23" s="147">
        <f t="shared" si="1"/>
        <v>0</v>
      </c>
      <c r="S23" s="152">
        <f t="shared" si="2"/>
        <v>0</v>
      </c>
      <c r="T23" s="66"/>
      <c r="U23" s="145">
        <f t="shared" si="3"/>
        <v>0</v>
      </c>
      <c r="V23" s="147">
        <f t="shared" si="4"/>
        <v>0</v>
      </c>
      <c r="W23" s="152">
        <f t="shared" si="5"/>
        <v>0</v>
      </c>
      <c r="X23" s="295"/>
      <c r="Y23" s="145">
        <f t="shared" si="8"/>
        <v>0</v>
      </c>
      <c r="Z23" s="300"/>
      <c r="AA23" s="67"/>
      <c r="AB23" s="114"/>
      <c r="AC23" s="114"/>
      <c r="AD23" s="114"/>
      <c r="AE23" s="114"/>
      <c r="AF23" s="114"/>
    </row>
    <row r="24" spans="1:32" s="68" customFormat="1" ht="15.75" customHeight="1" x14ac:dyDescent="0.25">
      <c r="A24" s="63" t="s">
        <v>7</v>
      </c>
      <c r="B24" s="299"/>
      <c r="C24" s="533" t="s">
        <v>175</v>
      </c>
      <c r="D24" s="533"/>
      <c r="E24" s="699"/>
      <c r="F24" s="700"/>
      <c r="G24" s="278" t="s">
        <v>26</v>
      </c>
      <c r="H24" s="71" t="s">
        <v>28</v>
      </c>
      <c r="I24" s="140">
        <f t="shared" si="9"/>
        <v>0</v>
      </c>
      <c r="J24" s="147">
        <f t="shared" si="6"/>
        <v>0</v>
      </c>
      <c r="K24" s="152">
        <f t="shared" si="7"/>
        <v>0</v>
      </c>
      <c r="L24" s="149"/>
      <c r="M24" s="510"/>
      <c r="N24" s="511"/>
      <c r="O24" s="72"/>
      <c r="P24" s="66"/>
      <c r="Q24" s="145">
        <f t="shared" si="0"/>
        <v>0</v>
      </c>
      <c r="R24" s="147">
        <f t="shared" si="1"/>
        <v>0</v>
      </c>
      <c r="S24" s="152">
        <f t="shared" si="2"/>
        <v>0</v>
      </c>
      <c r="T24" s="66"/>
      <c r="U24" s="145">
        <f t="shared" si="3"/>
        <v>0</v>
      </c>
      <c r="V24" s="147">
        <f t="shared" si="4"/>
        <v>0</v>
      </c>
      <c r="W24" s="152">
        <f t="shared" si="5"/>
        <v>0</v>
      </c>
      <c r="X24" s="295"/>
      <c r="Y24" s="145">
        <f t="shared" si="8"/>
        <v>0</v>
      </c>
      <c r="Z24" s="296"/>
      <c r="AA24" s="67"/>
      <c r="AB24" s="114"/>
      <c r="AC24" s="114"/>
      <c r="AD24" s="114"/>
      <c r="AE24" s="114"/>
      <c r="AF24" s="114"/>
    </row>
    <row r="25" spans="1:32" s="68" customFormat="1" ht="15.75" customHeight="1" x14ac:dyDescent="0.25">
      <c r="A25" s="63" t="s">
        <v>7</v>
      </c>
      <c r="B25" s="299"/>
      <c r="C25" s="533" t="s">
        <v>176</v>
      </c>
      <c r="D25" s="533"/>
      <c r="E25" s="699"/>
      <c r="F25" s="700"/>
      <c r="G25" s="278" t="s">
        <v>26</v>
      </c>
      <c r="H25" s="71" t="s">
        <v>57</v>
      </c>
      <c r="I25" s="140">
        <f t="shared" si="9"/>
        <v>0</v>
      </c>
      <c r="J25" s="147">
        <f t="shared" si="6"/>
        <v>0</v>
      </c>
      <c r="K25" s="152">
        <f t="shared" si="7"/>
        <v>0</v>
      </c>
      <c r="L25" s="149"/>
      <c r="M25" s="510"/>
      <c r="N25" s="511"/>
      <c r="O25" s="72"/>
      <c r="P25" s="66"/>
      <c r="Q25" s="145">
        <f t="shared" si="0"/>
        <v>0</v>
      </c>
      <c r="R25" s="147">
        <f t="shared" si="1"/>
        <v>0</v>
      </c>
      <c r="S25" s="152">
        <f t="shared" si="2"/>
        <v>0</v>
      </c>
      <c r="T25" s="66"/>
      <c r="U25" s="145">
        <f t="shared" si="3"/>
        <v>0</v>
      </c>
      <c r="V25" s="147">
        <f t="shared" si="4"/>
        <v>0</v>
      </c>
      <c r="W25" s="152">
        <f t="shared" si="5"/>
        <v>0</v>
      </c>
      <c r="X25" s="295"/>
      <c r="Y25" s="145">
        <f t="shared" si="8"/>
        <v>0</v>
      </c>
      <c r="Z25" s="296"/>
      <c r="AA25" s="67"/>
      <c r="AB25" s="114"/>
      <c r="AC25" s="114"/>
      <c r="AD25" s="114"/>
      <c r="AE25" s="114"/>
      <c r="AF25" s="114"/>
    </row>
    <row r="26" spans="1:32" s="68" customFormat="1" ht="15.75" customHeight="1" x14ac:dyDescent="0.25">
      <c r="A26" s="63" t="s">
        <v>7</v>
      </c>
      <c r="B26" s="299"/>
      <c r="C26" s="533" t="s">
        <v>252</v>
      </c>
      <c r="D26" s="533"/>
      <c r="E26" s="699"/>
      <c r="F26" s="700"/>
      <c r="G26" s="278" t="s">
        <v>26</v>
      </c>
      <c r="H26" s="71" t="s">
        <v>57</v>
      </c>
      <c r="I26" s="140">
        <f>$D$11*B26</f>
        <v>0</v>
      </c>
      <c r="J26" s="147">
        <f>IF(A26="Y",I26* 2%,0)</f>
        <v>0</v>
      </c>
      <c r="K26" s="152">
        <f>I26-J26</f>
        <v>0</v>
      </c>
      <c r="L26" s="149"/>
      <c r="M26" s="510"/>
      <c r="N26" s="511"/>
      <c r="O26" s="72"/>
      <c r="P26" s="66"/>
      <c r="Q26" s="145">
        <f t="shared" si="0"/>
        <v>0</v>
      </c>
      <c r="R26" s="147">
        <f>IF(A26="Y", Q26*2%,)</f>
        <v>0</v>
      </c>
      <c r="S26" s="152">
        <f>Q26-R26</f>
        <v>0</v>
      </c>
      <c r="T26" s="66"/>
      <c r="U26" s="145">
        <f t="shared" si="3"/>
        <v>0</v>
      </c>
      <c r="V26" s="147">
        <f t="shared" si="4"/>
        <v>0</v>
      </c>
      <c r="W26" s="152">
        <f>U26-V26</f>
        <v>0</v>
      </c>
      <c r="X26" s="295"/>
      <c r="Y26" s="145">
        <f t="shared" si="8"/>
        <v>0</v>
      </c>
      <c r="Z26" s="296"/>
      <c r="AA26" s="67"/>
      <c r="AB26" s="114"/>
      <c r="AC26" s="114"/>
      <c r="AD26" s="114"/>
      <c r="AE26" s="114"/>
      <c r="AF26" s="114"/>
    </row>
    <row r="27" spans="1:32" s="68" customFormat="1" ht="15.75" customHeight="1" x14ac:dyDescent="0.25">
      <c r="A27" s="63" t="s">
        <v>7</v>
      </c>
      <c r="B27" s="299"/>
      <c r="C27" s="533" t="s">
        <v>211</v>
      </c>
      <c r="D27" s="533"/>
      <c r="E27" s="701"/>
      <c r="F27" s="702"/>
      <c r="G27" s="278" t="s">
        <v>26</v>
      </c>
      <c r="H27" s="71"/>
      <c r="I27" s="140">
        <f t="shared" si="9"/>
        <v>0</v>
      </c>
      <c r="J27" s="147">
        <f t="shared" si="6"/>
        <v>0</v>
      </c>
      <c r="K27" s="152">
        <f t="shared" si="7"/>
        <v>0</v>
      </c>
      <c r="L27" s="149"/>
      <c r="M27" s="510"/>
      <c r="N27" s="511"/>
      <c r="O27" s="72"/>
      <c r="P27" s="66"/>
      <c r="Q27" s="145">
        <f t="shared" si="0"/>
        <v>0</v>
      </c>
      <c r="R27" s="147">
        <f t="shared" si="1"/>
        <v>0</v>
      </c>
      <c r="S27" s="152">
        <f t="shared" si="2"/>
        <v>0</v>
      </c>
      <c r="T27" s="66"/>
      <c r="U27" s="145">
        <f t="shared" si="3"/>
        <v>0</v>
      </c>
      <c r="V27" s="147">
        <f t="shared" si="4"/>
        <v>0</v>
      </c>
      <c r="W27" s="152">
        <f t="shared" ref="W27:W28" si="10">U27-V27</f>
        <v>0</v>
      </c>
      <c r="X27" s="295"/>
      <c r="Y27" s="145">
        <f t="shared" si="8"/>
        <v>0</v>
      </c>
      <c r="Z27" s="296"/>
      <c r="AA27" s="67"/>
      <c r="AB27" s="114"/>
      <c r="AC27" s="114"/>
      <c r="AD27" s="114"/>
      <c r="AE27" s="114"/>
      <c r="AF27" s="114"/>
    </row>
    <row r="28" spans="1:32" s="68" customFormat="1" ht="15.75" customHeight="1" x14ac:dyDescent="0.25">
      <c r="A28" s="63" t="s">
        <v>7</v>
      </c>
      <c r="B28" s="299"/>
      <c r="C28" s="510" t="s">
        <v>234</v>
      </c>
      <c r="D28" s="531"/>
      <c r="E28" s="531"/>
      <c r="F28" s="532"/>
      <c r="G28" s="278" t="s">
        <v>26</v>
      </c>
      <c r="H28" s="71" t="s">
        <v>29</v>
      </c>
      <c r="I28" s="140">
        <f t="shared" si="9"/>
        <v>0</v>
      </c>
      <c r="J28" s="147">
        <f t="shared" si="6"/>
        <v>0</v>
      </c>
      <c r="K28" s="152">
        <f t="shared" si="7"/>
        <v>0</v>
      </c>
      <c r="L28" s="149"/>
      <c r="M28" s="510"/>
      <c r="N28" s="511"/>
      <c r="O28" s="72"/>
      <c r="P28" s="66"/>
      <c r="Q28" s="145">
        <f t="shared" si="0"/>
        <v>0</v>
      </c>
      <c r="R28" s="147">
        <f t="shared" si="1"/>
        <v>0</v>
      </c>
      <c r="S28" s="152">
        <f t="shared" si="2"/>
        <v>0</v>
      </c>
      <c r="T28" s="66"/>
      <c r="U28" s="145">
        <f t="shared" si="3"/>
        <v>0</v>
      </c>
      <c r="V28" s="147">
        <f t="shared" si="4"/>
        <v>0</v>
      </c>
      <c r="W28" s="152">
        <f t="shared" si="10"/>
        <v>0</v>
      </c>
      <c r="X28" s="295"/>
      <c r="Y28" s="145">
        <f t="shared" si="8"/>
        <v>0</v>
      </c>
      <c r="Z28" s="296"/>
      <c r="AA28" s="67"/>
      <c r="AB28" s="114"/>
      <c r="AC28" s="114"/>
      <c r="AD28" s="114"/>
      <c r="AE28" s="114"/>
      <c r="AF28" s="114"/>
    </row>
    <row r="29" spans="1:32" s="68" customFormat="1" ht="15.75" customHeight="1" x14ac:dyDescent="0.25">
      <c r="A29" s="63" t="s">
        <v>7</v>
      </c>
      <c r="B29" s="164">
        <v>5</v>
      </c>
      <c r="C29" s="703" t="s">
        <v>294</v>
      </c>
      <c r="D29" s="704"/>
      <c r="E29" s="704"/>
      <c r="F29" s="705"/>
      <c r="G29" s="278" t="s">
        <v>25</v>
      </c>
      <c r="H29" s="71" t="s">
        <v>30</v>
      </c>
      <c r="I29" s="140">
        <f t="shared" si="9"/>
        <v>0</v>
      </c>
      <c r="J29" s="147">
        <f t="shared" si="6"/>
        <v>0</v>
      </c>
      <c r="K29" s="152">
        <f t="shared" si="7"/>
        <v>0</v>
      </c>
      <c r="L29" s="149"/>
      <c r="M29" s="510"/>
      <c r="N29" s="511"/>
      <c r="O29" s="72"/>
      <c r="P29" s="66"/>
      <c r="Q29" s="145">
        <f t="shared" si="0"/>
        <v>0</v>
      </c>
      <c r="R29" s="147">
        <f t="shared" si="1"/>
        <v>0</v>
      </c>
      <c r="S29" s="152">
        <f t="shared" si="2"/>
        <v>0</v>
      </c>
      <c r="T29" s="66"/>
      <c r="U29" s="145">
        <f t="shared" si="3"/>
        <v>0</v>
      </c>
      <c r="V29" s="147">
        <f t="shared" si="4"/>
        <v>0</v>
      </c>
      <c r="W29" s="152">
        <f t="shared" ref="W29:W30" si="11">U29-V29</f>
        <v>0</v>
      </c>
      <c r="X29" s="295"/>
      <c r="Y29" s="145">
        <f t="shared" si="8"/>
        <v>0</v>
      </c>
      <c r="Z29" s="300"/>
      <c r="AA29" s="67"/>
      <c r="AB29" s="114"/>
      <c r="AC29" s="114"/>
      <c r="AD29" s="114"/>
      <c r="AE29" s="114"/>
      <c r="AF29" s="114"/>
    </row>
    <row r="30" spans="1:32" s="68" customFormat="1" ht="15.75" customHeight="1" x14ac:dyDescent="0.25">
      <c r="A30" s="63" t="s">
        <v>6</v>
      </c>
      <c r="B30" s="69"/>
      <c r="C30" s="510" t="s">
        <v>177</v>
      </c>
      <c r="D30" s="531"/>
      <c r="E30" s="531"/>
      <c r="F30" s="532"/>
      <c r="G30" s="278" t="s">
        <v>25</v>
      </c>
      <c r="H30" s="71" t="s">
        <v>9</v>
      </c>
      <c r="I30" s="140">
        <f>$D$10*20%</f>
        <v>0</v>
      </c>
      <c r="J30" s="147">
        <f t="shared" si="6"/>
        <v>0</v>
      </c>
      <c r="K30" s="152">
        <f>I30-J30</f>
        <v>0</v>
      </c>
      <c r="L30" s="149"/>
      <c r="M30" s="510"/>
      <c r="N30" s="511"/>
      <c r="O30" s="72"/>
      <c r="P30" s="66"/>
      <c r="Q30" s="145">
        <f t="shared" si="0"/>
        <v>0</v>
      </c>
      <c r="R30" s="147">
        <f t="shared" si="1"/>
        <v>0</v>
      </c>
      <c r="S30" s="152">
        <f t="shared" si="2"/>
        <v>0</v>
      </c>
      <c r="T30" s="66"/>
      <c r="U30" s="145">
        <f t="shared" si="3"/>
        <v>0</v>
      </c>
      <c r="V30" s="147">
        <f t="shared" si="4"/>
        <v>0</v>
      </c>
      <c r="W30" s="152">
        <f t="shared" si="11"/>
        <v>0</v>
      </c>
      <c r="X30" s="295"/>
      <c r="Y30" s="145">
        <f t="shared" si="8"/>
        <v>0</v>
      </c>
      <c r="Z30" s="296"/>
      <c r="AA30" s="67"/>
      <c r="AB30" s="114"/>
      <c r="AC30" s="114"/>
      <c r="AD30" s="114"/>
      <c r="AE30" s="114"/>
      <c r="AF30" s="114"/>
    </row>
    <row r="31" spans="1:32" s="80" customFormat="1" ht="15.75" customHeight="1" x14ac:dyDescent="0.25">
      <c r="A31" s="63"/>
      <c r="B31" s="76"/>
      <c r="C31" s="534" t="s">
        <v>178</v>
      </c>
      <c r="D31" s="535"/>
      <c r="E31" s="535"/>
      <c r="F31" s="536"/>
      <c r="G31" s="301"/>
      <c r="H31" s="78"/>
      <c r="I31" s="142">
        <f>SUM(I16:I30)</f>
        <v>0</v>
      </c>
      <c r="J31" s="147"/>
      <c r="K31" s="153">
        <f>SUM(K16:K30)</f>
        <v>0</v>
      </c>
      <c r="L31" s="150"/>
      <c r="M31" s="510"/>
      <c r="N31" s="511"/>
      <c r="O31" s="166">
        <f>SUM(O16:O30)</f>
        <v>0</v>
      </c>
      <c r="P31" s="111"/>
      <c r="Q31" s="142">
        <f>IF($Q$38=0,,Q38-SUM(Q32:Q35))</f>
        <v>0</v>
      </c>
      <c r="R31" s="147"/>
      <c r="S31" s="153">
        <f>SUM(S16:S30)</f>
        <v>0</v>
      </c>
      <c r="T31" s="111"/>
      <c r="U31" s="142">
        <f>IF($U$38=0,,U38-SUM(U32:U35))</f>
        <v>0</v>
      </c>
      <c r="V31" s="147"/>
      <c r="W31" s="153">
        <f>SUM(W16:W30)</f>
        <v>0</v>
      </c>
      <c r="X31" s="302"/>
      <c r="Y31" s="145">
        <f t="shared" si="8"/>
        <v>0</v>
      </c>
      <c r="Z31" s="296"/>
      <c r="AA31" s="79"/>
      <c r="AB31" s="129"/>
      <c r="AC31" s="129"/>
      <c r="AD31" s="129"/>
      <c r="AE31" s="129"/>
      <c r="AF31" s="129"/>
    </row>
    <row r="32" spans="1:32" s="68" customFormat="1" ht="15" customHeight="1" x14ac:dyDescent="0.25">
      <c r="A32" s="63" t="s">
        <v>6</v>
      </c>
      <c r="B32" s="69"/>
      <c r="C32" s="510" t="s">
        <v>253</v>
      </c>
      <c r="D32" s="531"/>
      <c r="E32" s="531"/>
      <c r="F32" s="532"/>
      <c r="G32" s="278" t="s">
        <v>25</v>
      </c>
      <c r="H32" s="81" t="s">
        <v>32</v>
      </c>
      <c r="I32" s="177"/>
      <c r="J32" s="147">
        <f>IF(A32="Y", I32*2%,0)</f>
        <v>0</v>
      </c>
      <c r="K32" s="152">
        <f>I32-J32</f>
        <v>0</v>
      </c>
      <c r="L32" s="149"/>
      <c r="M32" s="279"/>
      <c r="N32" s="280"/>
      <c r="O32" s="72"/>
      <c r="P32" s="66"/>
      <c r="Q32" s="140">
        <f>IF($Q$38=0,,I32)</f>
        <v>0</v>
      </c>
      <c r="R32" s="147">
        <f t="shared" ref="R32:R35" si="12">IF(A32="Y", Q32*2%,)</f>
        <v>0</v>
      </c>
      <c r="S32" s="152">
        <f t="shared" ref="S32" si="13">Q32-R32</f>
        <v>0</v>
      </c>
      <c r="T32" s="66"/>
      <c r="U32" s="140">
        <f>IF($U$38=0,,I32*$U$15)</f>
        <v>0</v>
      </c>
      <c r="V32" s="147">
        <f>IF(A32="Y", U32*2%,)</f>
        <v>0</v>
      </c>
      <c r="W32" s="152">
        <f t="shared" ref="W32:W35" si="14">U32-V32</f>
        <v>0</v>
      </c>
      <c r="X32" s="295"/>
      <c r="Y32" s="145">
        <f t="shared" si="8"/>
        <v>0</v>
      </c>
      <c r="Z32" s="296"/>
      <c r="AA32" s="67"/>
      <c r="AB32" s="114"/>
      <c r="AC32" s="114"/>
      <c r="AD32" s="114"/>
      <c r="AE32" s="114"/>
      <c r="AF32" s="114"/>
    </row>
    <row r="33" spans="1:32" s="68" customFormat="1" ht="15.75" customHeight="1" x14ac:dyDescent="0.25">
      <c r="A33" s="63" t="s">
        <v>6</v>
      </c>
      <c r="B33" s="69"/>
      <c r="C33" s="537" t="s">
        <v>216</v>
      </c>
      <c r="D33" s="538"/>
      <c r="E33" s="538"/>
      <c r="F33" s="539"/>
      <c r="G33" s="213" t="s">
        <v>25</v>
      </c>
      <c r="H33" s="82" t="s">
        <v>158</v>
      </c>
      <c r="I33" s="177"/>
      <c r="J33" s="147">
        <f t="shared" ref="J33:J35" si="15">IF(A33="Y", I33*2%,0)</f>
        <v>0</v>
      </c>
      <c r="K33" s="152">
        <f t="shared" ref="K33:K35" si="16">I33-J33</f>
        <v>0</v>
      </c>
      <c r="L33" s="149"/>
      <c r="M33" s="510"/>
      <c r="N33" s="511"/>
      <c r="O33" s="72"/>
      <c r="P33" s="66"/>
      <c r="Q33" s="140">
        <f>IF($Q$38=0,,I33)</f>
        <v>0</v>
      </c>
      <c r="R33" s="147">
        <f t="shared" si="12"/>
        <v>0</v>
      </c>
      <c r="S33" s="152">
        <f t="shared" si="2"/>
        <v>0</v>
      </c>
      <c r="T33" s="66"/>
      <c r="U33" s="140">
        <f>IF($U$38=0,,I33*$U$15)</f>
        <v>0</v>
      </c>
      <c r="V33" s="147">
        <f>IF(A33="Y", U33*2%,)</f>
        <v>0</v>
      </c>
      <c r="W33" s="152">
        <f t="shared" si="14"/>
        <v>0</v>
      </c>
      <c r="X33" s="295"/>
      <c r="Y33" s="145">
        <f t="shared" si="8"/>
        <v>0</v>
      </c>
      <c r="Z33" s="296"/>
      <c r="AA33" s="67"/>
      <c r="AB33" s="114"/>
      <c r="AC33" s="114"/>
      <c r="AD33" s="114"/>
      <c r="AE33" s="114"/>
      <c r="AF33" s="114"/>
    </row>
    <row r="34" spans="1:32" s="68" customFormat="1" ht="15.75" customHeight="1" x14ac:dyDescent="0.25">
      <c r="A34" s="63" t="s">
        <v>6</v>
      </c>
      <c r="B34" s="83"/>
      <c r="C34" s="537" t="s">
        <v>189</v>
      </c>
      <c r="D34" s="538"/>
      <c r="E34" s="538"/>
      <c r="F34" s="539"/>
      <c r="G34" s="213" t="s">
        <v>187</v>
      </c>
      <c r="H34" s="82" t="s">
        <v>18</v>
      </c>
      <c r="I34" s="177"/>
      <c r="J34" s="147">
        <f t="shared" si="15"/>
        <v>0</v>
      </c>
      <c r="K34" s="152">
        <f t="shared" si="16"/>
        <v>0</v>
      </c>
      <c r="L34" s="149"/>
      <c r="M34" s="510"/>
      <c r="N34" s="511"/>
      <c r="O34" s="72"/>
      <c r="P34" s="66"/>
      <c r="Q34" s="140">
        <f>IF($Q$38=0,,I34)</f>
        <v>0</v>
      </c>
      <c r="R34" s="147">
        <f t="shared" si="12"/>
        <v>0</v>
      </c>
      <c r="S34" s="152">
        <f t="shared" si="2"/>
        <v>0</v>
      </c>
      <c r="T34" s="66"/>
      <c r="U34" s="140">
        <f>IF($U$38=0,,I34*$U$15)</f>
        <v>0</v>
      </c>
      <c r="V34" s="147">
        <f>IF(A34="Y", U34*2%,)</f>
        <v>0</v>
      </c>
      <c r="W34" s="152">
        <f t="shared" si="14"/>
        <v>0</v>
      </c>
      <c r="X34" s="295"/>
      <c r="Y34" s="145">
        <f t="shared" si="8"/>
        <v>0</v>
      </c>
      <c r="Z34" s="296"/>
      <c r="AA34" s="71"/>
      <c r="AB34" s="114"/>
      <c r="AC34" s="114"/>
      <c r="AD34" s="114"/>
      <c r="AE34" s="114"/>
      <c r="AF34" s="114"/>
    </row>
    <row r="35" spans="1:32" s="68" customFormat="1" ht="15.75" customHeight="1" x14ac:dyDescent="0.25">
      <c r="A35" s="63" t="s">
        <v>6</v>
      </c>
      <c r="B35" s="83"/>
      <c r="C35" s="537" t="s">
        <v>182</v>
      </c>
      <c r="D35" s="538"/>
      <c r="E35" s="538"/>
      <c r="F35" s="539"/>
      <c r="G35" s="213" t="s">
        <v>25</v>
      </c>
      <c r="H35" s="82" t="s">
        <v>66</v>
      </c>
      <c r="I35" s="177"/>
      <c r="J35" s="147">
        <f t="shared" si="15"/>
        <v>0</v>
      </c>
      <c r="K35" s="152">
        <f t="shared" si="16"/>
        <v>0</v>
      </c>
      <c r="L35" s="149"/>
      <c r="M35" s="510"/>
      <c r="N35" s="511"/>
      <c r="O35" s="72"/>
      <c r="P35" s="66"/>
      <c r="Q35" s="140">
        <f>IF($Q$38=0,,I35)</f>
        <v>0</v>
      </c>
      <c r="R35" s="147">
        <f t="shared" si="12"/>
        <v>0</v>
      </c>
      <c r="S35" s="152">
        <f t="shared" si="2"/>
        <v>0</v>
      </c>
      <c r="T35" s="66"/>
      <c r="U35" s="140">
        <f>IF($U$38=0,,I35*$U$15)</f>
        <v>0</v>
      </c>
      <c r="V35" s="147">
        <f>IF(A35="Y", U35*2%,)</f>
        <v>0</v>
      </c>
      <c r="W35" s="152">
        <f t="shared" si="14"/>
        <v>0</v>
      </c>
      <c r="X35" s="295"/>
      <c r="Y35" s="145">
        <f t="shared" si="8"/>
        <v>0</v>
      </c>
      <c r="Z35" s="296"/>
      <c r="AA35" s="71"/>
      <c r="AB35" s="114"/>
      <c r="AC35" s="114"/>
      <c r="AD35" s="114"/>
      <c r="AE35" s="114"/>
      <c r="AF35" s="114"/>
    </row>
    <row r="36" spans="1:32" s="68" customFormat="1" ht="31.5" customHeight="1" x14ac:dyDescent="0.25">
      <c r="A36" s="83" t="s">
        <v>6</v>
      </c>
      <c r="B36" s="83"/>
      <c r="C36" s="510" t="s">
        <v>265</v>
      </c>
      <c r="D36" s="531"/>
      <c r="E36" s="531"/>
      <c r="F36" s="532"/>
      <c r="G36" s="213" t="s">
        <v>25</v>
      </c>
      <c r="H36" s="85" t="s">
        <v>34</v>
      </c>
      <c r="I36" s="86"/>
      <c r="J36" s="148"/>
      <c r="K36" s="154">
        <f>J37</f>
        <v>0</v>
      </c>
      <c r="L36" s="149"/>
      <c r="M36" s="510"/>
      <c r="N36" s="511"/>
      <c r="O36" s="72"/>
      <c r="P36" s="66"/>
      <c r="Q36" s="93"/>
      <c r="R36" s="148"/>
      <c r="S36" s="154">
        <f>R37</f>
        <v>0</v>
      </c>
      <c r="T36" s="66"/>
      <c r="U36" s="93"/>
      <c r="V36" s="148"/>
      <c r="W36" s="154">
        <f>V37</f>
        <v>0</v>
      </c>
      <c r="X36" s="303"/>
      <c r="Y36" s="145">
        <f t="shared" si="8"/>
        <v>0</v>
      </c>
      <c r="Z36" s="296"/>
      <c r="AA36" s="71"/>
      <c r="AB36" s="114"/>
      <c r="AC36" s="114"/>
      <c r="AD36" s="114"/>
      <c r="AE36" s="114"/>
      <c r="AF36" s="114"/>
    </row>
    <row r="37" spans="1:32" s="114" customFormat="1" ht="14.5" x14ac:dyDescent="0.25">
      <c r="A37" s="112"/>
      <c r="B37" s="112"/>
      <c r="C37" s="112"/>
      <c r="D37" s="112"/>
      <c r="E37" s="113"/>
      <c r="F37" s="113"/>
      <c r="J37" s="115">
        <f>SUM(J16:J36)</f>
        <v>0</v>
      </c>
      <c r="K37" s="155"/>
      <c r="O37" s="116"/>
      <c r="P37" s="117"/>
      <c r="R37" s="115">
        <f>SUM(R16:R36)</f>
        <v>0</v>
      </c>
      <c r="S37" s="155"/>
      <c r="T37" s="117"/>
      <c r="V37" s="115">
        <f>SUM(V16:V36)</f>
        <v>0</v>
      </c>
      <c r="W37" s="155"/>
      <c r="X37" s="187"/>
      <c r="Y37" s="165"/>
      <c r="Z37" s="165"/>
      <c r="AA37" s="118"/>
    </row>
    <row r="38" spans="1:32" s="95" customFormat="1" ht="16" thickBot="1" x14ac:dyDescent="0.3">
      <c r="A38" s="130"/>
      <c r="B38" s="130"/>
      <c r="C38" s="130"/>
      <c r="D38" s="130"/>
      <c r="E38" s="119"/>
      <c r="F38" s="131" t="s">
        <v>67</v>
      </c>
      <c r="G38" s="132"/>
      <c r="H38" s="133" t="s">
        <v>1</v>
      </c>
      <c r="I38" s="134">
        <f>SUM(I31:I37)</f>
        <v>0</v>
      </c>
      <c r="J38" s="135"/>
      <c r="K38" s="156">
        <f>SUM(K31:K37)</f>
        <v>0</v>
      </c>
      <c r="L38" s="136"/>
      <c r="M38" s="130" t="s">
        <v>1</v>
      </c>
      <c r="N38" s="130"/>
      <c r="O38" s="137">
        <f>SUM(O31:O37)</f>
        <v>0</v>
      </c>
      <c r="P38" s="136"/>
      <c r="Q38" s="179"/>
      <c r="R38" s="135"/>
      <c r="S38" s="156">
        <f>SUM(S31:S37)</f>
        <v>0</v>
      </c>
      <c r="T38" s="136"/>
      <c r="U38" s="179"/>
      <c r="V38" s="135"/>
      <c r="W38" s="156">
        <f>SUM(W31:W37)</f>
        <v>0</v>
      </c>
      <c r="X38" s="304"/>
      <c r="Y38" s="175">
        <f>SUM(Y31:Y37)</f>
        <v>0</v>
      </c>
      <c r="Z38" s="305"/>
      <c r="AA38" s="138"/>
    </row>
    <row r="39" spans="1:32" s="95" customFormat="1" ht="16" thickTop="1" x14ac:dyDescent="0.25">
      <c r="A39" s="130"/>
      <c r="B39" s="130"/>
      <c r="C39" s="130"/>
      <c r="D39" s="130"/>
      <c r="E39" s="119"/>
      <c r="F39" s="131"/>
      <c r="G39" s="132"/>
      <c r="H39" s="133"/>
      <c r="I39" s="135"/>
      <c r="J39" s="135"/>
      <c r="K39" s="135"/>
      <c r="L39" s="136"/>
      <c r="M39" s="130"/>
      <c r="N39" s="130"/>
      <c r="O39" s="135"/>
      <c r="P39" s="136"/>
      <c r="Q39" s="237"/>
      <c r="R39" s="135"/>
      <c r="S39" s="135"/>
      <c r="T39" s="136"/>
      <c r="U39" s="237"/>
      <c r="V39" s="135"/>
      <c r="W39" s="135"/>
      <c r="X39" s="135"/>
      <c r="Y39" s="305"/>
      <c r="Z39" s="305"/>
      <c r="AA39" s="138"/>
    </row>
  </sheetData>
  <sheetProtection insertRows="0"/>
  <mergeCells count="106">
    <mergeCell ref="C35:F35"/>
    <mergeCell ref="M35:N35"/>
    <mergeCell ref="C36:F36"/>
    <mergeCell ref="M36:N36"/>
    <mergeCell ref="C31:F31"/>
    <mergeCell ref="M31:N31"/>
    <mergeCell ref="C32:F32"/>
    <mergeCell ref="C33:F33"/>
    <mergeCell ref="M33:N33"/>
    <mergeCell ref="C34:F34"/>
    <mergeCell ref="M34:N34"/>
    <mergeCell ref="C29:F29"/>
    <mergeCell ref="M29:N29"/>
    <mergeCell ref="C30:F30"/>
    <mergeCell ref="M30:N30"/>
    <mergeCell ref="M25:N25"/>
    <mergeCell ref="C26:D26"/>
    <mergeCell ref="M26:N26"/>
    <mergeCell ref="C27:D27"/>
    <mergeCell ref="M27:N27"/>
    <mergeCell ref="C28:F28"/>
    <mergeCell ref="M28:N28"/>
    <mergeCell ref="C21:F21"/>
    <mergeCell ref="M21:N21"/>
    <mergeCell ref="C22:F22"/>
    <mergeCell ref="M22:N22"/>
    <mergeCell ref="C23:D23"/>
    <mergeCell ref="E23:F27"/>
    <mergeCell ref="M23:N23"/>
    <mergeCell ref="C24:D24"/>
    <mergeCell ref="M24:N24"/>
    <mergeCell ref="C25:D25"/>
    <mergeCell ref="C18:F18"/>
    <mergeCell ref="M18:N18"/>
    <mergeCell ref="C19:F19"/>
    <mergeCell ref="M19:N19"/>
    <mergeCell ref="C20:F20"/>
    <mergeCell ref="M20:N20"/>
    <mergeCell ref="Z14:Z15"/>
    <mergeCell ref="AA14:AA15"/>
    <mergeCell ref="M15:N15"/>
    <mergeCell ref="B16:B17"/>
    <mergeCell ref="C16:F16"/>
    <mergeCell ref="M16:N16"/>
    <mergeCell ref="C17:F17"/>
    <mergeCell ref="M17:N17"/>
    <mergeCell ref="I13:K13"/>
    <mergeCell ref="M13:O13"/>
    <mergeCell ref="Q13:S13"/>
    <mergeCell ref="U13:W13"/>
    <mergeCell ref="C14:F15"/>
    <mergeCell ref="I14:I15"/>
    <mergeCell ref="J14:J15"/>
    <mergeCell ref="M14:N14"/>
    <mergeCell ref="R14:R15"/>
    <mergeCell ref="V14:V15"/>
    <mergeCell ref="A11:C11"/>
    <mergeCell ref="D11:E11"/>
    <mergeCell ref="F11:G11"/>
    <mergeCell ref="I11:L11"/>
    <mergeCell ref="M11:N11"/>
    <mergeCell ref="Q11:W11"/>
    <mergeCell ref="A10:C10"/>
    <mergeCell ref="D10:E10"/>
    <mergeCell ref="F10:G10"/>
    <mergeCell ref="I10:L10"/>
    <mergeCell ref="M10:N10"/>
    <mergeCell ref="Q10:W10"/>
    <mergeCell ref="Q8:W9"/>
    <mergeCell ref="A9:C9"/>
    <mergeCell ref="D9:E9"/>
    <mergeCell ref="F9:G9"/>
    <mergeCell ref="I9:L9"/>
    <mergeCell ref="M9:N9"/>
    <mergeCell ref="A7:C7"/>
    <mergeCell ref="D7:E7"/>
    <mergeCell ref="F7:G7"/>
    <mergeCell ref="I7:L7"/>
    <mergeCell ref="Q7:W7"/>
    <mergeCell ref="A8:C8"/>
    <mergeCell ref="D8:E8"/>
    <mergeCell ref="F8:G8"/>
    <mergeCell ref="I8:L8"/>
    <mergeCell ref="M8:N8"/>
    <mergeCell ref="A6:C6"/>
    <mergeCell ref="D6:E6"/>
    <mergeCell ref="F6:G6"/>
    <mergeCell ref="I6:L6"/>
    <mergeCell ref="M6:N6"/>
    <mergeCell ref="Q6:W6"/>
    <mergeCell ref="A5:C5"/>
    <mergeCell ref="D5:E5"/>
    <mergeCell ref="F5:G5"/>
    <mergeCell ref="I5:L5"/>
    <mergeCell ref="M5:N5"/>
    <mergeCell ref="Q5:W5"/>
    <mergeCell ref="A1:K1"/>
    <mergeCell ref="L1:U1"/>
    <mergeCell ref="M3:N3"/>
    <mergeCell ref="Q3:W3"/>
    <mergeCell ref="A4:C4"/>
    <mergeCell ref="D4:E4"/>
    <mergeCell ref="F4:G4"/>
    <mergeCell ref="I4:L4"/>
    <mergeCell ref="M4:N4"/>
    <mergeCell ref="Q4:W4"/>
  </mergeCells>
  <conditionalFormatting sqref="E23">
    <cfRule type="cellIs" dxfId="38" priority="1" operator="notEqual">
      <formula>"GC 76000 PA ($" &amp;O11 &amp;" for every 10) breakdown per local board of supervisor resolution (BOS)."</formula>
    </cfRule>
  </conditionalFormatting>
  <conditionalFormatting sqref="I16:K31 J32:K36">
    <cfRule type="cellIs" dxfId="37" priority="3" operator="equal">
      <formula>0</formula>
    </cfRule>
  </conditionalFormatting>
  <conditionalFormatting sqref="M16:O36">
    <cfRule type="expression" dxfId="36" priority="4">
      <formula>MOD(ROW(),2)=0</formula>
    </cfRule>
  </conditionalFormatting>
  <conditionalFormatting sqref="Q16:S36 U16:W36">
    <cfRule type="cellIs" dxfId="35" priority="6" stopIfTrue="1" operator="equal">
      <formula>0</formula>
    </cfRule>
  </conditionalFormatting>
  <conditionalFormatting sqref="U12:V12 Y13:Z13 U40:V65522">
    <cfRule type="cellIs" dxfId="34" priority="5" stopIfTrue="1" operator="notEqual">
      <formula>0</formula>
    </cfRule>
  </conditionalFormatting>
  <conditionalFormatting sqref="Z16:Z36">
    <cfRule type="cellIs" dxfId="33" priority="2" operator="greaterThan">
      <formula>0</formula>
    </cfRule>
  </conditionalFormatting>
  <dataValidations count="1">
    <dataValidation type="list" allowBlank="1" showInputMessage="1" showErrorMessage="1" sqref="Y15" xr:uid="{B98D4BD2-D2BE-4629-BD90-628254255D0A}">
      <formula1>Distribution_Method</formula1>
    </dataValidation>
  </dataValidations>
  <printOptions horizontalCentered="1"/>
  <pageMargins left="0.25" right="0.25" top="0.75" bottom="0.5" header="0.25" footer="0.25"/>
  <pageSetup scale="66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K31 S31:U31" formula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F8D8-282E-4762-B41E-AF99833B69BC}">
  <sheetPr>
    <tabColor theme="6"/>
    <pageSetUpPr fitToPage="1"/>
  </sheetPr>
  <dimension ref="A1:AC47"/>
  <sheetViews>
    <sheetView zoomScale="75" zoomScaleNormal="75" workbookViewId="0">
      <pane ySplit="1" topLeftCell="A2" activePane="bottomLeft" state="frozen"/>
      <selection activeCell="C25" sqref="C25:D25"/>
      <selection pane="bottomLeft" activeCell="D9" sqref="D9:E9"/>
    </sheetView>
  </sheetViews>
  <sheetFormatPr defaultColWidth="9.1796875" defaultRowHeight="18.5" x14ac:dyDescent="0.25"/>
  <cols>
    <col min="1" max="1" width="4.26953125" style="207" customWidth="1"/>
    <col min="2" max="2" width="7.453125" style="207" bestFit="1" customWidth="1"/>
    <col min="3" max="3" width="14.1796875" style="207" customWidth="1"/>
    <col min="4" max="4" width="13.26953125" style="207" customWidth="1"/>
    <col min="5" max="5" width="10.453125" style="208" customWidth="1"/>
    <col min="6" max="6" width="19.90625" style="206" customWidth="1"/>
    <col min="7" max="7" width="11.1796875" style="199" customWidth="1"/>
    <col min="8" max="8" width="0.1796875" style="199" hidden="1" customWidth="1"/>
    <col min="9" max="9" width="12.26953125" style="199" customWidth="1"/>
    <col min="10" max="10" width="10.90625" style="199" customWidth="1"/>
    <col min="11" max="11" width="8.1796875" style="199" customWidth="1"/>
    <col min="12" max="12" width="14" style="209" customWidth="1"/>
    <col min="13" max="13" width="8.54296875" style="209" customWidth="1"/>
    <col min="14" max="14" width="1.6328125" style="273" customWidth="1"/>
    <col min="15" max="15" width="15.90625" style="199" customWidth="1"/>
    <col min="16" max="16" width="13.81640625" style="199" customWidth="1"/>
    <col min="17" max="17" width="1.6328125" style="273" customWidth="1"/>
    <col min="18" max="18" width="12.6328125" style="273" customWidth="1"/>
    <col min="19" max="19" width="1.6328125" style="273" customWidth="1"/>
    <col min="20" max="20" width="12.6328125" style="308" customWidth="1"/>
    <col min="21" max="21" width="5.81640625" style="419" customWidth="1"/>
    <col min="22" max="22" width="18" style="420" customWidth="1"/>
    <col min="23" max="23" width="9.26953125" style="308" customWidth="1"/>
    <col min="24" max="24" width="11.54296875" style="308" customWidth="1"/>
    <col min="25" max="25" width="9.7265625" style="308" customWidth="1"/>
    <col min="26" max="26" width="11.90625" style="308" customWidth="1"/>
    <col min="27" max="27" width="9.1796875" style="308"/>
    <col min="28" max="28" width="17.1796875" style="199" bestFit="1" customWidth="1"/>
    <col min="29" max="16384" width="9.1796875" style="199"/>
  </cols>
  <sheetData>
    <row r="1" spans="1:29" ht="20.25" customHeight="1" thickBot="1" x14ac:dyDescent="0.3">
      <c r="A1" s="791" t="s">
        <v>339</v>
      </c>
      <c r="B1" s="792"/>
      <c r="C1" s="792"/>
      <c r="D1" s="792"/>
      <c r="E1" s="792"/>
      <c r="F1" s="792"/>
      <c r="G1" s="792"/>
      <c r="H1" s="792"/>
      <c r="I1" s="792"/>
      <c r="J1" s="792"/>
      <c r="K1" s="459"/>
      <c r="L1" s="793"/>
      <c r="M1" s="793"/>
      <c r="N1" s="793"/>
      <c r="O1" s="793"/>
      <c r="P1" s="793"/>
      <c r="Q1" s="793"/>
      <c r="R1" s="793"/>
      <c r="S1" s="793"/>
      <c r="T1" s="793"/>
      <c r="U1" s="307" t="s">
        <v>309</v>
      </c>
      <c r="V1" s="484">
        <v>45292</v>
      </c>
    </row>
    <row r="2" spans="1:29" s="308" customFormat="1" ht="6" customHeight="1" thickBot="1" x14ac:dyDescent="0.3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9"/>
      <c r="L2" s="239"/>
      <c r="M2" s="239"/>
      <c r="N2" s="239"/>
      <c r="O2" s="239"/>
      <c r="P2" s="309"/>
      <c r="Q2" s="309"/>
      <c r="R2" s="309"/>
      <c r="S2" s="309"/>
      <c r="T2" s="309"/>
      <c r="U2" s="309"/>
      <c r="V2" s="309"/>
    </row>
    <row r="3" spans="1:29" s="308" customFormat="1" ht="19.5" thickTop="1" thickBot="1" x14ac:dyDescent="0.3">
      <c r="A3" s="805" t="s">
        <v>191</v>
      </c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7"/>
      <c r="N3" s="312"/>
      <c r="O3" s="794" t="s">
        <v>218</v>
      </c>
      <c r="P3" s="795"/>
      <c r="Q3" s="795"/>
      <c r="R3" s="795"/>
      <c r="S3" s="795"/>
      <c r="T3" s="796"/>
      <c r="V3" s="313" t="s">
        <v>207</v>
      </c>
      <c r="W3" s="314"/>
    </row>
    <row r="4" spans="1:29" s="195" customFormat="1" ht="15.5" x14ac:dyDescent="0.25">
      <c r="A4" s="797" t="s">
        <v>188</v>
      </c>
      <c r="B4" s="797"/>
      <c r="C4" s="797"/>
      <c r="D4" s="798"/>
      <c r="E4" s="799"/>
      <c r="F4" s="800" t="s">
        <v>22</v>
      </c>
      <c r="G4" s="801"/>
      <c r="H4" s="276"/>
      <c r="I4" s="776" t="s">
        <v>297</v>
      </c>
      <c r="J4" s="777"/>
      <c r="K4" s="813" t="s">
        <v>214</v>
      </c>
      <c r="L4" s="814"/>
      <c r="M4" s="274"/>
      <c r="N4" s="315"/>
      <c r="O4" s="802" t="s">
        <v>193</v>
      </c>
      <c r="P4" s="803"/>
      <c r="Q4" s="803"/>
      <c r="R4" s="803"/>
      <c r="S4" s="803"/>
      <c r="T4" s="804"/>
      <c r="V4" s="316" t="s">
        <v>242</v>
      </c>
      <c r="W4" s="317" t="s">
        <v>243</v>
      </c>
      <c r="X4" s="317" t="s">
        <v>300</v>
      </c>
      <c r="Y4" s="317" t="s">
        <v>301</v>
      </c>
    </row>
    <row r="5" spans="1:29" s="195" customFormat="1" ht="15.5" x14ac:dyDescent="0.25">
      <c r="A5" s="780" t="s">
        <v>3</v>
      </c>
      <c r="B5" s="780"/>
      <c r="C5" s="780"/>
      <c r="D5" s="781">
        <v>45185</v>
      </c>
      <c r="E5" s="786"/>
      <c r="F5" s="763" t="s">
        <v>201</v>
      </c>
      <c r="G5" s="764"/>
      <c r="H5" s="196"/>
      <c r="I5" s="765" t="s">
        <v>298</v>
      </c>
      <c r="J5" s="766"/>
      <c r="K5" s="815" t="s">
        <v>17</v>
      </c>
      <c r="L5" s="816"/>
      <c r="M5" s="241"/>
      <c r="N5" s="315"/>
      <c r="O5" s="808" t="s">
        <v>241</v>
      </c>
      <c r="P5" s="809"/>
      <c r="Q5" s="809"/>
      <c r="R5" s="809"/>
      <c r="S5" s="809"/>
      <c r="T5" s="810"/>
      <c r="V5" s="318" t="s">
        <v>25</v>
      </c>
      <c r="W5" s="319">
        <f>SUMIF($G$17:$G$43,"STATE",$L$17:$L$43)</f>
        <v>0</v>
      </c>
      <c r="X5" s="319">
        <f>SUMIF($G$17:$G$43,"STATE",$R$17:$R$43)</f>
        <v>0</v>
      </c>
      <c r="Y5" s="319">
        <f>SUMIF($G$17:$G$43,"STATE",$T$17:$T$43)</f>
        <v>0</v>
      </c>
    </row>
    <row r="6" spans="1:29" s="195" customFormat="1" ht="16" thickBot="1" x14ac:dyDescent="0.3">
      <c r="A6" s="780" t="s">
        <v>10</v>
      </c>
      <c r="B6" s="780"/>
      <c r="C6" s="780"/>
      <c r="D6" s="781">
        <v>45251</v>
      </c>
      <c r="E6" s="782"/>
      <c r="F6" s="763" t="s">
        <v>15</v>
      </c>
      <c r="G6" s="764"/>
      <c r="H6" s="196"/>
      <c r="I6" s="765" t="s">
        <v>244</v>
      </c>
      <c r="J6" s="766"/>
      <c r="K6" s="767" t="s">
        <v>190</v>
      </c>
      <c r="L6" s="768"/>
      <c r="M6" s="275">
        <f>M4+M5*10</f>
        <v>0</v>
      </c>
      <c r="N6" s="315"/>
      <c r="O6" s="783" t="s">
        <v>295</v>
      </c>
      <c r="P6" s="784"/>
      <c r="Q6" s="784"/>
      <c r="R6" s="784"/>
      <c r="S6" s="784"/>
      <c r="T6" s="785"/>
      <c r="V6" s="318" t="s">
        <v>26</v>
      </c>
      <c r="W6" s="319">
        <f>SUMIF($G$17:$G$43,"county",$L$17:$L$43)</f>
        <v>0</v>
      </c>
      <c r="X6" s="319">
        <f>SUMIF($G$17:$G$43,"county",$R$17:$R$43)</f>
        <v>0</v>
      </c>
      <c r="Y6" s="319">
        <f>SUMIF($G$17:$G$43,"county",$T$17:$T$43)</f>
        <v>0</v>
      </c>
    </row>
    <row r="7" spans="1:29" s="195" customFormat="1" ht="16" thickBot="1" x14ac:dyDescent="0.3">
      <c r="A7" s="780" t="s">
        <v>4</v>
      </c>
      <c r="B7" s="780"/>
      <c r="C7" s="780"/>
      <c r="D7" s="765" t="s">
        <v>296</v>
      </c>
      <c r="E7" s="786"/>
      <c r="F7" s="754" t="s">
        <v>16</v>
      </c>
      <c r="G7" s="755"/>
      <c r="H7" s="197"/>
      <c r="I7" s="756" t="s">
        <v>310</v>
      </c>
      <c r="J7" s="787"/>
      <c r="K7" s="817"/>
      <c r="L7" s="818"/>
      <c r="M7" s="320"/>
      <c r="N7" s="315"/>
      <c r="O7" s="788" t="s">
        <v>192</v>
      </c>
      <c r="P7" s="789"/>
      <c r="Q7" s="789"/>
      <c r="R7" s="789"/>
      <c r="S7" s="789"/>
      <c r="T7" s="790"/>
      <c r="V7" s="318" t="s">
        <v>45</v>
      </c>
      <c r="W7" s="319">
        <f>SUMIF($G$17:$G$43,"city",$L$17:$L$43)</f>
        <v>0</v>
      </c>
      <c r="X7" s="319">
        <f>SUMIF($G$17:$G$43,"city",$R$17:$R$43)</f>
        <v>0</v>
      </c>
      <c r="Y7" s="319">
        <f>SUMIF($G$17:$G$43,"city",$T$17:$T$43)</f>
        <v>0</v>
      </c>
    </row>
    <row r="8" spans="1:29" s="195" customFormat="1" ht="15.75" customHeight="1" x14ac:dyDescent="0.25">
      <c r="A8" s="771" t="s">
        <v>47</v>
      </c>
      <c r="B8" s="771"/>
      <c r="C8" s="771"/>
      <c r="D8" s="772">
        <v>0</v>
      </c>
      <c r="E8" s="773"/>
      <c r="F8" s="774" t="s">
        <v>210</v>
      </c>
      <c r="G8" s="775"/>
      <c r="H8" s="194"/>
      <c r="I8" s="776"/>
      <c r="J8" s="777"/>
      <c r="K8" s="813" t="s">
        <v>214</v>
      </c>
      <c r="L8" s="814"/>
      <c r="M8" s="240"/>
      <c r="N8" s="315"/>
      <c r="O8" s="811" t="s">
        <v>302</v>
      </c>
      <c r="P8" s="811"/>
      <c r="Q8" s="811"/>
      <c r="R8" s="811"/>
      <c r="S8" s="811"/>
      <c r="T8" s="812"/>
      <c r="V8" s="318" t="s">
        <v>187</v>
      </c>
      <c r="W8" s="319">
        <f>SUMIF($G$17:$G$43,"court",$L$17:$L$43)</f>
        <v>0</v>
      </c>
      <c r="X8" s="319">
        <f>SUMIF($G$17:$G$43,"court",$R$17:$R$43)</f>
        <v>0</v>
      </c>
      <c r="Y8" s="319">
        <f>SUMIF($G$17:$G$43,"court",$T$17:$T$43)</f>
        <v>0</v>
      </c>
    </row>
    <row r="9" spans="1:29" s="195" customFormat="1" ht="20.25" customHeight="1" thickBot="1" x14ac:dyDescent="0.3">
      <c r="A9" s="771" t="s">
        <v>46</v>
      </c>
      <c r="B9" s="771"/>
      <c r="C9" s="771"/>
      <c r="D9" s="778">
        <f>100%-D8</f>
        <v>1</v>
      </c>
      <c r="E9" s="779"/>
      <c r="F9" s="763" t="s">
        <v>201</v>
      </c>
      <c r="G9" s="764"/>
      <c r="H9" s="196"/>
      <c r="I9" s="765"/>
      <c r="J9" s="766"/>
      <c r="K9" s="815" t="s">
        <v>17</v>
      </c>
      <c r="L9" s="816"/>
      <c r="M9" s="241"/>
      <c r="O9" s="811"/>
      <c r="P9" s="811"/>
      <c r="Q9" s="811"/>
      <c r="R9" s="811"/>
      <c r="S9" s="811"/>
      <c r="T9" s="812"/>
      <c r="V9" s="321" t="s">
        <v>261</v>
      </c>
      <c r="W9" s="319">
        <f>SUMIF($G$17:$G$43,"CNTY or CTY",$L$17:$L$43)</f>
        <v>0</v>
      </c>
      <c r="X9" s="319">
        <f>SUMIF($G$17:$G$43,"CNTY or CTY",$R$17:$R$43)</f>
        <v>0</v>
      </c>
      <c r="Y9" s="319">
        <f>SUMIF($G$17:$G$43,"CNTY or CTY",$T$17:$T$43)</f>
        <v>0</v>
      </c>
    </row>
    <row r="10" spans="1:29" s="195" customFormat="1" ht="16.5" customHeight="1" thickBot="1" x14ac:dyDescent="0.3">
      <c r="A10" s="761" t="s">
        <v>224</v>
      </c>
      <c r="B10" s="762"/>
      <c r="C10" s="762"/>
      <c r="D10" s="672">
        <f>M6+M10</f>
        <v>0</v>
      </c>
      <c r="E10" s="673"/>
      <c r="F10" s="763" t="s">
        <v>15</v>
      </c>
      <c r="G10" s="764"/>
      <c r="H10" s="196"/>
      <c r="I10" s="765"/>
      <c r="J10" s="766"/>
      <c r="K10" s="767" t="s">
        <v>190</v>
      </c>
      <c r="L10" s="768"/>
      <c r="M10" s="275">
        <f>M8+M9*10</f>
        <v>0</v>
      </c>
      <c r="O10" s="747" t="s">
        <v>196</v>
      </c>
      <c r="P10" s="748"/>
      <c r="Q10" s="748"/>
      <c r="R10" s="748"/>
      <c r="S10" s="748"/>
      <c r="T10" s="749"/>
      <c r="V10" s="281" t="s">
        <v>203</v>
      </c>
      <c r="W10" s="322">
        <f>SUM(W5:W9)</f>
        <v>0</v>
      </c>
      <c r="X10" s="322">
        <f>SUM(X5:X9)</f>
        <v>0</v>
      </c>
      <c r="Y10" s="322">
        <f>SUM(Y5:Y9)</f>
        <v>0</v>
      </c>
    </row>
    <row r="11" spans="1:29" s="195" customFormat="1" ht="16.5" customHeight="1" thickBot="1" x14ac:dyDescent="0.3">
      <c r="A11" s="750" t="s">
        <v>225</v>
      </c>
      <c r="B11" s="751"/>
      <c r="C11" s="751"/>
      <c r="D11" s="752">
        <f>ROUNDUP(D10/10,0)</f>
        <v>0</v>
      </c>
      <c r="E11" s="753"/>
      <c r="F11" s="754" t="s">
        <v>16</v>
      </c>
      <c r="G11" s="755"/>
      <c r="H11" s="197"/>
      <c r="I11" s="756"/>
      <c r="J11" s="757"/>
      <c r="K11" s="769" t="s">
        <v>287</v>
      </c>
      <c r="L11" s="770"/>
      <c r="M11" s="277">
        <f>'Local Penalties'!B8</f>
        <v>5</v>
      </c>
      <c r="O11" s="758" t="s">
        <v>256</v>
      </c>
      <c r="P11" s="759"/>
      <c r="Q11" s="759"/>
      <c r="R11" s="759"/>
      <c r="S11" s="759"/>
      <c r="T11" s="760"/>
      <c r="W11" s="323">
        <f>W10-L46</f>
        <v>0</v>
      </c>
      <c r="X11" s="323">
        <f>X10-R46</f>
        <v>0</v>
      </c>
      <c r="Y11" s="323">
        <f>Y10-T46</f>
        <v>0</v>
      </c>
    </row>
    <row r="12" spans="1:29" s="195" customFormat="1" ht="15" customHeight="1" thickBot="1" x14ac:dyDescent="0.3">
      <c r="A12" s="244"/>
      <c r="B12" s="244"/>
      <c r="C12" s="244"/>
      <c r="D12" s="244"/>
      <c r="E12" s="244"/>
      <c r="F12" s="245"/>
      <c r="G12" s="246"/>
      <c r="H12" s="198"/>
      <c r="I12" s="247"/>
      <c r="J12" s="247"/>
      <c r="K12" s="247"/>
      <c r="L12" s="247"/>
      <c r="M12" s="247"/>
      <c r="N12" s="247"/>
      <c r="P12" s="315"/>
      <c r="Q12" s="315"/>
      <c r="R12" s="315"/>
      <c r="S12" s="315"/>
      <c r="T12" s="315"/>
      <c r="U12" s="324"/>
      <c r="V12" s="198"/>
      <c r="Z12" s="325"/>
    </row>
    <row r="13" spans="1:29" s="250" customFormat="1" ht="36" customHeight="1" thickBot="1" x14ac:dyDescent="0.3">
      <c r="A13" s="326"/>
      <c r="B13" s="326"/>
      <c r="C13" s="326"/>
      <c r="D13" s="326"/>
      <c r="E13" s="326"/>
      <c r="F13" s="248"/>
      <c r="G13" s="249"/>
      <c r="I13" s="327"/>
      <c r="J13" s="328"/>
      <c r="K13" s="737" t="s">
        <v>311</v>
      </c>
      <c r="L13" s="738"/>
      <c r="M13" s="402"/>
      <c r="N13" s="329"/>
      <c r="O13" s="739" t="s">
        <v>312</v>
      </c>
      <c r="P13" s="740"/>
      <c r="Q13" s="330"/>
      <c r="R13" s="331" t="s">
        <v>303</v>
      </c>
      <c r="S13" s="330"/>
      <c r="T13" s="331" t="s">
        <v>304</v>
      </c>
      <c r="U13" s="332"/>
      <c r="V13" s="333"/>
      <c r="W13" s="333"/>
      <c r="X13" s="334"/>
      <c r="Y13" s="249"/>
      <c r="Z13" s="249"/>
      <c r="AA13" s="249"/>
      <c r="AB13" s="249"/>
      <c r="AC13" s="249"/>
    </row>
    <row r="14" spans="1:29" ht="42" customHeight="1" thickBot="1" x14ac:dyDescent="0.3">
      <c r="A14" s="335">
        <v>0.02</v>
      </c>
      <c r="B14" s="335" t="s">
        <v>51</v>
      </c>
      <c r="C14" s="741" t="s">
        <v>183</v>
      </c>
      <c r="D14" s="741"/>
      <c r="E14" s="741"/>
      <c r="F14" s="741"/>
      <c r="G14" s="336" t="s">
        <v>206</v>
      </c>
      <c r="H14" s="336" t="s">
        <v>0</v>
      </c>
      <c r="I14" s="743" t="s">
        <v>313</v>
      </c>
      <c r="J14" s="337" t="s">
        <v>314</v>
      </c>
      <c r="K14" s="741" t="s">
        <v>5</v>
      </c>
      <c r="L14" s="745" t="s">
        <v>315</v>
      </c>
      <c r="M14" s="402"/>
      <c r="N14" s="461"/>
      <c r="O14" s="458" t="s">
        <v>217</v>
      </c>
      <c r="P14" s="339" t="s">
        <v>205</v>
      </c>
      <c r="Q14" s="340"/>
      <c r="R14" s="341" t="s">
        <v>316</v>
      </c>
      <c r="S14" s="340"/>
      <c r="T14" s="341" t="s">
        <v>308</v>
      </c>
      <c r="U14" s="342"/>
      <c r="V14" s="343" t="s">
        <v>213</v>
      </c>
      <c r="W14" s="728" t="s">
        <v>54</v>
      </c>
      <c r="X14" s="731" t="s">
        <v>249</v>
      </c>
      <c r="AB14" s="308"/>
      <c r="AC14" s="308"/>
    </row>
    <row r="15" spans="1:29" ht="11.25" customHeight="1" x14ac:dyDescent="0.25">
      <c r="A15" s="344"/>
      <c r="B15" s="344"/>
      <c r="C15" s="742"/>
      <c r="D15" s="742"/>
      <c r="E15" s="742"/>
      <c r="F15" s="742"/>
      <c r="G15" s="345"/>
      <c r="H15" s="345"/>
      <c r="I15" s="744"/>
      <c r="J15" s="346"/>
      <c r="K15" s="742"/>
      <c r="L15" s="746"/>
      <c r="M15" s="402"/>
      <c r="N15" s="347"/>
      <c r="O15" s="456"/>
      <c r="P15" s="348"/>
      <c r="Q15" s="340"/>
      <c r="R15" s="349" t="e">
        <f>(R32-SUM(R25:R26))/(I32-SUM(J25:J26))</f>
        <v>#DIV/0!</v>
      </c>
      <c r="S15" s="340"/>
      <c r="T15" s="349" t="e">
        <f>T46/L46</f>
        <v>#DIV/0!</v>
      </c>
      <c r="U15" s="350"/>
      <c r="V15" s="734" t="s">
        <v>239</v>
      </c>
      <c r="W15" s="729"/>
      <c r="X15" s="732"/>
      <c r="AB15" s="308"/>
      <c r="AC15" s="308"/>
    </row>
    <row r="16" spans="1:29" ht="16" customHeight="1" thickBot="1" x14ac:dyDescent="0.3">
      <c r="A16" s="351" t="s">
        <v>6</v>
      </c>
      <c r="B16" s="352"/>
      <c r="C16" s="353"/>
      <c r="D16" s="354"/>
      <c r="E16" s="354"/>
      <c r="F16" s="355"/>
      <c r="G16" s="356"/>
      <c r="H16" s="356"/>
      <c r="I16" s="357"/>
      <c r="J16" s="358"/>
      <c r="K16" s="462"/>
      <c r="L16" s="359" t="s">
        <v>35</v>
      </c>
      <c r="M16" s="402"/>
      <c r="N16" s="347"/>
      <c r="O16" s="360"/>
      <c r="P16" s="359" t="s">
        <v>36</v>
      </c>
      <c r="Q16" s="340"/>
      <c r="R16" s="359" t="s">
        <v>37</v>
      </c>
      <c r="S16" s="340"/>
      <c r="T16" s="359" t="s">
        <v>37</v>
      </c>
      <c r="U16" s="361"/>
      <c r="V16" s="735"/>
      <c r="W16" s="730"/>
      <c r="X16" s="733"/>
      <c r="AB16" s="308"/>
      <c r="AC16" s="308"/>
    </row>
    <row r="17" spans="1:29" s="369" customFormat="1" ht="18.5" customHeight="1" thickTop="1" x14ac:dyDescent="0.25">
      <c r="A17" s="362" t="s">
        <v>6</v>
      </c>
      <c r="B17" s="202"/>
      <c r="C17" s="736" t="s">
        <v>317</v>
      </c>
      <c r="D17" s="736"/>
      <c r="E17" s="736"/>
      <c r="F17" s="736"/>
      <c r="G17" s="472" t="s">
        <v>26</v>
      </c>
      <c r="H17" s="473" t="s">
        <v>12</v>
      </c>
      <c r="I17" s="474"/>
      <c r="J17" s="475"/>
      <c r="K17" s="476">
        <f>IF(A17="Y",(I32-J32)*2%,)</f>
        <v>0</v>
      </c>
      <c r="L17" s="477">
        <f>(I46-J46)-K17</f>
        <v>0</v>
      </c>
      <c r="M17" s="402"/>
      <c r="N17" s="256"/>
      <c r="O17" s="457"/>
      <c r="P17" s="364"/>
      <c r="Q17" s="365"/>
      <c r="R17" s="363">
        <f t="shared" ref="R17:R24" si="0">IF($R$46=0,,$R$15*L17)</f>
        <v>0</v>
      </c>
      <c r="S17" s="365"/>
      <c r="T17" s="363">
        <f t="shared" ref="T17:T24" si="1">IF($T$46=0,,$T$15*L17)</f>
        <v>0</v>
      </c>
      <c r="U17" s="366"/>
      <c r="V17" s="253">
        <f t="shared" ref="V17:V43" si="2">IF($V$15="BASE-UP (B-A)", P17-L17,
(IF($V$15="TOP-DOWN 1 (B-C)",P17-R17,P17-T17)))</f>
        <v>0</v>
      </c>
      <c r="W17" s="367"/>
      <c r="X17" s="368"/>
      <c r="Y17" s="201"/>
      <c r="Z17" s="201"/>
      <c r="AA17" s="201"/>
      <c r="AB17" s="201"/>
      <c r="AC17" s="201"/>
    </row>
    <row r="18" spans="1:29" s="369" customFormat="1" ht="18.75" customHeight="1" x14ac:dyDescent="0.25">
      <c r="A18" s="362" t="s">
        <v>6</v>
      </c>
      <c r="B18" s="725" t="s">
        <v>198</v>
      </c>
      <c r="C18" s="727" t="s">
        <v>318</v>
      </c>
      <c r="D18" s="727"/>
      <c r="E18" s="727"/>
      <c r="F18" s="727"/>
      <c r="G18" s="478" t="s">
        <v>26</v>
      </c>
      <c r="H18" s="479" t="s">
        <v>21</v>
      </c>
      <c r="I18" s="480">
        <f>($D$10)*D8</f>
        <v>0</v>
      </c>
      <c r="J18" s="480"/>
      <c r="K18" s="476">
        <f t="shared" ref="K18:K31" si="3">IF(A18="Y",J18* 2%,0)</f>
        <v>0</v>
      </c>
      <c r="L18" s="481">
        <f t="shared" ref="L18:L31" si="4">J18-K18</f>
        <v>0</v>
      </c>
      <c r="M18" s="402"/>
      <c r="N18" s="256"/>
      <c r="O18" s="282"/>
      <c r="P18" s="371"/>
      <c r="Q18" s="365"/>
      <c r="R18" s="370">
        <f t="shared" si="0"/>
        <v>0</v>
      </c>
      <c r="S18" s="365"/>
      <c r="T18" s="370">
        <f t="shared" si="1"/>
        <v>0</v>
      </c>
      <c r="U18" s="366"/>
      <c r="V18" s="253">
        <f t="shared" si="2"/>
        <v>0</v>
      </c>
      <c r="W18" s="372"/>
      <c r="X18" s="373"/>
      <c r="Y18" s="201"/>
      <c r="Z18" s="201"/>
      <c r="AA18" s="201"/>
      <c r="AB18" s="201"/>
      <c r="AC18" s="201"/>
    </row>
    <row r="19" spans="1:29" s="369" customFormat="1" ht="15.75" customHeight="1" x14ac:dyDescent="0.25">
      <c r="A19" s="362" t="s">
        <v>6</v>
      </c>
      <c r="B19" s="726"/>
      <c r="C19" s="727" t="s">
        <v>319</v>
      </c>
      <c r="D19" s="727"/>
      <c r="E19" s="727"/>
      <c r="F19" s="727"/>
      <c r="G19" s="478" t="s">
        <v>45</v>
      </c>
      <c r="H19" s="479" t="s">
        <v>19</v>
      </c>
      <c r="I19" s="480">
        <f>($D$10)*D9</f>
        <v>0</v>
      </c>
      <c r="J19" s="480">
        <f>IF(I19&gt;0,I19*98%,)</f>
        <v>0</v>
      </c>
      <c r="K19" s="476">
        <f t="shared" si="3"/>
        <v>0</v>
      </c>
      <c r="L19" s="481">
        <f t="shared" si="4"/>
        <v>0</v>
      </c>
      <c r="M19" s="402"/>
      <c r="N19" s="256"/>
      <c r="O19" s="282"/>
      <c r="P19" s="371"/>
      <c r="Q19" s="365"/>
      <c r="R19" s="370">
        <f t="shared" si="0"/>
        <v>0</v>
      </c>
      <c r="S19" s="365"/>
      <c r="T19" s="370">
        <f t="shared" si="1"/>
        <v>0</v>
      </c>
      <c r="U19" s="366"/>
      <c r="V19" s="253">
        <f t="shared" si="2"/>
        <v>0</v>
      </c>
      <c r="W19" s="374"/>
      <c r="X19" s="375"/>
      <c r="Y19" s="201"/>
      <c r="Z19" s="201"/>
      <c r="AA19" s="201"/>
      <c r="AB19" s="201"/>
      <c r="AC19" s="201"/>
    </row>
    <row r="20" spans="1:29" s="369" customFormat="1" ht="15.75" customHeight="1" x14ac:dyDescent="0.25">
      <c r="A20" s="362" t="s">
        <v>6</v>
      </c>
      <c r="B20" s="255">
        <v>7</v>
      </c>
      <c r="C20" s="718" t="s">
        <v>281</v>
      </c>
      <c r="D20" s="718"/>
      <c r="E20" s="718"/>
      <c r="F20" s="718"/>
      <c r="G20" s="283" t="s">
        <v>25</v>
      </c>
      <c r="H20" s="203" t="s">
        <v>20</v>
      </c>
      <c r="I20" s="254">
        <f>$D$11*B20</f>
        <v>0</v>
      </c>
      <c r="J20" s="254"/>
      <c r="K20" s="252">
        <f t="shared" si="3"/>
        <v>0</v>
      </c>
      <c r="L20" s="370">
        <f t="shared" si="4"/>
        <v>0</v>
      </c>
      <c r="M20" s="402"/>
      <c r="N20" s="256"/>
      <c r="O20" s="282"/>
      <c r="P20" s="376"/>
      <c r="Q20" s="377"/>
      <c r="R20" s="370">
        <f t="shared" si="0"/>
        <v>0</v>
      </c>
      <c r="S20" s="377"/>
      <c r="T20" s="370">
        <f t="shared" si="1"/>
        <v>0</v>
      </c>
      <c r="U20" s="366"/>
      <c r="V20" s="253">
        <f t="shared" si="2"/>
        <v>0</v>
      </c>
      <c r="W20" s="374"/>
      <c r="X20" s="375"/>
      <c r="Y20" s="201"/>
      <c r="Z20" s="201"/>
      <c r="AA20" s="201"/>
      <c r="AB20" s="201"/>
      <c r="AC20" s="201"/>
    </row>
    <row r="21" spans="1:29" s="369" customFormat="1" ht="15.75" customHeight="1" x14ac:dyDescent="0.25">
      <c r="A21" s="362" t="s">
        <v>6</v>
      </c>
      <c r="B21" s="255">
        <v>3</v>
      </c>
      <c r="C21" s="718" t="s">
        <v>282</v>
      </c>
      <c r="D21" s="718"/>
      <c r="E21" s="718"/>
      <c r="F21" s="718"/>
      <c r="G21" s="283" t="s">
        <v>26</v>
      </c>
      <c r="H21" s="203" t="s">
        <v>21</v>
      </c>
      <c r="I21" s="254">
        <f t="shared" ref="I21:I31" si="5">$D$11*B21</f>
        <v>0</v>
      </c>
      <c r="J21" s="254"/>
      <c r="K21" s="252">
        <f t="shared" si="3"/>
        <v>0</v>
      </c>
      <c r="L21" s="370">
        <f t="shared" si="4"/>
        <v>0</v>
      </c>
      <c r="M21" s="402"/>
      <c r="N21" s="256"/>
      <c r="O21" s="282"/>
      <c r="P21" s="371"/>
      <c r="Q21" s="365"/>
      <c r="R21" s="370">
        <f t="shared" si="0"/>
        <v>0</v>
      </c>
      <c r="S21" s="365"/>
      <c r="T21" s="370">
        <f t="shared" si="1"/>
        <v>0</v>
      </c>
      <c r="U21" s="366"/>
      <c r="V21" s="253">
        <f t="shared" si="2"/>
        <v>0</v>
      </c>
      <c r="W21" s="374"/>
      <c r="X21" s="375"/>
      <c r="Y21" s="201"/>
      <c r="Z21" s="201"/>
      <c r="AA21" s="201"/>
      <c r="AB21" s="201"/>
      <c r="AC21" s="201"/>
    </row>
    <row r="22" spans="1:29" s="369" customFormat="1" ht="15.75" customHeight="1" x14ac:dyDescent="0.25">
      <c r="A22" s="362" t="s">
        <v>6</v>
      </c>
      <c r="B22" s="378">
        <v>0.75</v>
      </c>
      <c r="C22" s="709" t="s">
        <v>293</v>
      </c>
      <c r="D22" s="710"/>
      <c r="E22" s="710"/>
      <c r="F22" s="711"/>
      <c r="G22" s="283" t="s">
        <v>26</v>
      </c>
      <c r="H22" s="203" t="s">
        <v>48</v>
      </c>
      <c r="I22" s="254">
        <f t="shared" si="5"/>
        <v>0</v>
      </c>
      <c r="J22" s="254"/>
      <c r="K22" s="252">
        <f t="shared" si="3"/>
        <v>0</v>
      </c>
      <c r="L22" s="370">
        <f t="shared" si="4"/>
        <v>0</v>
      </c>
      <c r="M22" s="402"/>
      <c r="N22" s="256"/>
      <c r="O22" s="282"/>
      <c r="P22" s="371"/>
      <c r="Q22" s="365"/>
      <c r="R22" s="370">
        <f t="shared" si="0"/>
        <v>0</v>
      </c>
      <c r="S22" s="365"/>
      <c r="T22" s="370">
        <f t="shared" si="1"/>
        <v>0</v>
      </c>
      <c r="U22" s="366"/>
      <c r="V22" s="253">
        <f t="shared" si="2"/>
        <v>0</v>
      </c>
      <c r="W22" s="374"/>
      <c r="X22" s="375"/>
      <c r="Y22" s="201"/>
      <c r="Z22" s="201"/>
      <c r="AA22" s="201"/>
      <c r="AB22" s="201"/>
      <c r="AC22" s="201"/>
    </row>
    <row r="23" spans="1:29" s="369" customFormat="1" ht="15.75" customHeight="1" x14ac:dyDescent="0.25">
      <c r="A23" s="362" t="s">
        <v>6</v>
      </c>
      <c r="B23" s="378">
        <v>0.25</v>
      </c>
      <c r="C23" s="709" t="s">
        <v>292</v>
      </c>
      <c r="D23" s="710"/>
      <c r="E23" s="710"/>
      <c r="F23" s="711"/>
      <c r="G23" s="283" t="s">
        <v>25</v>
      </c>
      <c r="H23" s="203" t="s">
        <v>48</v>
      </c>
      <c r="I23" s="254">
        <f t="shared" si="5"/>
        <v>0</v>
      </c>
      <c r="J23" s="254"/>
      <c r="K23" s="252">
        <f t="shared" si="3"/>
        <v>0</v>
      </c>
      <c r="L23" s="370">
        <f t="shared" si="4"/>
        <v>0</v>
      </c>
      <c r="M23" s="402"/>
      <c r="N23" s="256"/>
      <c r="O23" s="282"/>
      <c r="P23" s="371"/>
      <c r="Q23" s="365"/>
      <c r="R23" s="370">
        <f t="shared" si="0"/>
        <v>0</v>
      </c>
      <c r="S23" s="365"/>
      <c r="T23" s="370">
        <f t="shared" si="1"/>
        <v>0</v>
      </c>
      <c r="U23" s="366"/>
      <c r="V23" s="253">
        <f t="shared" si="2"/>
        <v>0</v>
      </c>
      <c r="W23" s="374"/>
      <c r="X23" s="375"/>
      <c r="Y23" s="201"/>
      <c r="Z23" s="201"/>
      <c r="AA23" s="201"/>
      <c r="AB23" s="201"/>
      <c r="AC23" s="201"/>
    </row>
    <row r="24" spans="1:29" s="369" customFormat="1" ht="15.75" customHeight="1" x14ac:dyDescent="0.25">
      <c r="A24" s="362" t="s">
        <v>6</v>
      </c>
      <c r="B24" s="255">
        <v>4</v>
      </c>
      <c r="C24" s="709" t="s">
        <v>263</v>
      </c>
      <c r="D24" s="710"/>
      <c r="E24" s="710"/>
      <c r="F24" s="711"/>
      <c r="G24" s="283" t="s">
        <v>25</v>
      </c>
      <c r="H24" s="203" t="s">
        <v>60</v>
      </c>
      <c r="I24" s="254">
        <f t="shared" si="5"/>
        <v>0</v>
      </c>
      <c r="J24" s="254"/>
      <c r="K24" s="252">
        <f t="shared" si="3"/>
        <v>0</v>
      </c>
      <c r="L24" s="370">
        <f t="shared" si="4"/>
        <v>0</v>
      </c>
      <c r="M24" s="402"/>
      <c r="N24" s="256"/>
      <c r="O24" s="282"/>
      <c r="P24" s="371"/>
      <c r="Q24" s="365"/>
      <c r="R24" s="370">
        <f t="shared" si="0"/>
        <v>0</v>
      </c>
      <c r="S24" s="365"/>
      <c r="T24" s="370">
        <f t="shared" si="1"/>
        <v>0</v>
      </c>
      <c r="U24" s="366"/>
      <c r="V24" s="253">
        <f t="shared" si="2"/>
        <v>0</v>
      </c>
      <c r="W24" s="374"/>
      <c r="X24" s="379"/>
      <c r="Y24" s="201"/>
      <c r="Z24" s="201"/>
      <c r="AA24" s="201"/>
      <c r="AB24" s="201"/>
      <c r="AC24" s="201"/>
    </row>
    <row r="25" spans="1:29" s="369" customFormat="1" ht="15.75" customHeight="1" x14ac:dyDescent="0.25">
      <c r="A25" s="362" t="s">
        <v>6</v>
      </c>
      <c r="B25" s="257"/>
      <c r="C25" s="718" t="s">
        <v>174</v>
      </c>
      <c r="D25" s="718"/>
      <c r="E25" s="719" t="str">
        <f>IF(SUM(B25:B29)=M11,"GC 76000 PA ($" &amp;M11 &amp; " for every 10) breakdown per local board of supervisor resolution (BOS).","ERROR! GC 76000 PA total is not $" &amp;M11&amp; ". Check Court's board resolution.")</f>
        <v>ERROR! GC 76000 PA total is not $5. Check Court's board resolution.</v>
      </c>
      <c r="F25" s="720"/>
      <c r="G25" s="283" t="s">
        <v>26</v>
      </c>
      <c r="H25" s="203" t="s">
        <v>56</v>
      </c>
      <c r="I25" s="254">
        <f t="shared" si="5"/>
        <v>0</v>
      </c>
      <c r="J25" s="254">
        <f>IF(B25&gt;0,1,)</f>
        <v>0</v>
      </c>
      <c r="K25" s="252">
        <f t="shared" si="3"/>
        <v>0</v>
      </c>
      <c r="L25" s="370">
        <f t="shared" si="4"/>
        <v>0</v>
      </c>
      <c r="M25" s="402"/>
      <c r="N25" s="256"/>
      <c r="O25" s="282"/>
      <c r="P25" s="371"/>
      <c r="Q25" s="365"/>
      <c r="R25" s="370">
        <f>IF($R$46=0,,L25)</f>
        <v>0</v>
      </c>
      <c r="S25" s="365"/>
      <c r="T25" s="370">
        <f>IF($T$46=0,,L25*$T$15)</f>
        <v>0</v>
      </c>
      <c r="U25" s="366"/>
      <c r="V25" s="253">
        <f t="shared" si="2"/>
        <v>0</v>
      </c>
      <c r="W25" s="374"/>
      <c r="X25" s="375"/>
      <c r="Y25" s="201"/>
      <c r="Z25" s="201"/>
      <c r="AA25" s="201"/>
      <c r="AB25" s="201"/>
      <c r="AC25" s="201"/>
    </row>
    <row r="26" spans="1:29" s="369" customFormat="1" ht="15.75" customHeight="1" x14ac:dyDescent="0.25">
      <c r="A26" s="362" t="s">
        <v>6</v>
      </c>
      <c r="B26" s="257"/>
      <c r="C26" s="718" t="s">
        <v>175</v>
      </c>
      <c r="D26" s="718"/>
      <c r="E26" s="721"/>
      <c r="F26" s="722"/>
      <c r="G26" s="283" t="s">
        <v>26</v>
      </c>
      <c r="H26" s="203" t="s">
        <v>28</v>
      </c>
      <c r="I26" s="254">
        <f t="shared" si="5"/>
        <v>0</v>
      </c>
      <c r="J26" s="254">
        <f>IF(B26&gt;0,1,)</f>
        <v>0</v>
      </c>
      <c r="K26" s="252">
        <f t="shared" si="3"/>
        <v>0</v>
      </c>
      <c r="L26" s="370">
        <f t="shared" si="4"/>
        <v>0</v>
      </c>
      <c r="M26" s="402"/>
      <c r="N26" s="256"/>
      <c r="O26" s="282"/>
      <c r="P26" s="371"/>
      <c r="Q26" s="365"/>
      <c r="R26" s="370">
        <f>IF($R$46=0,,L26)</f>
        <v>0</v>
      </c>
      <c r="S26" s="365"/>
      <c r="T26" s="370">
        <f>IF($T$46=0,,L26*$T$15)</f>
        <v>0</v>
      </c>
      <c r="U26" s="366"/>
      <c r="V26" s="253">
        <f t="shared" si="2"/>
        <v>0</v>
      </c>
      <c r="W26" s="374"/>
      <c r="X26" s="375"/>
      <c r="Y26" s="201"/>
      <c r="Z26" s="201"/>
      <c r="AA26" s="201"/>
      <c r="AB26" s="201"/>
      <c r="AC26" s="201"/>
    </row>
    <row r="27" spans="1:29" s="369" customFormat="1" ht="15.75" customHeight="1" x14ac:dyDescent="0.25">
      <c r="A27" s="362" t="s">
        <v>6</v>
      </c>
      <c r="B27" s="257"/>
      <c r="C27" s="718" t="s">
        <v>176</v>
      </c>
      <c r="D27" s="718"/>
      <c r="E27" s="721"/>
      <c r="F27" s="722"/>
      <c r="G27" s="283" t="s">
        <v>26</v>
      </c>
      <c r="H27" s="203" t="s">
        <v>57</v>
      </c>
      <c r="I27" s="254">
        <f t="shared" si="5"/>
        <v>0</v>
      </c>
      <c r="J27" s="254">
        <f>IF(B27&gt;0,$D$11*2,)</f>
        <v>0</v>
      </c>
      <c r="K27" s="252">
        <f t="shared" si="3"/>
        <v>0</v>
      </c>
      <c r="L27" s="370">
        <f t="shared" si="4"/>
        <v>0</v>
      </c>
      <c r="M27" s="402"/>
      <c r="N27" s="256"/>
      <c r="O27" s="282"/>
      <c r="P27" s="371"/>
      <c r="Q27" s="365"/>
      <c r="R27" s="370">
        <f>IF($R$46=0,,$R$15*L27)</f>
        <v>0</v>
      </c>
      <c r="S27" s="365"/>
      <c r="T27" s="370">
        <f>IF($T$46=0,,$T$15*L27)</f>
        <v>0</v>
      </c>
      <c r="U27" s="366"/>
      <c r="V27" s="253">
        <f t="shared" si="2"/>
        <v>0</v>
      </c>
      <c r="W27" s="374"/>
      <c r="X27" s="375"/>
      <c r="Y27" s="201"/>
      <c r="Z27" s="201"/>
      <c r="AA27" s="201"/>
      <c r="AB27" s="201"/>
      <c r="AC27" s="201"/>
    </row>
    <row r="28" spans="1:29" s="369" customFormat="1" ht="15.75" customHeight="1" x14ac:dyDescent="0.25">
      <c r="A28" s="362" t="s">
        <v>6</v>
      </c>
      <c r="B28" s="257"/>
      <c r="C28" s="718" t="s">
        <v>252</v>
      </c>
      <c r="D28" s="718"/>
      <c r="E28" s="721"/>
      <c r="F28" s="722"/>
      <c r="G28" s="283" t="s">
        <v>26</v>
      </c>
      <c r="H28" s="203" t="s">
        <v>57</v>
      </c>
      <c r="I28" s="254">
        <f>$D$11*B28</f>
        <v>0</v>
      </c>
      <c r="J28" s="254"/>
      <c r="K28" s="252">
        <f>IF(A28="Y",J28* 2%,0)</f>
        <v>0</v>
      </c>
      <c r="L28" s="370">
        <f>J28-K28</f>
        <v>0</v>
      </c>
      <c r="M28" s="402"/>
      <c r="N28" s="256"/>
      <c r="O28" s="282"/>
      <c r="P28" s="371"/>
      <c r="Q28" s="365"/>
      <c r="R28" s="370">
        <f>IF($R$46=0,,$R$15*L28)</f>
        <v>0</v>
      </c>
      <c r="S28" s="365"/>
      <c r="T28" s="370">
        <f>IF($T$46=0,,$T$15*L28)</f>
        <v>0</v>
      </c>
      <c r="U28" s="366"/>
      <c r="V28" s="253">
        <f t="shared" si="2"/>
        <v>0</v>
      </c>
      <c r="W28" s="374"/>
      <c r="X28" s="375"/>
      <c r="Y28" s="201"/>
      <c r="Z28" s="201"/>
      <c r="AA28" s="201"/>
      <c r="AB28" s="201"/>
      <c r="AC28" s="201"/>
    </row>
    <row r="29" spans="1:29" s="369" customFormat="1" ht="15.75" customHeight="1" x14ac:dyDescent="0.25">
      <c r="A29" s="362" t="s">
        <v>6</v>
      </c>
      <c r="B29" s="257"/>
      <c r="C29" s="718" t="s">
        <v>211</v>
      </c>
      <c r="D29" s="718"/>
      <c r="E29" s="723"/>
      <c r="F29" s="724"/>
      <c r="G29" s="283" t="s">
        <v>26</v>
      </c>
      <c r="H29" s="203"/>
      <c r="I29" s="254">
        <f t="shared" si="5"/>
        <v>0</v>
      </c>
      <c r="J29" s="254"/>
      <c r="K29" s="252">
        <f t="shared" si="3"/>
        <v>0</v>
      </c>
      <c r="L29" s="370">
        <f t="shared" si="4"/>
        <v>0</v>
      </c>
      <c r="M29" s="402"/>
      <c r="N29" s="256"/>
      <c r="O29" s="282"/>
      <c r="P29" s="371"/>
      <c r="Q29" s="365"/>
      <c r="R29" s="370">
        <f>IF($R$46=0,,$R$15*L29)</f>
        <v>0</v>
      </c>
      <c r="S29" s="365"/>
      <c r="T29" s="370">
        <f>IF($T$46=0,,$T$15*L29)</f>
        <v>0</v>
      </c>
      <c r="U29" s="366"/>
      <c r="V29" s="253">
        <f t="shared" si="2"/>
        <v>0</v>
      </c>
      <c r="W29" s="374"/>
      <c r="X29" s="375"/>
      <c r="Y29" s="201"/>
      <c r="Z29" s="201"/>
      <c r="AA29" s="201"/>
      <c r="AB29" s="201"/>
      <c r="AC29" s="201"/>
    </row>
    <row r="30" spans="1:29" s="369" customFormat="1" ht="15.75" customHeight="1" x14ac:dyDescent="0.25">
      <c r="A30" s="362" t="s">
        <v>6</v>
      </c>
      <c r="B30" s="257"/>
      <c r="C30" s="709" t="s">
        <v>234</v>
      </c>
      <c r="D30" s="710"/>
      <c r="E30" s="710"/>
      <c r="F30" s="711"/>
      <c r="G30" s="283" t="s">
        <v>26</v>
      </c>
      <c r="H30" s="203" t="s">
        <v>29</v>
      </c>
      <c r="I30" s="254">
        <f t="shared" si="5"/>
        <v>0</v>
      </c>
      <c r="J30" s="254">
        <f>IF(B30&gt;0,$D$11*2,)</f>
        <v>0</v>
      </c>
      <c r="K30" s="252">
        <f t="shared" si="3"/>
        <v>0</v>
      </c>
      <c r="L30" s="370">
        <f t="shared" si="4"/>
        <v>0</v>
      </c>
      <c r="M30" s="402"/>
      <c r="N30" s="256"/>
      <c r="O30" s="282"/>
      <c r="P30" s="371"/>
      <c r="Q30" s="365"/>
      <c r="R30" s="370">
        <f>IF($R$46=0,,$R$15*L30)</f>
        <v>0</v>
      </c>
      <c r="S30" s="365"/>
      <c r="T30" s="370">
        <f>IF($T$46=0,,$T$15*L30)</f>
        <v>0</v>
      </c>
      <c r="U30" s="366"/>
      <c r="V30" s="253">
        <f t="shared" si="2"/>
        <v>0</v>
      </c>
      <c r="W30" s="374"/>
      <c r="X30" s="375"/>
      <c r="Y30" s="201"/>
      <c r="Z30" s="201"/>
      <c r="AA30" s="201"/>
      <c r="AB30" s="201"/>
      <c r="AC30" s="201"/>
    </row>
    <row r="31" spans="1:29" s="369" customFormat="1" ht="15.75" customHeight="1" x14ac:dyDescent="0.25">
      <c r="A31" s="362" t="s">
        <v>6</v>
      </c>
      <c r="B31" s="380">
        <v>5</v>
      </c>
      <c r="C31" s="712" t="s">
        <v>294</v>
      </c>
      <c r="D31" s="713"/>
      <c r="E31" s="713"/>
      <c r="F31" s="714"/>
      <c r="G31" s="283" t="s">
        <v>25</v>
      </c>
      <c r="H31" s="203" t="s">
        <v>30</v>
      </c>
      <c r="I31" s="254">
        <f t="shared" si="5"/>
        <v>0</v>
      </c>
      <c r="J31" s="254">
        <f>I31</f>
        <v>0</v>
      </c>
      <c r="K31" s="252">
        <f t="shared" si="3"/>
        <v>0</v>
      </c>
      <c r="L31" s="370">
        <f t="shared" si="4"/>
        <v>0</v>
      </c>
      <c r="M31" s="402"/>
      <c r="N31" s="256"/>
      <c r="O31" s="282"/>
      <c r="P31" s="371"/>
      <c r="Q31" s="365"/>
      <c r="R31" s="370">
        <f>IF($R$46=0,,$R$15*L31)</f>
        <v>0</v>
      </c>
      <c r="S31" s="365"/>
      <c r="T31" s="370">
        <f>IF($T$46=0,,$T$15*L31)</f>
        <v>0</v>
      </c>
      <c r="U31" s="366"/>
      <c r="V31" s="253">
        <f t="shared" si="2"/>
        <v>0</v>
      </c>
      <c r="W31" s="372"/>
      <c r="X31" s="375"/>
      <c r="Y31" s="201"/>
      <c r="Z31" s="201"/>
      <c r="AA31" s="201"/>
      <c r="AB31" s="201"/>
      <c r="AC31" s="201"/>
    </row>
    <row r="32" spans="1:29" s="386" customFormat="1" ht="15.75" customHeight="1" x14ac:dyDescent="0.25">
      <c r="A32" s="362"/>
      <c r="B32" s="260"/>
      <c r="C32" s="715" t="s">
        <v>178</v>
      </c>
      <c r="D32" s="716"/>
      <c r="E32" s="716"/>
      <c r="F32" s="717"/>
      <c r="G32" s="261"/>
      <c r="H32" s="262"/>
      <c r="I32" s="263">
        <f>SUM(I18:I31)</f>
        <v>0</v>
      </c>
      <c r="J32" s="263">
        <f>SUM(J17:J31)</f>
        <v>0</v>
      </c>
      <c r="K32" s="252"/>
      <c r="L32" s="381">
        <f>SUM(L17:L31)</f>
        <v>0</v>
      </c>
      <c r="M32" s="402"/>
      <c r="N32" s="264"/>
      <c r="O32" s="282"/>
      <c r="P32" s="382">
        <f>SUM(P17:P31)</f>
        <v>0</v>
      </c>
      <c r="Q32" s="383"/>
      <c r="R32" s="381">
        <f>IF($R$46=0,,R46-SUM(R33:R42))</f>
        <v>0</v>
      </c>
      <c r="S32" s="383"/>
      <c r="T32" s="381">
        <f>IF($T$46=0,,T46-SUM(T33:T42))</f>
        <v>0</v>
      </c>
      <c r="U32" s="366"/>
      <c r="V32" s="253">
        <f t="shared" si="2"/>
        <v>0</v>
      </c>
      <c r="W32" s="374"/>
      <c r="X32" s="384"/>
      <c r="Y32" s="385"/>
      <c r="Z32" s="385"/>
      <c r="AA32" s="385"/>
      <c r="AB32" s="385"/>
      <c r="AC32" s="385"/>
    </row>
    <row r="33" spans="1:29" s="369" customFormat="1" ht="15.75" customHeight="1" x14ac:dyDescent="0.25">
      <c r="A33" s="362" t="s">
        <v>6</v>
      </c>
      <c r="B33" s="380"/>
      <c r="C33" s="709" t="s">
        <v>177</v>
      </c>
      <c r="D33" s="710"/>
      <c r="E33" s="710"/>
      <c r="F33" s="711"/>
      <c r="G33" s="283" t="s">
        <v>25</v>
      </c>
      <c r="H33" s="203" t="s">
        <v>29</v>
      </c>
      <c r="I33" s="254">
        <f>$D$10*20%</f>
        <v>0</v>
      </c>
      <c r="J33" s="254">
        <f>I33</f>
        <v>0</v>
      </c>
      <c r="K33" s="252">
        <f t="shared" ref="K33" si="6">IF(A33="Y",J33* 2%,0)</f>
        <v>0</v>
      </c>
      <c r="L33" s="370">
        <f t="shared" ref="L33" si="7">J33-K33</f>
        <v>0</v>
      </c>
      <c r="M33" s="402"/>
      <c r="N33" s="256"/>
      <c r="O33" s="282"/>
      <c r="P33" s="371"/>
      <c r="Q33" s="365"/>
      <c r="R33" s="370">
        <f>IF($R$46=0,,$R$15*L33)</f>
        <v>0</v>
      </c>
      <c r="S33" s="365"/>
      <c r="T33" s="370">
        <f>IF($T$46=0,,$T$15*L33)</f>
        <v>0</v>
      </c>
      <c r="U33" s="366"/>
      <c r="V33" s="253">
        <f t="shared" si="2"/>
        <v>0</v>
      </c>
      <c r="W33" s="374"/>
      <c r="X33" s="375"/>
      <c r="Y33" s="201"/>
      <c r="Z33" s="201"/>
      <c r="AA33" s="201"/>
      <c r="AB33" s="201"/>
      <c r="AC33" s="201"/>
    </row>
    <row r="34" spans="1:29" s="369" customFormat="1" ht="15" customHeight="1" x14ac:dyDescent="0.25">
      <c r="A34" s="362" t="s">
        <v>6</v>
      </c>
      <c r="B34" s="255"/>
      <c r="C34" s="709" t="s">
        <v>253</v>
      </c>
      <c r="D34" s="710"/>
      <c r="E34" s="710"/>
      <c r="F34" s="711"/>
      <c r="G34" s="283" t="s">
        <v>25</v>
      </c>
      <c r="H34" s="81" t="s">
        <v>32</v>
      </c>
      <c r="I34" s="387"/>
      <c r="J34" s="254">
        <f>I34</f>
        <v>0</v>
      </c>
      <c r="K34" s="252">
        <f>IF(A34="Y", J34* 2%,0)</f>
        <v>0</v>
      </c>
      <c r="L34" s="370">
        <f>J34-K34</f>
        <v>0</v>
      </c>
      <c r="M34" s="402"/>
      <c r="N34" s="256"/>
      <c r="O34" s="282"/>
      <c r="P34" s="371"/>
      <c r="Q34" s="365"/>
      <c r="R34" s="370">
        <f>IF($R$46=0,,J34)</f>
        <v>0</v>
      </c>
      <c r="S34" s="365"/>
      <c r="T34" s="370">
        <f t="shared" ref="T34:T42" si="8">IF($T$46=0,,J34*$T$15)</f>
        <v>0</v>
      </c>
      <c r="U34" s="366"/>
      <c r="V34" s="253">
        <f t="shared" si="2"/>
        <v>0</v>
      </c>
      <c r="W34" s="374"/>
      <c r="X34" s="375"/>
      <c r="Y34" s="201"/>
      <c r="Z34" s="201"/>
      <c r="AA34" s="201"/>
      <c r="AB34" s="201"/>
      <c r="AC34" s="201"/>
    </row>
    <row r="35" spans="1:29" s="369" customFormat="1" ht="15.75" customHeight="1" x14ac:dyDescent="0.25">
      <c r="A35" s="362" t="s">
        <v>6</v>
      </c>
      <c r="B35" s="255"/>
      <c r="C35" s="706" t="s">
        <v>216</v>
      </c>
      <c r="D35" s="707"/>
      <c r="E35" s="707"/>
      <c r="F35" s="708"/>
      <c r="G35" s="265" t="s">
        <v>25</v>
      </c>
      <c r="H35" s="266" t="s">
        <v>158</v>
      </c>
      <c r="I35" s="387"/>
      <c r="J35" s="254">
        <f t="shared" ref="J35:J42" si="9">I35</f>
        <v>0</v>
      </c>
      <c r="K35" s="252">
        <f t="shared" ref="K35:K42" si="10">IF(A35="Y", J35* 2%,0)</f>
        <v>0</v>
      </c>
      <c r="L35" s="370">
        <f t="shared" ref="L35:L43" si="11">J35-K35</f>
        <v>0</v>
      </c>
      <c r="M35" s="402"/>
      <c r="N35" s="256"/>
      <c r="O35" s="282"/>
      <c r="P35" s="371"/>
      <c r="Q35" s="365"/>
      <c r="R35" s="370">
        <f t="shared" ref="R35:R42" si="12">IF($R$46=0,,J35)</f>
        <v>0</v>
      </c>
      <c r="S35" s="365"/>
      <c r="T35" s="370">
        <f t="shared" si="8"/>
        <v>0</v>
      </c>
      <c r="U35" s="366"/>
      <c r="V35" s="253">
        <f t="shared" si="2"/>
        <v>0</v>
      </c>
      <c r="W35" s="374"/>
      <c r="X35" s="375"/>
      <c r="Y35" s="201"/>
      <c r="Z35" s="201"/>
      <c r="AA35" s="201"/>
      <c r="AB35" s="201"/>
      <c r="AC35" s="201"/>
    </row>
    <row r="36" spans="1:29" s="369" customFormat="1" ht="15.5" x14ac:dyDescent="0.25">
      <c r="A36" s="362" t="s">
        <v>6</v>
      </c>
      <c r="B36" s="255"/>
      <c r="C36" s="706" t="s">
        <v>320</v>
      </c>
      <c r="D36" s="707"/>
      <c r="E36" s="707"/>
      <c r="F36" s="708"/>
      <c r="G36" s="265" t="s">
        <v>26</v>
      </c>
      <c r="H36" s="266"/>
      <c r="I36" s="387"/>
      <c r="J36" s="254">
        <f t="shared" si="9"/>
        <v>0</v>
      </c>
      <c r="K36" s="252">
        <f t="shared" si="10"/>
        <v>0</v>
      </c>
      <c r="L36" s="370">
        <f t="shared" si="11"/>
        <v>0</v>
      </c>
      <c r="M36" s="402"/>
      <c r="N36" s="256"/>
      <c r="O36" s="282"/>
      <c r="P36" s="371"/>
      <c r="Q36" s="365"/>
      <c r="R36" s="370">
        <f t="shared" si="12"/>
        <v>0</v>
      </c>
      <c r="S36" s="365"/>
      <c r="T36" s="370">
        <f t="shared" si="8"/>
        <v>0</v>
      </c>
      <c r="U36" s="366"/>
      <c r="V36" s="253">
        <f t="shared" si="2"/>
        <v>0</v>
      </c>
      <c r="W36" s="367"/>
      <c r="X36" s="375"/>
      <c r="Y36" s="201"/>
      <c r="Z36" s="201"/>
      <c r="AA36" s="201"/>
      <c r="AB36" s="201"/>
      <c r="AC36" s="201"/>
    </row>
    <row r="37" spans="1:29" s="369" customFormat="1" ht="15.5" x14ac:dyDescent="0.25">
      <c r="A37" s="362" t="s">
        <v>6</v>
      </c>
      <c r="B37" s="255"/>
      <c r="C37" s="706" t="s">
        <v>321</v>
      </c>
      <c r="D37" s="707"/>
      <c r="E37" s="707"/>
      <c r="F37" s="708"/>
      <c r="G37" s="265" t="s">
        <v>25</v>
      </c>
      <c r="H37" s="266"/>
      <c r="I37" s="387"/>
      <c r="J37" s="254">
        <f t="shared" si="9"/>
        <v>0</v>
      </c>
      <c r="K37" s="252">
        <f t="shared" si="10"/>
        <v>0</v>
      </c>
      <c r="L37" s="370">
        <f t="shared" si="11"/>
        <v>0</v>
      </c>
      <c r="M37" s="402"/>
      <c r="N37" s="256"/>
      <c r="O37" s="282"/>
      <c r="P37" s="371"/>
      <c r="Q37" s="365"/>
      <c r="R37" s="370">
        <f t="shared" si="12"/>
        <v>0</v>
      </c>
      <c r="S37" s="365"/>
      <c r="T37" s="370">
        <f t="shared" si="8"/>
        <v>0</v>
      </c>
      <c r="U37" s="366"/>
      <c r="V37" s="253">
        <f t="shared" si="2"/>
        <v>0</v>
      </c>
      <c r="W37" s="372"/>
      <c r="X37" s="375"/>
      <c r="Y37" s="201"/>
      <c r="Z37" s="201"/>
      <c r="AA37" s="201"/>
      <c r="AB37" s="201"/>
      <c r="AC37" s="201"/>
    </row>
    <row r="38" spans="1:29" s="369" customFormat="1" ht="15.75" customHeight="1" x14ac:dyDescent="0.25">
      <c r="A38" s="362" t="s">
        <v>6</v>
      </c>
      <c r="B38" s="255"/>
      <c r="C38" s="706" t="s">
        <v>322</v>
      </c>
      <c r="D38" s="707"/>
      <c r="E38" s="707"/>
      <c r="F38" s="708"/>
      <c r="G38" s="265" t="s">
        <v>187</v>
      </c>
      <c r="H38" s="266"/>
      <c r="I38" s="387"/>
      <c r="J38" s="254">
        <f>I38</f>
        <v>0</v>
      </c>
      <c r="K38" s="252">
        <f t="shared" si="10"/>
        <v>0</v>
      </c>
      <c r="L38" s="370">
        <f>J38-K38</f>
        <v>0</v>
      </c>
      <c r="M38" s="402"/>
      <c r="N38" s="256"/>
      <c r="O38" s="282"/>
      <c r="P38" s="371"/>
      <c r="Q38" s="365"/>
      <c r="R38" s="370">
        <f t="shared" si="12"/>
        <v>0</v>
      </c>
      <c r="S38" s="365"/>
      <c r="T38" s="370">
        <f t="shared" si="8"/>
        <v>0</v>
      </c>
      <c r="U38" s="366"/>
      <c r="V38" s="253">
        <f t="shared" si="2"/>
        <v>0</v>
      </c>
      <c r="W38" s="374"/>
      <c r="X38" s="388"/>
      <c r="Y38" s="201"/>
      <c r="Z38" s="201"/>
      <c r="AA38" s="201"/>
      <c r="AB38" s="201"/>
      <c r="AC38" s="201"/>
    </row>
    <row r="39" spans="1:29" s="369" customFormat="1" ht="34.5" customHeight="1" x14ac:dyDescent="0.25">
      <c r="A39" s="362" t="s">
        <v>6</v>
      </c>
      <c r="B39" s="255"/>
      <c r="C39" s="709" t="s">
        <v>323</v>
      </c>
      <c r="D39" s="707"/>
      <c r="E39" s="707"/>
      <c r="F39" s="708"/>
      <c r="G39" s="265" t="s">
        <v>25</v>
      </c>
      <c r="H39" s="266"/>
      <c r="I39" s="387"/>
      <c r="J39" s="254">
        <f t="shared" si="9"/>
        <v>0</v>
      </c>
      <c r="K39" s="252">
        <f t="shared" si="10"/>
        <v>0</v>
      </c>
      <c r="L39" s="370">
        <f t="shared" si="11"/>
        <v>0</v>
      </c>
      <c r="M39" s="402"/>
      <c r="N39" s="256"/>
      <c r="O39" s="282"/>
      <c r="P39" s="371"/>
      <c r="Q39" s="365"/>
      <c r="R39" s="370">
        <f t="shared" si="12"/>
        <v>0</v>
      </c>
      <c r="S39" s="365"/>
      <c r="T39" s="370">
        <f t="shared" si="8"/>
        <v>0</v>
      </c>
      <c r="U39" s="366"/>
      <c r="V39" s="253">
        <f t="shared" si="2"/>
        <v>0</v>
      </c>
      <c r="W39" s="374"/>
      <c r="X39" s="389"/>
      <c r="Y39" s="201"/>
      <c r="Z39" s="201"/>
      <c r="AA39" s="201"/>
      <c r="AB39" s="201"/>
      <c r="AC39" s="201"/>
    </row>
    <row r="40" spans="1:29" s="369" customFormat="1" ht="15.75" customHeight="1" x14ac:dyDescent="0.25">
      <c r="A40" s="362" t="s">
        <v>6</v>
      </c>
      <c r="B40" s="267"/>
      <c r="C40" s="706" t="s">
        <v>189</v>
      </c>
      <c r="D40" s="707"/>
      <c r="E40" s="707"/>
      <c r="F40" s="708"/>
      <c r="G40" s="265" t="s">
        <v>187</v>
      </c>
      <c r="H40" s="266" t="s">
        <v>18</v>
      </c>
      <c r="I40" s="387"/>
      <c r="J40" s="254">
        <f t="shared" si="9"/>
        <v>0</v>
      </c>
      <c r="K40" s="252">
        <f t="shared" si="10"/>
        <v>0</v>
      </c>
      <c r="L40" s="370">
        <f t="shared" si="11"/>
        <v>0</v>
      </c>
      <c r="M40" s="402"/>
      <c r="N40" s="256"/>
      <c r="O40" s="282"/>
      <c r="P40" s="371"/>
      <c r="Q40" s="365"/>
      <c r="R40" s="370">
        <f t="shared" si="12"/>
        <v>0</v>
      </c>
      <c r="S40" s="365"/>
      <c r="T40" s="370">
        <f t="shared" si="8"/>
        <v>0</v>
      </c>
      <c r="U40" s="366"/>
      <c r="V40" s="253">
        <f t="shared" si="2"/>
        <v>0</v>
      </c>
      <c r="W40" s="374"/>
      <c r="X40" s="375"/>
      <c r="Y40" s="201"/>
      <c r="Z40" s="390"/>
      <c r="AA40" s="201"/>
      <c r="AB40" s="201"/>
      <c r="AC40" s="201"/>
    </row>
    <row r="41" spans="1:29" s="369" customFormat="1" ht="15" customHeight="1" x14ac:dyDescent="0.25">
      <c r="A41" s="362" t="s">
        <v>6</v>
      </c>
      <c r="B41" s="267"/>
      <c r="C41" s="709" t="s">
        <v>324</v>
      </c>
      <c r="D41" s="710"/>
      <c r="E41" s="710"/>
      <c r="F41" s="711"/>
      <c r="G41" s="265" t="s">
        <v>187</v>
      </c>
      <c r="H41" s="266" t="s">
        <v>68</v>
      </c>
      <c r="I41" s="387"/>
      <c r="J41" s="254">
        <f t="shared" si="9"/>
        <v>0</v>
      </c>
      <c r="K41" s="252">
        <f t="shared" si="10"/>
        <v>0</v>
      </c>
      <c r="L41" s="370">
        <f t="shared" si="11"/>
        <v>0</v>
      </c>
      <c r="M41" s="402"/>
      <c r="N41" s="256"/>
      <c r="O41" s="282"/>
      <c r="P41" s="371"/>
      <c r="Q41" s="365"/>
      <c r="R41" s="370">
        <f t="shared" si="12"/>
        <v>0</v>
      </c>
      <c r="S41" s="365"/>
      <c r="T41" s="370">
        <f t="shared" si="8"/>
        <v>0</v>
      </c>
      <c r="U41" s="366"/>
      <c r="V41" s="253">
        <f t="shared" si="2"/>
        <v>0</v>
      </c>
      <c r="W41" s="374"/>
      <c r="X41" s="375"/>
      <c r="Y41" s="201"/>
      <c r="Z41" s="201"/>
      <c r="AA41" s="201"/>
      <c r="AB41" s="201"/>
      <c r="AC41" s="201"/>
    </row>
    <row r="42" spans="1:29" s="369" customFormat="1" ht="15.75" customHeight="1" x14ac:dyDescent="0.25">
      <c r="A42" s="362" t="s">
        <v>6</v>
      </c>
      <c r="B42" s="267"/>
      <c r="C42" s="706" t="s">
        <v>182</v>
      </c>
      <c r="D42" s="707"/>
      <c r="E42" s="707"/>
      <c r="F42" s="708"/>
      <c r="G42" s="265" t="s">
        <v>25</v>
      </c>
      <c r="H42" s="266" t="s">
        <v>66</v>
      </c>
      <c r="I42" s="391"/>
      <c r="J42" s="254">
        <f t="shared" si="9"/>
        <v>0</v>
      </c>
      <c r="K42" s="252">
        <f t="shared" si="10"/>
        <v>0</v>
      </c>
      <c r="L42" s="370">
        <f t="shared" si="11"/>
        <v>0</v>
      </c>
      <c r="M42" s="402"/>
      <c r="N42" s="256"/>
      <c r="O42" s="282"/>
      <c r="P42" s="371"/>
      <c r="Q42" s="365"/>
      <c r="R42" s="370">
        <f t="shared" si="12"/>
        <v>0</v>
      </c>
      <c r="S42" s="365"/>
      <c r="T42" s="370">
        <f t="shared" si="8"/>
        <v>0</v>
      </c>
      <c r="U42" s="366"/>
      <c r="V42" s="253">
        <f t="shared" si="2"/>
        <v>0</v>
      </c>
      <c r="W42" s="374"/>
      <c r="X42" s="375"/>
      <c r="Y42" s="201"/>
      <c r="Z42" s="390"/>
      <c r="AA42" s="201"/>
      <c r="AB42" s="201"/>
      <c r="AC42" s="201"/>
    </row>
    <row r="43" spans="1:29" s="369" customFormat="1" ht="19.5" customHeight="1" x14ac:dyDescent="0.25">
      <c r="A43" s="362"/>
      <c r="B43" s="267"/>
      <c r="C43" s="706" t="s">
        <v>181</v>
      </c>
      <c r="D43" s="707"/>
      <c r="E43" s="707"/>
      <c r="F43" s="708"/>
      <c r="G43" s="321" t="s">
        <v>25</v>
      </c>
      <c r="H43" s="268" t="s">
        <v>34</v>
      </c>
      <c r="I43" s="269"/>
      <c r="J43" s="392"/>
      <c r="K43" s="270"/>
      <c r="L43" s="370">
        <f t="shared" si="11"/>
        <v>0</v>
      </c>
      <c r="M43" s="402"/>
      <c r="N43" s="256"/>
      <c r="O43" s="282"/>
      <c r="P43" s="371"/>
      <c r="Q43" s="365"/>
      <c r="R43" s="393"/>
      <c r="S43" s="365"/>
      <c r="T43" s="393"/>
      <c r="U43" s="394"/>
      <c r="V43" s="253">
        <f t="shared" si="2"/>
        <v>0</v>
      </c>
      <c r="W43" s="253"/>
      <c r="X43" s="203"/>
      <c r="Y43" s="201"/>
      <c r="Z43" s="390"/>
      <c r="AA43" s="201"/>
      <c r="AB43" s="201"/>
      <c r="AC43" s="201"/>
    </row>
    <row r="44" spans="1:29" s="201" customFormat="1" ht="15.5" x14ac:dyDescent="0.25">
      <c r="A44" s="395"/>
      <c r="B44" s="204"/>
      <c r="C44" s="204"/>
      <c r="D44" s="204"/>
      <c r="E44" s="205"/>
      <c r="F44" s="205"/>
      <c r="J44" s="272"/>
      <c r="K44" s="272">
        <f>SUM(K18:K43)</f>
        <v>0</v>
      </c>
      <c r="L44" s="396"/>
      <c r="M44" s="402"/>
      <c r="P44" s="397"/>
      <c r="Q44" s="398"/>
      <c r="R44" s="396"/>
      <c r="S44" s="398"/>
      <c r="T44" s="396"/>
      <c r="V44" s="399"/>
      <c r="W44" s="399"/>
      <c r="X44" s="400"/>
    </row>
    <row r="45" spans="1:29" s="201" customFormat="1" ht="15.5" hidden="1" x14ac:dyDescent="0.25">
      <c r="A45" s="401" t="s">
        <v>7</v>
      </c>
      <c r="B45" s="204"/>
      <c r="C45" s="204"/>
      <c r="D45" s="204"/>
      <c r="E45" s="205"/>
      <c r="F45" s="205"/>
      <c r="J45" s="272"/>
      <c r="K45" s="272"/>
      <c r="L45" s="396"/>
      <c r="M45" s="402"/>
      <c r="P45" s="397"/>
      <c r="Q45" s="398"/>
      <c r="R45" s="396"/>
      <c r="S45" s="398"/>
      <c r="T45" s="396"/>
      <c r="V45" s="399"/>
      <c r="W45" s="399"/>
      <c r="X45" s="400"/>
    </row>
    <row r="46" spans="1:29" s="416" customFormat="1" ht="16" thickBot="1" x14ac:dyDescent="0.3">
      <c r="A46" s="401"/>
      <c r="B46" s="402"/>
      <c r="C46" s="402"/>
      <c r="D46" s="402"/>
      <c r="E46" s="403"/>
      <c r="F46" s="404" t="s">
        <v>67</v>
      </c>
      <c r="G46" s="405"/>
      <c r="H46" s="406" t="s">
        <v>1</v>
      </c>
      <c r="I46" s="322">
        <f>SUM(I32:I44)</f>
        <v>0</v>
      </c>
      <c r="J46" s="322">
        <f>SUM(J32:J43)</f>
        <v>0</v>
      </c>
      <c r="K46" s="407"/>
      <c r="L46" s="408">
        <f>SUM(L32:L44)</f>
        <v>0</v>
      </c>
      <c r="M46" s="402"/>
      <c r="N46" s="409"/>
      <c r="O46" s="402" t="s">
        <v>1</v>
      </c>
      <c r="P46" s="410">
        <f>SUM(P32:P44)</f>
        <v>0</v>
      </c>
      <c r="Q46" s="409"/>
      <c r="R46" s="411">
        <v>0</v>
      </c>
      <c r="S46" s="409"/>
      <c r="T46" s="411">
        <v>0</v>
      </c>
      <c r="U46" s="412"/>
      <c r="V46" s="413">
        <f>SUM(V32:V44)</f>
        <v>0</v>
      </c>
      <c r="W46" s="414"/>
      <c r="X46" s="415"/>
    </row>
    <row r="47" spans="1:29" s="416" customFormat="1" ht="16" thickTop="1" x14ac:dyDescent="0.25">
      <c r="A47" s="401"/>
      <c r="B47" s="402"/>
      <c r="C47" s="402"/>
      <c r="D47" s="402"/>
      <c r="E47" s="403"/>
      <c r="F47" s="404"/>
      <c r="G47" s="405"/>
      <c r="H47" s="406"/>
      <c r="I47" s="407"/>
      <c r="J47" s="407"/>
      <c r="K47" s="407"/>
      <c r="L47" s="407"/>
      <c r="M47" s="407"/>
      <c r="N47" s="409"/>
      <c r="O47" s="402"/>
      <c r="P47" s="407"/>
      <c r="Q47" s="409"/>
      <c r="R47" s="460"/>
      <c r="S47" s="460"/>
      <c r="T47" s="460"/>
      <c r="U47" s="460"/>
      <c r="V47" s="409"/>
      <c r="W47" s="414"/>
      <c r="X47" s="414"/>
      <c r="Y47" s="415"/>
    </row>
  </sheetData>
  <sheetProtection insertRows="0"/>
  <mergeCells count="89">
    <mergeCell ref="O8:T9"/>
    <mergeCell ref="K4:L4"/>
    <mergeCell ref="K5:L5"/>
    <mergeCell ref="K6:L6"/>
    <mergeCell ref="K7:L7"/>
    <mergeCell ref="K8:L8"/>
    <mergeCell ref="K9:L9"/>
    <mergeCell ref="A5:C5"/>
    <mergeCell ref="D5:E5"/>
    <mergeCell ref="F5:G5"/>
    <mergeCell ref="I5:J5"/>
    <mergeCell ref="O5:T5"/>
    <mergeCell ref="A1:J1"/>
    <mergeCell ref="L1:T1"/>
    <mergeCell ref="O3:T3"/>
    <mergeCell ref="A4:C4"/>
    <mergeCell ref="D4:E4"/>
    <mergeCell ref="F4:G4"/>
    <mergeCell ref="I4:J4"/>
    <mergeCell ref="O4:T4"/>
    <mergeCell ref="A3:M3"/>
    <mergeCell ref="A7:C7"/>
    <mergeCell ref="D7:E7"/>
    <mergeCell ref="F7:G7"/>
    <mergeCell ref="I7:J7"/>
    <mergeCell ref="O7:T7"/>
    <mergeCell ref="A6:C6"/>
    <mergeCell ref="D6:E6"/>
    <mergeCell ref="F6:G6"/>
    <mergeCell ref="I6:J6"/>
    <mergeCell ref="O6:T6"/>
    <mergeCell ref="A8:C8"/>
    <mergeCell ref="D8:E8"/>
    <mergeCell ref="F8:G8"/>
    <mergeCell ref="I8:J8"/>
    <mergeCell ref="A9:C9"/>
    <mergeCell ref="D9:E9"/>
    <mergeCell ref="F9:G9"/>
    <mergeCell ref="I9:J9"/>
    <mergeCell ref="O10:T10"/>
    <mergeCell ref="A11:C11"/>
    <mergeCell ref="D11:E11"/>
    <mergeCell ref="F11:G11"/>
    <mergeCell ref="I11:J11"/>
    <mergeCell ref="O11:T11"/>
    <mergeCell ref="A10:C10"/>
    <mergeCell ref="D10:E10"/>
    <mergeCell ref="F10:G10"/>
    <mergeCell ref="I10:J10"/>
    <mergeCell ref="K10:L10"/>
    <mergeCell ref="K11:L11"/>
    <mergeCell ref="W14:W16"/>
    <mergeCell ref="X14:X16"/>
    <mergeCell ref="V15:V16"/>
    <mergeCell ref="C17:F17"/>
    <mergeCell ref="K13:L13"/>
    <mergeCell ref="O13:P13"/>
    <mergeCell ref="C14:F15"/>
    <mergeCell ref="I14:I15"/>
    <mergeCell ref="K14:K15"/>
    <mergeCell ref="L14:L15"/>
    <mergeCell ref="C21:F21"/>
    <mergeCell ref="C22:F22"/>
    <mergeCell ref="C23:F23"/>
    <mergeCell ref="B18:B19"/>
    <mergeCell ref="C18:F18"/>
    <mergeCell ref="C19:F19"/>
    <mergeCell ref="C20:F20"/>
    <mergeCell ref="C24:F24"/>
    <mergeCell ref="C25:D25"/>
    <mergeCell ref="E25:F29"/>
    <mergeCell ref="C26:D26"/>
    <mergeCell ref="C27:D27"/>
    <mergeCell ref="C28:D28"/>
    <mergeCell ref="C31:F31"/>
    <mergeCell ref="C32:F32"/>
    <mergeCell ref="C33:F33"/>
    <mergeCell ref="C29:D29"/>
    <mergeCell ref="C30:F30"/>
    <mergeCell ref="C42:F42"/>
    <mergeCell ref="C43:F43"/>
    <mergeCell ref="C34:F34"/>
    <mergeCell ref="C35:F35"/>
    <mergeCell ref="C36:F36"/>
    <mergeCell ref="C37:F37"/>
    <mergeCell ref="C38:F38"/>
    <mergeCell ref="C39:F39"/>
    <mergeCell ref="C40:F40"/>
    <mergeCell ref="C41:F41"/>
  </mergeCells>
  <conditionalFormatting sqref="E25">
    <cfRule type="cellIs" dxfId="32" priority="11" operator="notEqual">
      <formula>"GC 76000 PA ($" &amp;M11 &amp;" for every 10) breakdown per local board of supervisor resolution (BOS)."</formula>
    </cfRule>
  </conditionalFormatting>
  <conditionalFormatting sqref="H25:H30">
    <cfRule type="expression" dxfId="31" priority="15" stopIfTrue="1">
      <formula>MOD(ROW(), 2)=0</formula>
    </cfRule>
  </conditionalFormatting>
  <conditionalFormatting sqref="H30 H17:H24">
    <cfRule type="expression" dxfId="30" priority="17" stopIfTrue="1">
      <formula>MOD(ROW(),2)=0</formula>
    </cfRule>
  </conditionalFormatting>
  <conditionalFormatting sqref="H31:H33">
    <cfRule type="expression" dxfId="29" priority="7" stopIfTrue="1">
      <formula>MOD(ROW(),2)=0</formula>
    </cfRule>
  </conditionalFormatting>
  <conditionalFormatting sqref="H33">
    <cfRule type="expression" dxfId="28" priority="6" stopIfTrue="1">
      <formula>MOD(ROW(), 2)=0</formula>
    </cfRule>
  </conditionalFormatting>
  <conditionalFormatting sqref="I23:L33">
    <cfRule type="cellIs" dxfId="27" priority="8" stopIfTrue="1" operator="equal">
      <formula>0</formula>
    </cfRule>
  </conditionalFormatting>
  <conditionalFormatting sqref="O17:P42">
    <cfRule type="expression" dxfId="26" priority="13">
      <formula>MOD(ROW(),2)=0</formula>
    </cfRule>
  </conditionalFormatting>
  <conditionalFormatting sqref="R17:R43 K17:L22 I18:J22 K34:L43">
    <cfRule type="cellIs" dxfId="25" priority="18" stopIfTrue="1" operator="equal">
      <formula>0</formula>
    </cfRule>
  </conditionalFormatting>
  <conditionalFormatting sqref="R17:R43">
    <cfRule type="cellIs" dxfId="24" priority="5" operator="equal">
      <formula>0</formula>
    </cfRule>
  </conditionalFormatting>
  <conditionalFormatting sqref="T17:T43">
    <cfRule type="cellIs" dxfId="23" priority="1" operator="equal">
      <formula>0</formula>
    </cfRule>
    <cfRule type="cellIs" dxfId="22" priority="2" stopIfTrue="1" operator="equal">
      <formula>0</formula>
    </cfRule>
  </conditionalFormatting>
  <conditionalFormatting sqref="U12 V13:W13 U48:U65528">
    <cfRule type="cellIs" dxfId="21" priority="16" stopIfTrue="1" operator="notEqual">
      <formula>0</formula>
    </cfRule>
  </conditionalFormatting>
  <conditionalFormatting sqref="W17:W42">
    <cfRule type="cellIs" dxfId="20" priority="3" operator="greaterThan">
      <formula>0</formula>
    </cfRule>
  </conditionalFormatting>
  <dataValidations count="1">
    <dataValidation type="list" allowBlank="1" showInputMessage="1" showErrorMessage="1" sqref="V15" xr:uid="{15F85151-FA47-4942-84CD-5CE194C510D2}">
      <formula1>Distribution_Method</formula1>
    </dataValidation>
  </dataValidations>
  <printOptions horizontalCentered="1"/>
  <pageMargins left="0.25" right="0.25" top="0.75" bottom="0.5" header="0.25" footer="0.25"/>
  <pageSetup scale="60" orientation="landscape" r:id="rId1"/>
  <headerFooter alignWithMargins="0">
    <oddHeader>&amp;CSUPERIOR OF COURT OF _________ COUNTY
Revenue Calculation and Distribution Worksheet</oddHeader>
    <oddFooter>&amp;L&amp;F&amp;R&amp;P of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D458-B968-4441-8134-73D6841E1E82}">
  <sheetPr>
    <tabColor theme="6"/>
    <pageSetUpPr fitToPage="1"/>
  </sheetPr>
  <dimension ref="A1:AF39"/>
  <sheetViews>
    <sheetView zoomScale="75" zoomScaleNormal="75" workbookViewId="0">
      <pane ySplit="1" topLeftCell="A2" activePane="bottomLeft" state="frozen"/>
      <selection pane="bottomLeft" activeCell="B29" sqref="B29"/>
    </sheetView>
  </sheetViews>
  <sheetFormatPr defaultColWidth="9.1796875" defaultRowHeight="18.5" x14ac:dyDescent="0.25"/>
  <cols>
    <col min="1" max="1" width="4.26953125" style="87" customWidth="1"/>
    <col min="2" max="2" width="5.90625" style="87" customWidth="1"/>
    <col min="3" max="3" width="13.54296875" style="87" customWidth="1"/>
    <col min="4" max="4" width="12" style="87" customWidth="1"/>
    <col min="5" max="5" width="11.26953125" style="88" customWidth="1"/>
    <col min="6" max="6" width="17.453125" style="121" customWidth="1"/>
    <col min="7" max="7" width="9.90625" style="46" customWidth="1"/>
    <col min="8" max="8" width="51.36328125" style="46" hidden="1" customWidth="1"/>
    <col min="9" max="9" width="10.6328125" style="46" customWidth="1"/>
    <col min="10" max="10" width="6.7265625" style="46" customWidth="1"/>
    <col min="11" max="11" width="11.1796875" style="92" customWidth="1"/>
    <col min="12" max="12" width="1.7265625" style="89" customWidth="1"/>
    <col min="13" max="13" width="15.26953125" style="46" customWidth="1"/>
    <col min="14" max="14" width="1.54296875" style="46" customWidth="1"/>
    <col min="15" max="15" width="11" style="46" customWidth="1"/>
    <col min="16" max="16" width="1.81640625" style="89" customWidth="1"/>
    <col min="17" max="17" width="10.81640625" style="89" customWidth="1"/>
    <col min="18" max="18" width="7.90625" style="89" customWidth="1"/>
    <col min="19" max="19" width="10.7265625" style="89" customWidth="1"/>
    <col min="20" max="20" width="1.81640625" style="50" customWidth="1"/>
    <col min="21" max="21" width="12.453125" style="90" customWidth="1"/>
    <col min="22" max="22" width="7.7265625" style="90" customWidth="1"/>
    <col min="23" max="23" width="18.7265625" style="91" customWidth="1"/>
    <col min="24" max="24" width="2.1796875" style="50" customWidth="1"/>
    <col min="25" max="25" width="12.7265625" style="50" customWidth="1"/>
    <col min="26" max="26" width="11.1796875" style="50" customWidth="1"/>
    <col min="27" max="27" width="12.36328125" style="50" customWidth="1"/>
    <col min="28" max="28" width="9.1796875" style="50"/>
    <col min="29" max="16384" width="9.1796875" style="46"/>
  </cols>
  <sheetData>
    <row r="1" spans="1:32" ht="20.25" customHeight="1" thickBot="1" x14ac:dyDescent="0.3">
      <c r="A1" s="565" t="s">
        <v>348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622"/>
      <c r="M1" s="622"/>
      <c r="N1" s="622"/>
      <c r="O1" s="622"/>
      <c r="P1" s="622"/>
      <c r="Q1" s="622"/>
      <c r="R1" s="622"/>
      <c r="S1" s="622"/>
      <c r="T1" s="622"/>
      <c r="U1" s="622"/>
      <c r="V1" s="215" t="s">
        <v>264</v>
      </c>
      <c r="W1" s="484">
        <v>45292</v>
      </c>
    </row>
    <row r="2" spans="1:32" s="50" customFormat="1" ht="6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49"/>
      <c r="V2" s="49"/>
      <c r="W2" s="49"/>
    </row>
    <row r="3" spans="1:32" s="50" customFormat="1" ht="19" thickBot="1" x14ac:dyDescent="0.3">
      <c r="A3" s="216" t="s">
        <v>191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623"/>
      <c r="N3" s="624"/>
      <c r="O3" s="284"/>
      <c r="P3" s="159"/>
      <c r="Q3" s="625" t="s">
        <v>218</v>
      </c>
      <c r="R3" s="626"/>
      <c r="S3" s="626"/>
      <c r="T3" s="626"/>
      <c r="U3" s="626"/>
      <c r="V3" s="626"/>
      <c r="W3" s="627"/>
      <c r="Y3" s="159" t="s">
        <v>207</v>
      </c>
      <c r="Z3" s="120"/>
    </row>
    <row r="4" spans="1:32" s="53" customFormat="1" ht="15.5" x14ac:dyDescent="0.25">
      <c r="A4" s="575" t="s">
        <v>188</v>
      </c>
      <c r="B4" s="554"/>
      <c r="C4" s="554"/>
      <c r="D4" s="576"/>
      <c r="E4" s="577"/>
      <c r="F4" s="628" t="s">
        <v>22</v>
      </c>
      <c r="G4" s="574"/>
      <c r="H4" s="169"/>
      <c r="I4" s="629" t="s">
        <v>297</v>
      </c>
      <c r="J4" s="629"/>
      <c r="K4" s="629"/>
      <c r="L4" s="562"/>
      <c r="M4" s="630" t="s">
        <v>214</v>
      </c>
      <c r="N4" s="630"/>
      <c r="O4" s="181"/>
      <c r="P4" s="95"/>
      <c r="Q4" s="631" t="s">
        <v>193</v>
      </c>
      <c r="R4" s="632"/>
      <c r="S4" s="632"/>
      <c r="T4" s="632"/>
      <c r="U4" s="632"/>
      <c r="V4" s="632"/>
      <c r="W4" s="633"/>
      <c r="Y4" s="192" t="s">
        <v>242</v>
      </c>
      <c r="Z4" s="285" t="s">
        <v>243</v>
      </c>
      <c r="AA4" s="285" t="s">
        <v>300</v>
      </c>
      <c r="AB4" s="285" t="s">
        <v>301</v>
      </c>
    </row>
    <row r="5" spans="1:32" s="53" customFormat="1" ht="15.5" x14ac:dyDescent="0.25">
      <c r="A5" s="547" t="s">
        <v>3</v>
      </c>
      <c r="B5" s="548"/>
      <c r="C5" s="548"/>
      <c r="D5" s="552">
        <v>45185</v>
      </c>
      <c r="E5" s="553"/>
      <c r="F5" s="635" t="s">
        <v>201</v>
      </c>
      <c r="G5" s="549"/>
      <c r="H5" s="167"/>
      <c r="I5" s="636" t="s">
        <v>298</v>
      </c>
      <c r="J5" s="636"/>
      <c r="K5" s="636"/>
      <c r="L5" s="558"/>
      <c r="M5" s="641" t="s">
        <v>17</v>
      </c>
      <c r="N5" s="641"/>
      <c r="O5" s="54">
        <v>0</v>
      </c>
      <c r="P5" s="95"/>
      <c r="Q5" s="642" t="s">
        <v>241</v>
      </c>
      <c r="R5" s="643"/>
      <c r="S5" s="643"/>
      <c r="T5" s="643"/>
      <c r="U5" s="643"/>
      <c r="V5" s="643"/>
      <c r="W5" s="644"/>
      <c r="Y5" s="157" t="s">
        <v>25</v>
      </c>
      <c r="Z5" s="161">
        <f>SUMIF($G$16:$G$36,"STATE",$K$16:$K$36)</f>
        <v>0</v>
      </c>
      <c r="AA5" s="161">
        <f>SUMIF($G$16:$G$36,"STATE",$S$16:$S$36)</f>
        <v>0</v>
      </c>
      <c r="AB5" s="161">
        <f>SUMIF($G$16:$G$36,"STATE",$W$16:$W$36)</f>
        <v>0</v>
      </c>
    </row>
    <row r="6" spans="1:32" s="53" customFormat="1" ht="16" thickBot="1" x14ac:dyDescent="0.3">
      <c r="A6" s="547" t="s">
        <v>10</v>
      </c>
      <c r="B6" s="548"/>
      <c r="C6" s="548"/>
      <c r="D6" s="552">
        <v>45251</v>
      </c>
      <c r="E6" s="634"/>
      <c r="F6" s="635" t="s">
        <v>15</v>
      </c>
      <c r="G6" s="549"/>
      <c r="H6" s="167"/>
      <c r="I6" s="636" t="s">
        <v>244</v>
      </c>
      <c r="J6" s="636"/>
      <c r="K6" s="636"/>
      <c r="L6" s="558"/>
      <c r="M6" s="637" t="s">
        <v>190</v>
      </c>
      <c r="N6" s="637"/>
      <c r="O6" s="184">
        <f>O4+O5*10</f>
        <v>0</v>
      </c>
      <c r="P6" s="95"/>
      <c r="Q6" s="638" t="s">
        <v>295</v>
      </c>
      <c r="R6" s="639"/>
      <c r="S6" s="639"/>
      <c r="T6" s="639"/>
      <c r="U6" s="639"/>
      <c r="V6" s="639"/>
      <c r="W6" s="640"/>
      <c r="Y6" s="157" t="s">
        <v>26</v>
      </c>
      <c r="Z6" s="161">
        <f>SUMIF($G$16:$G$36,"COUNTY",$K$16:$K$36)</f>
        <v>0</v>
      </c>
      <c r="AA6" s="161">
        <f>SUMIF($G$16:$G$36,"COUNTY",$S$16:$S$36)</f>
        <v>0</v>
      </c>
      <c r="AB6" s="161">
        <f>SUMIF($G$16:$G$36,"COUNTY",$W$16:$W$36)</f>
        <v>0</v>
      </c>
    </row>
    <row r="7" spans="1:32" s="53" customFormat="1" ht="16" thickBot="1" x14ac:dyDescent="0.3">
      <c r="A7" s="547" t="s">
        <v>4</v>
      </c>
      <c r="B7" s="548"/>
      <c r="C7" s="548"/>
      <c r="D7" s="557" t="s">
        <v>296</v>
      </c>
      <c r="E7" s="553"/>
      <c r="F7" s="653" t="s">
        <v>16</v>
      </c>
      <c r="G7" s="541"/>
      <c r="H7" s="168"/>
      <c r="I7" s="560" t="s">
        <v>2</v>
      </c>
      <c r="J7" s="560"/>
      <c r="K7" s="560"/>
      <c r="L7" s="654"/>
      <c r="M7" s="188"/>
      <c r="N7" s="190"/>
      <c r="O7" s="189"/>
      <c r="P7" s="95"/>
      <c r="Q7" s="655" t="s">
        <v>192</v>
      </c>
      <c r="R7" s="656"/>
      <c r="S7" s="656"/>
      <c r="T7" s="656"/>
      <c r="U7" s="656"/>
      <c r="V7" s="656"/>
      <c r="W7" s="657"/>
      <c r="Y7" s="157" t="s">
        <v>45</v>
      </c>
      <c r="Z7" s="161">
        <f>SUMIF($G$16:$G$36,"CITY",$K$16:$K$36)</f>
        <v>0</v>
      </c>
      <c r="AA7" s="161">
        <f>SUMIF($G$16:$G$36,"CITY",$S$16:$S$36)</f>
        <v>0</v>
      </c>
      <c r="AB7" s="161">
        <f>SUMIF($G$16:$G$36,"CITY",$W$16:$W$36)</f>
        <v>0</v>
      </c>
    </row>
    <row r="8" spans="1:32" s="53" customFormat="1" ht="15.75" customHeight="1" x14ac:dyDescent="0.25">
      <c r="A8" s="658" t="s">
        <v>47</v>
      </c>
      <c r="B8" s="659"/>
      <c r="C8" s="659"/>
      <c r="D8" s="660">
        <v>0.25</v>
      </c>
      <c r="E8" s="661"/>
      <c r="F8" s="628" t="s">
        <v>210</v>
      </c>
      <c r="G8" s="574"/>
      <c r="H8" s="169"/>
      <c r="I8" s="629" t="s">
        <v>340</v>
      </c>
      <c r="J8" s="629"/>
      <c r="K8" s="629"/>
      <c r="L8" s="562"/>
      <c r="M8" s="664" t="s">
        <v>214</v>
      </c>
      <c r="N8" s="664"/>
      <c r="O8" s="51"/>
      <c r="P8" s="138"/>
      <c r="Q8" s="645" t="s">
        <v>302</v>
      </c>
      <c r="R8" s="524"/>
      <c r="S8" s="524"/>
      <c r="T8" s="524"/>
      <c r="U8" s="524"/>
      <c r="V8" s="524"/>
      <c r="W8" s="646"/>
      <c r="Y8" s="157" t="s">
        <v>187</v>
      </c>
      <c r="Z8" s="161">
        <f>SUMIF($G$16:$G$36,"COURT",$K$16:$K$36)</f>
        <v>0</v>
      </c>
      <c r="AA8" s="161">
        <f>SUMIF($G$16:$G$36,"COURT",$S$16:$S$36)</f>
        <v>0</v>
      </c>
      <c r="AB8" s="161">
        <f>SUMIF($G$16:$G$36,"COURT",$W$16:$W$36)</f>
        <v>0</v>
      </c>
    </row>
    <row r="9" spans="1:32" s="53" customFormat="1" ht="18" customHeight="1" thickBot="1" x14ac:dyDescent="0.3">
      <c r="A9" s="649" t="s">
        <v>46</v>
      </c>
      <c r="B9" s="650"/>
      <c r="C9" s="650"/>
      <c r="D9" s="567">
        <f>100%-D8</f>
        <v>0.75</v>
      </c>
      <c r="E9" s="568"/>
      <c r="F9" s="635" t="s">
        <v>201</v>
      </c>
      <c r="G9" s="549"/>
      <c r="H9" s="167"/>
      <c r="I9" s="636" t="s">
        <v>347</v>
      </c>
      <c r="J9" s="651"/>
      <c r="K9" s="651"/>
      <c r="L9" s="652"/>
      <c r="M9" s="641" t="s">
        <v>17</v>
      </c>
      <c r="N9" s="641"/>
      <c r="O9" s="54"/>
      <c r="P9" s="138"/>
      <c r="Q9" s="647"/>
      <c r="R9" s="527"/>
      <c r="S9" s="527"/>
      <c r="T9" s="527"/>
      <c r="U9" s="527"/>
      <c r="V9" s="527"/>
      <c r="W9" s="648"/>
      <c r="Y9" s="84" t="s">
        <v>261</v>
      </c>
      <c r="Z9" s="161">
        <f>SUMIF($G$16:$G$36,"CNTY or CTY",$K$16:$K$36)</f>
        <v>0</v>
      </c>
      <c r="AA9" s="161">
        <f>SUMIF($G$16:$G$36,"CNTY or CTY",$S$16:$S$36)</f>
        <v>0</v>
      </c>
      <c r="AB9" s="161">
        <f>SUMIF($G$16:$G$36,"CNTY or CTY",$W$16:$W$36)</f>
        <v>0</v>
      </c>
    </row>
    <row r="10" spans="1:32" s="53" customFormat="1" ht="16.5" customHeight="1" thickBot="1" x14ac:dyDescent="0.3">
      <c r="A10" s="599" t="s">
        <v>224</v>
      </c>
      <c r="B10" s="600"/>
      <c r="C10" s="600"/>
      <c r="D10" s="672">
        <f>O6+O10</f>
        <v>0</v>
      </c>
      <c r="E10" s="673"/>
      <c r="F10" s="635" t="s">
        <v>15</v>
      </c>
      <c r="G10" s="549"/>
      <c r="H10" s="167"/>
      <c r="I10" s="636" t="s">
        <v>244</v>
      </c>
      <c r="J10" s="636"/>
      <c r="K10" s="636"/>
      <c r="L10" s="558"/>
      <c r="M10" s="637" t="s">
        <v>190</v>
      </c>
      <c r="N10" s="637"/>
      <c r="O10" s="184">
        <f>O8+O9*10</f>
        <v>0</v>
      </c>
      <c r="P10" s="286"/>
      <c r="Q10" s="674" t="s">
        <v>196</v>
      </c>
      <c r="R10" s="675"/>
      <c r="S10" s="675"/>
      <c r="T10" s="675"/>
      <c r="U10" s="675"/>
      <c r="V10" s="675"/>
      <c r="W10" s="676"/>
      <c r="Y10" s="158" t="s">
        <v>203</v>
      </c>
      <c r="Z10" s="134">
        <f>SUM(Z5:Z9)</f>
        <v>0</v>
      </c>
      <c r="AA10" s="134">
        <f>SUM(AA5:AA9)</f>
        <v>0</v>
      </c>
      <c r="AB10" s="134">
        <f>SUM(AB5:AB9)</f>
        <v>0</v>
      </c>
    </row>
    <row r="11" spans="1:32" s="53" customFormat="1" ht="16.5" customHeight="1" thickBot="1" x14ac:dyDescent="0.3">
      <c r="A11" s="597" t="s">
        <v>225</v>
      </c>
      <c r="B11" s="598"/>
      <c r="C11" s="598"/>
      <c r="D11" s="593">
        <f>ROUNDUP(D10/10,0)</f>
        <v>0</v>
      </c>
      <c r="E11" s="594"/>
      <c r="F11" s="653" t="s">
        <v>16</v>
      </c>
      <c r="G11" s="541"/>
      <c r="H11" s="168"/>
      <c r="I11" s="560" t="s">
        <v>2</v>
      </c>
      <c r="J11" s="665"/>
      <c r="K11" s="665"/>
      <c r="L11" s="666"/>
      <c r="M11" s="667" t="s">
        <v>287</v>
      </c>
      <c r="N11" s="668"/>
      <c r="O11" s="448">
        <f>'Local Penalties'!B8</f>
        <v>5</v>
      </c>
      <c r="P11" s="286"/>
      <c r="Q11" s="669" t="s">
        <v>256</v>
      </c>
      <c r="R11" s="670"/>
      <c r="S11" s="670"/>
      <c r="T11" s="670"/>
      <c r="U11" s="670"/>
      <c r="V11" s="670"/>
      <c r="W11" s="671"/>
      <c r="Z11" s="287">
        <f>Z10-K38</f>
        <v>0</v>
      </c>
      <c r="AA11" s="287">
        <f>AA10-S38</f>
        <v>0</v>
      </c>
      <c r="AB11" s="287">
        <f>AB10-W38</f>
        <v>0</v>
      </c>
    </row>
    <row r="12" spans="1:32" s="53" customFormat="1" ht="15.7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O12" s="52"/>
      <c r="P12" s="52"/>
      <c r="Q12" s="52"/>
      <c r="R12" s="52"/>
      <c r="S12" s="52"/>
      <c r="T12" s="52"/>
      <c r="U12" s="58"/>
      <c r="V12" s="58"/>
      <c r="W12" s="56"/>
      <c r="AA12" s="59"/>
    </row>
    <row r="13" spans="1:32" s="98" customFormat="1" ht="18.75" customHeight="1" thickBot="1" x14ac:dyDescent="0.3">
      <c r="A13" s="174"/>
      <c r="B13" s="174"/>
      <c r="C13" s="174"/>
      <c r="D13" s="174"/>
      <c r="E13" s="174"/>
      <c r="F13" s="96"/>
      <c r="G13" s="97"/>
      <c r="I13" s="680" t="s">
        <v>236</v>
      </c>
      <c r="J13" s="681"/>
      <c r="K13" s="682"/>
      <c r="L13" s="99"/>
      <c r="M13" s="683" t="s">
        <v>186</v>
      </c>
      <c r="N13" s="684"/>
      <c r="O13" s="685"/>
      <c r="P13" s="100"/>
      <c r="Q13" s="686" t="s">
        <v>303</v>
      </c>
      <c r="R13" s="687"/>
      <c r="S13" s="688"/>
      <c r="T13" s="100"/>
      <c r="U13" s="686" t="s">
        <v>304</v>
      </c>
      <c r="V13" s="687"/>
      <c r="W13" s="688"/>
      <c r="X13" s="288"/>
      <c r="Y13" s="143"/>
      <c r="Z13" s="143"/>
      <c r="AA13" s="144"/>
      <c r="AB13" s="97"/>
      <c r="AC13" s="97"/>
      <c r="AD13" s="97"/>
      <c r="AE13" s="97"/>
      <c r="AF13" s="97"/>
    </row>
    <row r="14" spans="1:32" ht="44.25" customHeight="1" thickBot="1" x14ac:dyDescent="0.3">
      <c r="A14" s="101">
        <v>0.02</v>
      </c>
      <c r="B14" s="101" t="s">
        <v>51</v>
      </c>
      <c r="C14" s="603" t="s">
        <v>183</v>
      </c>
      <c r="D14" s="604"/>
      <c r="E14" s="604"/>
      <c r="F14" s="605"/>
      <c r="G14" s="102" t="s">
        <v>206</v>
      </c>
      <c r="H14" s="103" t="s">
        <v>0</v>
      </c>
      <c r="I14" s="689" t="s">
        <v>237</v>
      </c>
      <c r="J14" s="691" t="s">
        <v>5</v>
      </c>
      <c r="K14" s="289" t="s">
        <v>238</v>
      </c>
      <c r="L14" s="61"/>
      <c r="M14" s="514" t="s">
        <v>217</v>
      </c>
      <c r="N14" s="515"/>
      <c r="O14" s="109" t="s">
        <v>205</v>
      </c>
      <c r="P14" s="110"/>
      <c r="Q14" s="290" t="s">
        <v>255</v>
      </c>
      <c r="R14" s="691" t="s">
        <v>5</v>
      </c>
      <c r="S14" s="289" t="s">
        <v>238</v>
      </c>
      <c r="T14" s="110"/>
      <c r="U14" s="290" t="s">
        <v>305</v>
      </c>
      <c r="V14" s="691" t="s">
        <v>5</v>
      </c>
      <c r="W14" s="289" t="s">
        <v>238</v>
      </c>
      <c r="X14" s="291"/>
      <c r="Y14" s="292" t="s">
        <v>213</v>
      </c>
      <c r="Z14" s="693" t="s">
        <v>54</v>
      </c>
      <c r="AA14" s="695" t="s">
        <v>249</v>
      </c>
      <c r="AC14" s="50"/>
      <c r="AD14" s="50"/>
      <c r="AE14" s="50"/>
      <c r="AF14" s="50"/>
    </row>
    <row r="15" spans="1:32" ht="38.5" customHeight="1" thickBot="1" x14ac:dyDescent="0.3">
      <c r="A15" s="104"/>
      <c r="B15" s="104"/>
      <c r="C15" s="606"/>
      <c r="D15" s="607"/>
      <c r="E15" s="607"/>
      <c r="F15" s="608"/>
      <c r="G15" s="105"/>
      <c r="H15" s="105"/>
      <c r="I15" s="690"/>
      <c r="J15" s="692"/>
      <c r="K15" s="293" t="s">
        <v>35</v>
      </c>
      <c r="L15" s="62"/>
      <c r="M15" s="512"/>
      <c r="N15" s="513"/>
      <c r="O15" s="294" t="s">
        <v>36</v>
      </c>
      <c r="P15" s="110"/>
      <c r="Q15" s="200">
        <f>IFERROR(Q31/I31,0)</f>
        <v>0</v>
      </c>
      <c r="R15" s="692"/>
      <c r="S15" s="293" t="s">
        <v>37</v>
      </c>
      <c r="T15" s="110"/>
      <c r="U15" s="200" t="e">
        <f>(U38)/(I38)</f>
        <v>#DIV/0!</v>
      </c>
      <c r="V15" s="692"/>
      <c r="W15" s="293" t="s">
        <v>37</v>
      </c>
      <c r="X15" s="291"/>
      <c r="Y15" s="193" t="s">
        <v>240</v>
      </c>
      <c r="Z15" s="694"/>
      <c r="AA15" s="696"/>
      <c r="AC15" s="50"/>
      <c r="AD15" s="50"/>
      <c r="AE15" s="50"/>
      <c r="AF15" s="50"/>
    </row>
    <row r="16" spans="1:32" s="68" customFormat="1" ht="15.75" customHeight="1" x14ac:dyDescent="0.25">
      <c r="A16" s="63" t="s">
        <v>7</v>
      </c>
      <c r="B16" s="677" t="s">
        <v>198</v>
      </c>
      <c r="C16" s="679" t="s">
        <v>169</v>
      </c>
      <c r="D16" s="679"/>
      <c r="E16" s="679"/>
      <c r="F16" s="679"/>
      <c r="G16" s="467" t="s">
        <v>26</v>
      </c>
      <c r="H16" s="468" t="s">
        <v>21</v>
      </c>
      <c r="I16" s="469">
        <f>D10*D8</f>
        <v>0</v>
      </c>
      <c r="J16" s="470">
        <f>IF(A16="Y",I16* 2%,0)</f>
        <v>0</v>
      </c>
      <c r="K16" s="471">
        <f>I16-J16</f>
        <v>0</v>
      </c>
      <c r="L16" s="149"/>
      <c r="M16" s="510"/>
      <c r="N16" s="511"/>
      <c r="O16" s="72"/>
      <c r="P16" s="66"/>
      <c r="Q16" s="145">
        <f t="shared" ref="Q16:Q30" si="0">IF($Q$38=0,,I16*$Q$15)</f>
        <v>0</v>
      </c>
      <c r="R16" s="147">
        <f t="shared" ref="R16:R30" si="1">IF(A16="Y", Q16*2%,)</f>
        <v>0</v>
      </c>
      <c r="S16" s="152">
        <f t="shared" ref="S16:S35" si="2">Q16-R16</f>
        <v>0</v>
      </c>
      <c r="T16" s="66"/>
      <c r="U16" s="145">
        <f t="shared" ref="U16:U30" si="3">IF($U$38=0,,I16*$U$15)</f>
        <v>0</v>
      </c>
      <c r="V16" s="147">
        <f t="shared" ref="V16:V30" si="4">IF(A16="Y", U16*2%,)</f>
        <v>0</v>
      </c>
      <c r="W16" s="152">
        <f t="shared" ref="W16:W25" si="5">U16-V16</f>
        <v>0</v>
      </c>
      <c r="X16" s="295"/>
      <c r="Y16" s="145">
        <f>IF($Y$15="BASE-UP (B-A)", O16-K16,
(IF($Y$15="TOP-DOWN 1 (B-C)",O16-S16,O16-W16)))</f>
        <v>0</v>
      </c>
      <c r="Z16" s="296"/>
      <c r="AA16" s="67"/>
      <c r="AB16" s="114"/>
      <c r="AC16" s="114"/>
      <c r="AD16" s="114"/>
      <c r="AE16" s="114"/>
      <c r="AF16" s="114"/>
    </row>
    <row r="17" spans="1:32" s="68" customFormat="1" ht="15.75" customHeight="1" x14ac:dyDescent="0.25">
      <c r="A17" s="63" t="s">
        <v>7</v>
      </c>
      <c r="B17" s="678"/>
      <c r="C17" s="679" t="s">
        <v>170</v>
      </c>
      <c r="D17" s="679"/>
      <c r="E17" s="679"/>
      <c r="F17" s="679"/>
      <c r="G17" s="467" t="s">
        <v>45</v>
      </c>
      <c r="H17" s="468" t="s">
        <v>19</v>
      </c>
      <c r="I17" s="469">
        <f>D10*D9</f>
        <v>0</v>
      </c>
      <c r="J17" s="470">
        <f t="shared" ref="J17:J30" si="6">IF(A17="Y",I17* 2%,0)</f>
        <v>0</v>
      </c>
      <c r="K17" s="471">
        <f t="shared" ref="K17:K29" si="7">I17-J17</f>
        <v>0</v>
      </c>
      <c r="L17" s="149"/>
      <c r="M17" s="510"/>
      <c r="N17" s="511"/>
      <c r="O17" s="72"/>
      <c r="P17" s="66"/>
      <c r="Q17" s="145">
        <f t="shared" si="0"/>
        <v>0</v>
      </c>
      <c r="R17" s="147">
        <f t="shared" si="1"/>
        <v>0</v>
      </c>
      <c r="S17" s="152">
        <f t="shared" si="2"/>
        <v>0</v>
      </c>
      <c r="T17" s="66"/>
      <c r="U17" s="145">
        <f t="shared" si="3"/>
        <v>0</v>
      </c>
      <c r="V17" s="147">
        <f t="shared" si="4"/>
        <v>0</v>
      </c>
      <c r="W17" s="152">
        <f t="shared" si="5"/>
        <v>0</v>
      </c>
      <c r="X17" s="295"/>
      <c r="Y17" s="145">
        <f t="shared" ref="Y17:Y36" si="8">IF($Y$15="BASE-UP (B-A)", O17-K17,
(IF($Y$15="TOP-DOWN 1 (B-C)",O17-S17,O17-W17)))</f>
        <v>0</v>
      </c>
      <c r="Z17" s="296"/>
      <c r="AA17" s="67"/>
      <c r="AB17" s="114"/>
      <c r="AC17" s="114"/>
      <c r="AD17" s="114"/>
      <c r="AE17" s="114"/>
      <c r="AF17" s="114"/>
    </row>
    <row r="18" spans="1:32" s="68" customFormat="1" ht="15.75" customHeight="1" x14ac:dyDescent="0.25">
      <c r="A18" s="63" t="s">
        <v>7</v>
      </c>
      <c r="B18" s="69">
        <v>7</v>
      </c>
      <c r="C18" s="533" t="s">
        <v>281</v>
      </c>
      <c r="D18" s="533"/>
      <c r="E18" s="533"/>
      <c r="F18" s="533"/>
      <c r="G18" s="278" t="s">
        <v>25</v>
      </c>
      <c r="H18" s="71" t="s">
        <v>20</v>
      </c>
      <c r="I18" s="140">
        <f>$D$11*B18</f>
        <v>0</v>
      </c>
      <c r="J18" s="147">
        <f t="shared" si="6"/>
        <v>0</v>
      </c>
      <c r="K18" s="152">
        <f t="shared" si="7"/>
        <v>0</v>
      </c>
      <c r="L18" s="149"/>
      <c r="M18" s="510"/>
      <c r="N18" s="511"/>
      <c r="O18" s="74"/>
      <c r="P18" s="75"/>
      <c r="Q18" s="145">
        <f t="shared" si="0"/>
        <v>0</v>
      </c>
      <c r="R18" s="147">
        <f t="shared" si="1"/>
        <v>0</v>
      </c>
      <c r="S18" s="152">
        <f t="shared" si="2"/>
        <v>0</v>
      </c>
      <c r="T18" s="75"/>
      <c r="U18" s="145">
        <f t="shared" si="3"/>
        <v>0</v>
      </c>
      <c r="V18" s="147">
        <f t="shared" si="4"/>
        <v>0</v>
      </c>
      <c r="W18" s="152">
        <f t="shared" si="5"/>
        <v>0</v>
      </c>
      <c r="X18" s="295"/>
      <c r="Y18" s="145">
        <f t="shared" si="8"/>
        <v>0</v>
      </c>
      <c r="Z18" s="296"/>
      <c r="AA18" s="67"/>
      <c r="AB18" s="114"/>
      <c r="AC18" s="114"/>
      <c r="AD18" s="114"/>
      <c r="AE18" s="114"/>
      <c r="AF18" s="114"/>
    </row>
    <row r="19" spans="1:32" s="68" customFormat="1" ht="15.75" customHeight="1" x14ac:dyDescent="0.25">
      <c r="A19" s="63" t="s">
        <v>7</v>
      </c>
      <c r="B19" s="69">
        <v>3</v>
      </c>
      <c r="C19" s="533" t="s">
        <v>282</v>
      </c>
      <c r="D19" s="533"/>
      <c r="E19" s="533"/>
      <c r="F19" s="533"/>
      <c r="G19" s="278" t="s">
        <v>26</v>
      </c>
      <c r="H19" s="71" t="s">
        <v>21</v>
      </c>
      <c r="I19" s="140">
        <f t="shared" ref="I19:I28" si="9">$D$11*B19</f>
        <v>0</v>
      </c>
      <c r="J19" s="147">
        <f t="shared" si="6"/>
        <v>0</v>
      </c>
      <c r="K19" s="152">
        <f t="shared" si="7"/>
        <v>0</v>
      </c>
      <c r="L19" s="149"/>
      <c r="M19" s="510"/>
      <c r="N19" s="511"/>
      <c r="O19" s="72"/>
      <c r="P19" s="66"/>
      <c r="Q19" s="145">
        <f t="shared" si="0"/>
        <v>0</v>
      </c>
      <c r="R19" s="147">
        <f t="shared" si="1"/>
        <v>0</v>
      </c>
      <c r="S19" s="152">
        <f t="shared" si="2"/>
        <v>0</v>
      </c>
      <c r="T19" s="66"/>
      <c r="U19" s="145">
        <f t="shared" si="3"/>
        <v>0</v>
      </c>
      <c r="V19" s="147">
        <f t="shared" si="4"/>
        <v>0</v>
      </c>
      <c r="W19" s="152">
        <f t="shared" si="5"/>
        <v>0</v>
      </c>
      <c r="X19" s="295"/>
      <c r="Y19" s="145">
        <f t="shared" si="8"/>
        <v>0</v>
      </c>
      <c r="Z19" s="296"/>
      <c r="AA19" s="67"/>
      <c r="AB19" s="114"/>
      <c r="AC19" s="114"/>
      <c r="AD19" s="114"/>
      <c r="AE19" s="114"/>
      <c r="AF19" s="114"/>
    </row>
    <row r="20" spans="1:32" s="68" customFormat="1" ht="15.75" customHeight="1" x14ac:dyDescent="0.25">
      <c r="A20" s="63" t="s">
        <v>7</v>
      </c>
      <c r="B20" s="297">
        <v>0.75</v>
      </c>
      <c r="C20" s="510" t="s">
        <v>293</v>
      </c>
      <c r="D20" s="531"/>
      <c r="E20" s="531"/>
      <c r="F20" s="532"/>
      <c r="G20" s="278" t="s">
        <v>26</v>
      </c>
      <c r="H20" s="71" t="s">
        <v>48</v>
      </c>
      <c r="I20" s="140">
        <f t="shared" si="9"/>
        <v>0</v>
      </c>
      <c r="J20" s="147">
        <f t="shared" si="6"/>
        <v>0</v>
      </c>
      <c r="K20" s="152">
        <f t="shared" si="7"/>
        <v>0</v>
      </c>
      <c r="L20" s="149"/>
      <c r="M20" s="510"/>
      <c r="N20" s="511"/>
      <c r="O20" s="72"/>
      <c r="P20" s="66"/>
      <c r="Q20" s="145">
        <f t="shared" si="0"/>
        <v>0</v>
      </c>
      <c r="R20" s="147">
        <f t="shared" si="1"/>
        <v>0</v>
      </c>
      <c r="S20" s="152">
        <f t="shared" si="2"/>
        <v>0</v>
      </c>
      <c r="T20" s="66"/>
      <c r="U20" s="145">
        <f t="shared" si="3"/>
        <v>0</v>
      </c>
      <c r="V20" s="147">
        <f t="shared" si="4"/>
        <v>0</v>
      </c>
      <c r="W20" s="152">
        <f t="shared" si="5"/>
        <v>0</v>
      </c>
      <c r="X20" s="295"/>
      <c r="Y20" s="145">
        <f t="shared" si="8"/>
        <v>0</v>
      </c>
      <c r="Z20" s="296"/>
      <c r="AA20" s="67"/>
      <c r="AB20" s="114"/>
      <c r="AC20" s="114"/>
      <c r="AD20" s="114"/>
      <c r="AE20" s="114"/>
      <c r="AF20" s="114"/>
    </row>
    <row r="21" spans="1:32" s="68" customFormat="1" ht="15.75" customHeight="1" x14ac:dyDescent="0.25">
      <c r="A21" s="63" t="s">
        <v>7</v>
      </c>
      <c r="B21" s="297">
        <v>0.25</v>
      </c>
      <c r="C21" s="510" t="s">
        <v>292</v>
      </c>
      <c r="D21" s="531"/>
      <c r="E21" s="531"/>
      <c r="F21" s="532"/>
      <c r="G21" s="278" t="s">
        <v>25</v>
      </c>
      <c r="H21" s="71" t="s">
        <v>48</v>
      </c>
      <c r="I21" s="140">
        <f t="shared" si="9"/>
        <v>0</v>
      </c>
      <c r="J21" s="147">
        <f t="shared" si="6"/>
        <v>0</v>
      </c>
      <c r="K21" s="152">
        <f t="shared" si="7"/>
        <v>0</v>
      </c>
      <c r="L21" s="149"/>
      <c r="M21" s="510"/>
      <c r="N21" s="511"/>
      <c r="O21" s="72"/>
      <c r="P21" s="66"/>
      <c r="Q21" s="145">
        <f t="shared" si="0"/>
        <v>0</v>
      </c>
      <c r="R21" s="147">
        <f t="shared" si="1"/>
        <v>0</v>
      </c>
      <c r="S21" s="152">
        <f t="shared" si="2"/>
        <v>0</v>
      </c>
      <c r="T21" s="66"/>
      <c r="U21" s="145">
        <f t="shared" si="3"/>
        <v>0</v>
      </c>
      <c r="V21" s="147">
        <f t="shared" si="4"/>
        <v>0</v>
      </c>
      <c r="W21" s="152">
        <f t="shared" si="5"/>
        <v>0</v>
      </c>
      <c r="X21" s="295"/>
      <c r="Y21" s="145">
        <f t="shared" si="8"/>
        <v>0</v>
      </c>
      <c r="Z21" s="296"/>
      <c r="AA21" s="67"/>
      <c r="AB21" s="114"/>
      <c r="AC21" s="114"/>
      <c r="AD21" s="114"/>
      <c r="AE21" s="114"/>
      <c r="AF21" s="114"/>
    </row>
    <row r="22" spans="1:32" s="68" customFormat="1" ht="14.5" x14ac:dyDescent="0.25">
      <c r="A22" s="63" t="s">
        <v>7</v>
      </c>
      <c r="B22" s="69">
        <v>4</v>
      </c>
      <c r="C22" s="510" t="s">
        <v>263</v>
      </c>
      <c r="D22" s="531"/>
      <c r="E22" s="531"/>
      <c r="F22" s="532"/>
      <c r="G22" s="278" t="s">
        <v>25</v>
      </c>
      <c r="H22" s="71" t="s">
        <v>344</v>
      </c>
      <c r="I22" s="140">
        <f t="shared" si="9"/>
        <v>0</v>
      </c>
      <c r="J22" s="147">
        <f t="shared" si="6"/>
        <v>0</v>
      </c>
      <c r="K22" s="152">
        <f t="shared" si="7"/>
        <v>0</v>
      </c>
      <c r="L22" s="149"/>
      <c r="M22" s="510"/>
      <c r="N22" s="511"/>
      <c r="O22" s="72"/>
      <c r="P22" s="66"/>
      <c r="Q22" s="145">
        <f t="shared" si="0"/>
        <v>0</v>
      </c>
      <c r="R22" s="147">
        <f t="shared" si="1"/>
        <v>0</v>
      </c>
      <c r="S22" s="152">
        <f t="shared" si="2"/>
        <v>0</v>
      </c>
      <c r="T22" s="66"/>
      <c r="U22" s="145">
        <f t="shared" si="3"/>
        <v>0</v>
      </c>
      <c r="V22" s="147">
        <f t="shared" si="4"/>
        <v>0</v>
      </c>
      <c r="W22" s="152">
        <f t="shared" si="5"/>
        <v>0</v>
      </c>
      <c r="X22" s="295"/>
      <c r="Y22" s="145">
        <f t="shared" si="8"/>
        <v>0</v>
      </c>
      <c r="Z22" s="298"/>
      <c r="AA22" s="212"/>
      <c r="AB22" s="114"/>
      <c r="AC22" s="114"/>
      <c r="AD22" s="114"/>
      <c r="AE22" s="114"/>
      <c r="AF22" s="114"/>
    </row>
    <row r="23" spans="1:32" s="68" customFormat="1" ht="15.75" customHeight="1" x14ac:dyDescent="0.25">
      <c r="A23" s="63" t="s">
        <v>7</v>
      </c>
      <c r="B23" s="299"/>
      <c r="C23" s="533" t="s">
        <v>174</v>
      </c>
      <c r="D23" s="533"/>
      <c r="E23" s="697" t="str">
        <f>IF(SUM(B23:B27)=O11,"GC 76000 PA ($" &amp;O11 &amp; " for every 10) breakdown per local board of supervisor resolution (BOS).","ERROR! GC 76000 PA total is not $" &amp;O11&amp; ". Check Court's board resolution.")</f>
        <v>ERROR! GC 76000 PA total is not $5. Check Court's board resolution.</v>
      </c>
      <c r="F23" s="698"/>
      <c r="G23" s="278" t="s">
        <v>26</v>
      </c>
      <c r="H23" s="71" t="s">
        <v>56</v>
      </c>
      <c r="I23" s="140">
        <f t="shared" si="9"/>
        <v>0</v>
      </c>
      <c r="J23" s="147">
        <f t="shared" si="6"/>
        <v>0</v>
      </c>
      <c r="K23" s="152">
        <f t="shared" si="7"/>
        <v>0</v>
      </c>
      <c r="L23" s="149"/>
      <c r="M23" s="510"/>
      <c r="N23" s="511"/>
      <c r="O23" s="72"/>
      <c r="P23" s="66"/>
      <c r="Q23" s="145">
        <f t="shared" si="0"/>
        <v>0</v>
      </c>
      <c r="R23" s="147">
        <f t="shared" si="1"/>
        <v>0</v>
      </c>
      <c r="S23" s="152">
        <f t="shared" si="2"/>
        <v>0</v>
      </c>
      <c r="T23" s="66"/>
      <c r="U23" s="145">
        <f t="shared" si="3"/>
        <v>0</v>
      </c>
      <c r="V23" s="147">
        <f t="shared" si="4"/>
        <v>0</v>
      </c>
      <c r="W23" s="152">
        <f t="shared" si="5"/>
        <v>0</v>
      </c>
      <c r="X23" s="295"/>
      <c r="Y23" s="145">
        <f t="shared" si="8"/>
        <v>0</v>
      </c>
      <c r="Z23" s="300"/>
      <c r="AA23" s="67"/>
      <c r="AB23" s="114"/>
      <c r="AC23" s="114"/>
      <c r="AD23" s="114"/>
      <c r="AE23" s="114"/>
      <c r="AF23" s="114"/>
    </row>
    <row r="24" spans="1:32" s="68" customFormat="1" ht="15.75" customHeight="1" x14ac:dyDescent="0.25">
      <c r="A24" s="63" t="s">
        <v>7</v>
      </c>
      <c r="B24" s="299"/>
      <c r="C24" s="533" t="s">
        <v>175</v>
      </c>
      <c r="D24" s="533"/>
      <c r="E24" s="699"/>
      <c r="F24" s="700"/>
      <c r="G24" s="278" t="s">
        <v>26</v>
      </c>
      <c r="H24" s="71" t="s">
        <v>28</v>
      </c>
      <c r="I24" s="140">
        <f t="shared" si="9"/>
        <v>0</v>
      </c>
      <c r="J24" s="147">
        <f t="shared" si="6"/>
        <v>0</v>
      </c>
      <c r="K24" s="152">
        <f t="shared" si="7"/>
        <v>0</v>
      </c>
      <c r="L24" s="149"/>
      <c r="M24" s="510"/>
      <c r="N24" s="511"/>
      <c r="O24" s="72"/>
      <c r="P24" s="66"/>
      <c r="Q24" s="145">
        <f t="shared" si="0"/>
        <v>0</v>
      </c>
      <c r="R24" s="147">
        <f t="shared" si="1"/>
        <v>0</v>
      </c>
      <c r="S24" s="152">
        <f t="shared" si="2"/>
        <v>0</v>
      </c>
      <c r="T24" s="66"/>
      <c r="U24" s="145">
        <f t="shared" si="3"/>
        <v>0</v>
      </c>
      <c r="V24" s="147">
        <f t="shared" si="4"/>
        <v>0</v>
      </c>
      <c r="W24" s="152">
        <f t="shared" si="5"/>
        <v>0</v>
      </c>
      <c r="X24" s="295"/>
      <c r="Y24" s="145">
        <f t="shared" si="8"/>
        <v>0</v>
      </c>
      <c r="Z24" s="296"/>
      <c r="AA24" s="67"/>
      <c r="AB24" s="114"/>
      <c r="AC24" s="114"/>
      <c r="AD24" s="114"/>
      <c r="AE24" s="114"/>
      <c r="AF24" s="114"/>
    </row>
    <row r="25" spans="1:32" s="68" customFormat="1" ht="15.75" customHeight="1" x14ac:dyDescent="0.25">
      <c r="A25" s="63" t="s">
        <v>7</v>
      </c>
      <c r="B25" s="299"/>
      <c r="C25" s="533" t="s">
        <v>176</v>
      </c>
      <c r="D25" s="533"/>
      <c r="E25" s="699"/>
      <c r="F25" s="700"/>
      <c r="G25" s="278" t="s">
        <v>26</v>
      </c>
      <c r="H25" s="71" t="s">
        <v>57</v>
      </c>
      <c r="I25" s="140">
        <f t="shared" si="9"/>
        <v>0</v>
      </c>
      <c r="J25" s="147">
        <f t="shared" si="6"/>
        <v>0</v>
      </c>
      <c r="K25" s="152">
        <f t="shared" si="7"/>
        <v>0</v>
      </c>
      <c r="L25" s="149"/>
      <c r="M25" s="510"/>
      <c r="N25" s="511"/>
      <c r="O25" s="72"/>
      <c r="P25" s="66"/>
      <c r="Q25" s="145">
        <f t="shared" si="0"/>
        <v>0</v>
      </c>
      <c r="R25" s="147">
        <f t="shared" si="1"/>
        <v>0</v>
      </c>
      <c r="S25" s="152">
        <f t="shared" si="2"/>
        <v>0</v>
      </c>
      <c r="T25" s="66"/>
      <c r="U25" s="145">
        <f t="shared" si="3"/>
        <v>0</v>
      </c>
      <c r="V25" s="147">
        <f t="shared" si="4"/>
        <v>0</v>
      </c>
      <c r="W25" s="152">
        <f t="shared" si="5"/>
        <v>0</v>
      </c>
      <c r="X25" s="295"/>
      <c r="Y25" s="145">
        <f t="shared" si="8"/>
        <v>0</v>
      </c>
      <c r="Z25" s="296"/>
      <c r="AA25" s="67"/>
      <c r="AB25" s="114"/>
      <c r="AC25" s="114"/>
      <c r="AD25" s="114"/>
      <c r="AE25" s="114"/>
      <c r="AF25" s="114"/>
    </row>
    <row r="26" spans="1:32" s="68" customFormat="1" ht="15.75" customHeight="1" x14ac:dyDescent="0.25">
      <c r="A26" s="63" t="s">
        <v>7</v>
      </c>
      <c r="B26" s="299"/>
      <c r="C26" s="533" t="s">
        <v>252</v>
      </c>
      <c r="D26" s="533"/>
      <c r="E26" s="699"/>
      <c r="F26" s="700"/>
      <c r="G26" s="278" t="s">
        <v>26</v>
      </c>
      <c r="H26" s="71" t="s">
        <v>57</v>
      </c>
      <c r="I26" s="140">
        <f>$D$11*B26</f>
        <v>0</v>
      </c>
      <c r="J26" s="147">
        <f>IF(A26="Y",I26* 2%,0)</f>
        <v>0</v>
      </c>
      <c r="K26" s="152">
        <f>I26-J26</f>
        <v>0</v>
      </c>
      <c r="L26" s="149"/>
      <c r="M26" s="510"/>
      <c r="N26" s="511"/>
      <c r="O26" s="72"/>
      <c r="P26" s="66"/>
      <c r="Q26" s="145">
        <f t="shared" si="0"/>
        <v>0</v>
      </c>
      <c r="R26" s="147">
        <f>IF(A26="Y", Q26*2%,)</f>
        <v>0</v>
      </c>
      <c r="S26" s="152">
        <f>Q26-R26</f>
        <v>0</v>
      </c>
      <c r="T26" s="66"/>
      <c r="U26" s="145">
        <f t="shared" si="3"/>
        <v>0</v>
      </c>
      <c r="V26" s="147">
        <f t="shared" si="4"/>
        <v>0</v>
      </c>
      <c r="W26" s="152">
        <f>U26-V26</f>
        <v>0</v>
      </c>
      <c r="X26" s="295"/>
      <c r="Y26" s="145">
        <f t="shared" si="8"/>
        <v>0</v>
      </c>
      <c r="Z26" s="296"/>
      <c r="AA26" s="67"/>
      <c r="AB26" s="114"/>
      <c r="AC26" s="114"/>
      <c r="AD26" s="114"/>
      <c r="AE26" s="114"/>
      <c r="AF26" s="114"/>
    </row>
    <row r="27" spans="1:32" s="68" customFormat="1" ht="15.75" customHeight="1" x14ac:dyDescent="0.25">
      <c r="A27" s="63" t="s">
        <v>7</v>
      </c>
      <c r="B27" s="299"/>
      <c r="C27" s="533" t="s">
        <v>211</v>
      </c>
      <c r="D27" s="533"/>
      <c r="E27" s="701"/>
      <c r="F27" s="702"/>
      <c r="G27" s="278" t="s">
        <v>26</v>
      </c>
      <c r="H27" s="71" t="s">
        <v>343</v>
      </c>
      <c r="I27" s="140">
        <f t="shared" si="9"/>
        <v>0</v>
      </c>
      <c r="J27" s="147">
        <f t="shared" si="6"/>
        <v>0</v>
      </c>
      <c r="K27" s="152">
        <f t="shared" si="7"/>
        <v>0</v>
      </c>
      <c r="L27" s="149"/>
      <c r="M27" s="510"/>
      <c r="N27" s="511"/>
      <c r="O27" s="72"/>
      <c r="P27" s="66"/>
      <c r="Q27" s="145">
        <f t="shared" si="0"/>
        <v>0</v>
      </c>
      <c r="R27" s="147">
        <f t="shared" si="1"/>
        <v>0</v>
      </c>
      <c r="S27" s="152">
        <f t="shared" si="2"/>
        <v>0</v>
      </c>
      <c r="T27" s="66"/>
      <c r="U27" s="145">
        <f t="shared" si="3"/>
        <v>0</v>
      </c>
      <c r="V27" s="147">
        <f t="shared" si="4"/>
        <v>0</v>
      </c>
      <c r="W27" s="152">
        <f t="shared" ref="W27:W30" si="10">U27-V27</f>
        <v>0</v>
      </c>
      <c r="X27" s="295"/>
      <c r="Y27" s="145">
        <f t="shared" si="8"/>
        <v>0</v>
      </c>
      <c r="Z27" s="296"/>
      <c r="AA27" s="67"/>
      <c r="AB27" s="114"/>
      <c r="AC27" s="114"/>
      <c r="AD27" s="114"/>
      <c r="AE27" s="114"/>
      <c r="AF27" s="114"/>
    </row>
    <row r="28" spans="1:32" s="68" customFormat="1" ht="15.75" customHeight="1" x14ac:dyDescent="0.25">
      <c r="A28" s="63" t="s">
        <v>7</v>
      </c>
      <c r="B28" s="299"/>
      <c r="C28" s="510" t="s">
        <v>234</v>
      </c>
      <c r="D28" s="531"/>
      <c r="E28" s="531"/>
      <c r="F28" s="532"/>
      <c r="G28" s="278" t="s">
        <v>26</v>
      </c>
      <c r="H28" s="71" t="s">
        <v>29</v>
      </c>
      <c r="I28" s="140">
        <f t="shared" si="9"/>
        <v>0</v>
      </c>
      <c r="J28" s="147">
        <f t="shared" si="6"/>
        <v>0</v>
      </c>
      <c r="K28" s="152">
        <f t="shared" si="7"/>
        <v>0</v>
      </c>
      <c r="L28" s="149"/>
      <c r="M28" s="510"/>
      <c r="N28" s="511"/>
      <c r="O28" s="72"/>
      <c r="P28" s="66"/>
      <c r="Q28" s="145">
        <f t="shared" si="0"/>
        <v>0</v>
      </c>
      <c r="R28" s="147">
        <f t="shared" si="1"/>
        <v>0</v>
      </c>
      <c r="S28" s="152">
        <f t="shared" si="2"/>
        <v>0</v>
      </c>
      <c r="T28" s="66"/>
      <c r="U28" s="145">
        <f t="shared" si="3"/>
        <v>0</v>
      </c>
      <c r="V28" s="147">
        <f t="shared" si="4"/>
        <v>0</v>
      </c>
      <c r="W28" s="152">
        <f t="shared" si="10"/>
        <v>0</v>
      </c>
      <c r="X28" s="295"/>
      <c r="Y28" s="145">
        <f t="shared" si="8"/>
        <v>0</v>
      </c>
      <c r="Z28" s="296"/>
      <c r="AA28" s="67"/>
      <c r="AB28" s="114"/>
      <c r="AC28" s="114"/>
      <c r="AD28" s="114"/>
      <c r="AE28" s="114"/>
      <c r="AF28" s="114"/>
    </row>
    <row r="29" spans="1:32" s="68" customFormat="1" ht="15.75" customHeight="1" x14ac:dyDescent="0.25">
      <c r="A29" s="63" t="s">
        <v>7</v>
      </c>
      <c r="B29" s="164">
        <v>5</v>
      </c>
      <c r="C29" s="703" t="s">
        <v>294</v>
      </c>
      <c r="D29" s="704"/>
      <c r="E29" s="704"/>
      <c r="F29" s="705"/>
      <c r="G29" s="278" t="s">
        <v>25</v>
      </c>
      <c r="H29" s="464" t="s">
        <v>30</v>
      </c>
      <c r="I29" s="140">
        <f>$D$11*B29</f>
        <v>0</v>
      </c>
      <c r="J29" s="147">
        <f t="shared" si="6"/>
        <v>0</v>
      </c>
      <c r="K29" s="152">
        <f t="shared" si="7"/>
        <v>0</v>
      </c>
      <c r="L29" s="149"/>
      <c r="M29" s="510"/>
      <c r="N29" s="511"/>
      <c r="O29" s="72"/>
      <c r="P29" s="66"/>
      <c r="Q29" s="145">
        <f t="shared" si="0"/>
        <v>0</v>
      </c>
      <c r="R29" s="147">
        <f t="shared" si="1"/>
        <v>0</v>
      </c>
      <c r="S29" s="152">
        <f t="shared" si="2"/>
        <v>0</v>
      </c>
      <c r="T29" s="66"/>
      <c r="U29" s="145">
        <f t="shared" si="3"/>
        <v>0</v>
      </c>
      <c r="V29" s="147">
        <f t="shared" si="4"/>
        <v>0</v>
      </c>
      <c r="W29" s="152">
        <f t="shared" si="10"/>
        <v>0</v>
      </c>
      <c r="X29" s="295"/>
      <c r="Y29" s="145">
        <f t="shared" si="8"/>
        <v>0</v>
      </c>
      <c r="Z29" s="300"/>
      <c r="AA29" s="67"/>
      <c r="AB29" s="114"/>
      <c r="AC29" s="114"/>
      <c r="AD29" s="114"/>
      <c r="AE29" s="114"/>
      <c r="AF29" s="114"/>
    </row>
    <row r="30" spans="1:32" s="68" customFormat="1" ht="15.75" customHeight="1" x14ac:dyDescent="0.25">
      <c r="A30" s="63" t="s">
        <v>6</v>
      </c>
      <c r="B30" s="69"/>
      <c r="C30" s="510" t="s">
        <v>177</v>
      </c>
      <c r="D30" s="531"/>
      <c r="E30" s="531"/>
      <c r="F30" s="532"/>
      <c r="G30" s="278" t="s">
        <v>25</v>
      </c>
      <c r="H30" s="464" t="s">
        <v>9</v>
      </c>
      <c r="I30" s="140">
        <f>$D$10*20%</f>
        <v>0</v>
      </c>
      <c r="J30" s="147">
        <f t="shared" si="6"/>
        <v>0</v>
      </c>
      <c r="K30" s="152">
        <f>I30-J30</f>
        <v>0</v>
      </c>
      <c r="L30" s="149"/>
      <c r="M30" s="510"/>
      <c r="N30" s="511"/>
      <c r="O30" s="72"/>
      <c r="P30" s="66"/>
      <c r="Q30" s="145">
        <f t="shared" si="0"/>
        <v>0</v>
      </c>
      <c r="R30" s="147">
        <f t="shared" si="1"/>
        <v>0</v>
      </c>
      <c r="S30" s="152">
        <f t="shared" si="2"/>
        <v>0</v>
      </c>
      <c r="T30" s="66"/>
      <c r="U30" s="145">
        <f t="shared" si="3"/>
        <v>0</v>
      </c>
      <c r="V30" s="147">
        <f t="shared" si="4"/>
        <v>0</v>
      </c>
      <c r="W30" s="152">
        <f t="shared" si="10"/>
        <v>0</v>
      </c>
      <c r="X30" s="295"/>
      <c r="Y30" s="145">
        <f t="shared" si="8"/>
        <v>0</v>
      </c>
      <c r="Z30" s="296"/>
      <c r="AA30" s="67"/>
      <c r="AB30" s="114"/>
      <c r="AC30" s="114"/>
      <c r="AD30" s="114"/>
      <c r="AE30" s="114"/>
      <c r="AF30" s="114"/>
    </row>
    <row r="31" spans="1:32" s="80" customFormat="1" ht="15.75" customHeight="1" x14ac:dyDescent="0.25">
      <c r="A31" s="63"/>
      <c r="B31" s="76"/>
      <c r="C31" s="534" t="s">
        <v>178</v>
      </c>
      <c r="D31" s="535"/>
      <c r="E31" s="535"/>
      <c r="F31" s="536"/>
      <c r="G31" s="301"/>
      <c r="H31" s="465"/>
      <c r="I31" s="142">
        <f>SUM(I16:I30)</f>
        <v>0</v>
      </c>
      <c r="J31" s="147"/>
      <c r="K31" s="153">
        <f>SUM(K16:K30)</f>
        <v>0</v>
      </c>
      <c r="L31" s="150"/>
      <c r="M31" s="510"/>
      <c r="N31" s="511"/>
      <c r="O31" s="166">
        <f>SUM(O16:O30)</f>
        <v>0</v>
      </c>
      <c r="P31" s="111"/>
      <c r="Q31" s="142">
        <f>IF($Q$38=0,,Q38-SUM(Q32:Q35))</f>
        <v>0</v>
      </c>
      <c r="R31" s="147"/>
      <c r="S31" s="153">
        <f>SUM(S16:S30)</f>
        <v>0</v>
      </c>
      <c r="T31" s="111"/>
      <c r="U31" s="142">
        <f>IF($U$38=0,,U38-SUM(U32:U35))</f>
        <v>0</v>
      </c>
      <c r="V31" s="147"/>
      <c r="W31" s="153">
        <f>SUM(W16:W30)</f>
        <v>0</v>
      </c>
      <c r="X31" s="302"/>
      <c r="Y31" s="145">
        <f t="shared" si="8"/>
        <v>0</v>
      </c>
      <c r="Z31" s="296"/>
      <c r="AA31" s="79"/>
      <c r="AB31" s="129"/>
      <c r="AC31" s="129"/>
      <c r="AD31" s="129"/>
      <c r="AE31" s="129"/>
      <c r="AF31" s="129"/>
    </row>
    <row r="32" spans="1:32" s="68" customFormat="1" ht="15" customHeight="1" x14ac:dyDescent="0.25">
      <c r="A32" s="63" t="s">
        <v>6</v>
      </c>
      <c r="B32" s="69"/>
      <c r="C32" s="510" t="s">
        <v>253</v>
      </c>
      <c r="D32" s="531"/>
      <c r="E32" s="531"/>
      <c r="F32" s="532"/>
      <c r="G32" s="278" t="s">
        <v>25</v>
      </c>
      <c r="H32" s="464" t="s">
        <v>32</v>
      </c>
      <c r="I32" s="141"/>
      <c r="J32" s="147">
        <f>IF(A32="Y", I32*2%,0)</f>
        <v>0</v>
      </c>
      <c r="K32" s="152">
        <f>I32-J32</f>
        <v>0</v>
      </c>
      <c r="L32" s="149"/>
      <c r="M32" s="279"/>
      <c r="N32" s="280"/>
      <c r="O32" s="72"/>
      <c r="P32" s="66"/>
      <c r="Q32" s="140">
        <f>IF($Q$38=0,,I32)</f>
        <v>0</v>
      </c>
      <c r="R32" s="147">
        <f t="shared" ref="R32:R35" si="11">IF(A32="Y", Q32*2%,)</f>
        <v>0</v>
      </c>
      <c r="S32" s="152">
        <f t="shared" ref="S32" si="12">Q32-R32</f>
        <v>0</v>
      </c>
      <c r="T32" s="66"/>
      <c r="U32" s="140">
        <f>IF($U$38=0,,I32*$U$15)</f>
        <v>0</v>
      </c>
      <c r="V32" s="147">
        <f>IF(A32="Y", U32*2%,)</f>
        <v>0</v>
      </c>
      <c r="W32" s="152">
        <f t="shared" ref="W32:W35" si="13">U32-V32</f>
        <v>0</v>
      </c>
      <c r="X32" s="295"/>
      <c r="Y32" s="145">
        <f t="shared" si="8"/>
        <v>0</v>
      </c>
      <c r="Z32" s="296"/>
      <c r="AA32" s="67"/>
      <c r="AB32" s="114"/>
      <c r="AC32" s="114"/>
      <c r="AD32" s="114"/>
      <c r="AE32" s="114"/>
      <c r="AF32" s="114"/>
    </row>
    <row r="33" spans="1:32" s="68" customFormat="1" ht="15.75" customHeight="1" x14ac:dyDescent="0.25">
      <c r="A33" s="63" t="s">
        <v>6</v>
      </c>
      <c r="B33" s="69"/>
      <c r="C33" s="537" t="s">
        <v>216</v>
      </c>
      <c r="D33" s="538"/>
      <c r="E33" s="538"/>
      <c r="F33" s="539"/>
      <c r="G33" s="213" t="s">
        <v>25</v>
      </c>
      <c r="H33" s="466" t="s">
        <v>30</v>
      </c>
      <c r="I33" s="141"/>
      <c r="J33" s="147">
        <f t="shared" ref="J33:J35" si="14">IF(A33="Y", I33*2%,0)</f>
        <v>0</v>
      </c>
      <c r="K33" s="152">
        <f t="shared" ref="K33:K35" si="15">I33-J33</f>
        <v>0</v>
      </c>
      <c r="L33" s="149"/>
      <c r="M33" s="510"/>
      <c r="N33" s="511"/>
      <c r="O33" s="72"/>
      <c r="P33" s="66"/>
      <c r="Q33" s="140">
        <f>IF($Q$38=0,,I33)</f>
        <v>0</v>
      </c>
      <c r="R33" s="147">
        <f t="shared" si="11"/>
        <v>0</v>
      </c>
      <c r="S33" s="152">
        <f t="shared" si="2"/>
        <v>0</v>
      </c>
      <c r="T33" s="66"/>
      <c r="U33" s="140">
        <f>IF($U$38=0,,I33*$U$15)</f>
        <v>0</v>
      </c>
      <c r="V33" s="147">
        <f>IF(A33="Y", U33*2%,)</f>
        <v>0</v>
      </c>
      <c r="W33" s="152">
        <f t="shared" si="13"/>
        <v>0</v>
      </c>
      <c r="X33" s="295"/>
      <c r="Y33" s="145">
        <f t="shared" si="8"/>
        <v>0</v>
      </c>
      <c r="Z33" s="296"/>
      <c r="AA33" s="67"/>
      <c r="AB33" s="114"/>
      <c r="AC33" s="114"/>
      <c r="AD33" s="114"/>
      <c r="AE33" s="114"/>
      <c r="AF33" s="114"/>
    </row>
    <row r="34" spans="1:32" s="68" customFormat="1" ht="15.75" customHeight="1" x14ac:dyDescent="0.25">
      <c r="A34" s="63" t="s">
        <v>6</v>
      </c>
      <c r="B34" s="83"/>
      <c r="C34" s="537" t="s">
        <v>189</v>
      </c>
      <c r="D34" s="538"/>
      <c r="E34" s="538"/>
      <c r="F34" s="539"/>
      <c r="G34" s="213" t="s">
        <v>187</v>
      </c>
      <c r="H34" s="466" t="s">
        <v>18</v>
      </c>
      <c r="I34" s="141"/>
      <c r="J34" s="147">
        <f t="shared" si="14"/>
        <v>0</v>
      </c>
      <c r="K34" s="152">
        <f t="shared" si="15"/>
        <v>0</v>
      </c>
      <c r="L34" s="149"/>
      <c r="M34" s="510"/>
      <c r="N34" s="511"/>
      <c r="O34" s="72"/>
      <c r="P34" s="66"/>
      <c r="Q34" s="140">
        <f>IF($Q$38=0,,I34)</f>
        <v>0</v>
      </c>
      <c r="R34" s="147">
        <f t="shared" si="11"/>
        <v>0</v>
      </c>
      <c r="S34" s="152">
        <f t="shared" si="2"/>
        <v>0</v>
      </c>
      <c r="T34" s="66"/>
      <c r="U34" s="140">
        <f>IF($U$38=0,,I34*$U$15)</f>
        <v>0</v>
      </c>
      <c r="V34" s="147">
        <f>IF(A34="Y", U34*2%,)</f>
        <v>0</v>
      </c>
      <c r="W34" s="152">
        <f t="shared" si="13"/>
        <v>0</v>
      </c>
      <c r="X34" s="295"/>
      <c r="Y34" s="145">
        <f t="shared" si="8"/>
        <v>0</v>
      </c>
      <c r="Z34" s="296"/>
      <c r="AA34" s="71"/>
      <c r="AB34" s="114"/>
      <c r="AC34" s="114"/>
      <c r="AD34" s="114"/>
      <c r="AE34" s="114"/>
      <c r="AF34" s="114"/>
    </row>
    <row r="35" spans="1:32" s="68" customFormat="1" ht="15.75" customHeight="1" x14ac:dyDescent="0.25">
      <c r="A35" s="63" t="s">
        <v>6</v>
      </c>
      <c r="B35" s="83"/>
      <c r="C35" s="537" t="s">
        <v>182</v>
      </c>
      <c r="D35" s="538"/>
      <c r="E35" s="538"/>
      <c r="F35" s="539"/>
      <c r="G35" s="213" t="s">
        <v>25</v>
      </c>
      <c r="H35" s="466" t="s">
        <v>342</v>
      </c>
      <c r="I35" s="141"/>
      <c r="J35" s="147">
        <f t="shared" si="14"/>
        <v>0</v>
      </c>
      <c r="K35" s="152">
        <f t="shared" si="15"/>
        <v>0</v>
      </c>
      <c r="L35" s="149"/>
      <c r="M35" s="510"/>
      <c r="N35" s="511"/>
      <c r="O35" s="72"/>
      <c r="P35" s="66"/>
      <c r="Q35" s="140">
        <f>IF($Q$38=0,,I35)</f>
        <v>0</v>
      </c>
      <c r="R35" s="147">
        <f t="shared" si="11"/>
        <v>0</v>
      </c>
      <c r="S35" s="152">
        <f t="shared" si="2"/>
        <v>0</v>
      </c>
      <c r="T35" s="66"/>
      <c r="U35" s="140">
        <f>IF($U$38=0,,I35*$U$15)</f>
        <v>0</v>
      </c>
      <c r="V35" s="147">
        <f>IF(A35="Y", U35*2%,)</f>
        <v>0</v>
      </c>
      <c r="W35" s="152">
        <f t="shared" si="13"/>
        <v>0</v>
      </c>
      <c r="X35" s="295"/>
      <c r="Y35" s="145">
        <f t="shared" si="8"/>
        <v>0</v>
      </c>
      <c r="Z35" s="296"/>
      <c r="AA35" s="71"/>
      <c r="AB35" s="114"/>
      <c r="AC35" s="114"/>
      <c r="AD35" s="114"/>
      <c r="AE35" s="114"/>
      <c r="AF35" s="114"/>
    </row>
    <row r="36" spans="1:32" s="68" customFormat="1" ht="31.5" customHeight="1" x14ac:dyDescent="0.25">
      <c r="A36" s="83" t="s">
        <v>6</v>
      </c>
      <c r="B36" s="83"/>
      <c r="C36" s="510" t="s">
        <v>265</v>
      </c>
      <c r="D36" s="531"/>
      <c r="E36" s="531"/>
      <c r="F36" s="532"/>
      <c r="G36" s="213" t="s">
        <v>25</v>
      </c>
      <c r="H36" s="466" t="s">
        <v>345</v>
      </c>
      <c r="I36" s="86"/>
      <c r="J36" s="148"/>
      <c r="K36" s="154">
        <f>J37</f>
        <v>0</v>
      </c>
      <c r="L36" s="149"/>
      <c r="M36" s="510"/>
      <c r="N36" s="511"/>
      <c r="O36" s="72"/>
      <c r="P36" s="66"/>
      <c r="Q36" s="93"/>
      <c r="R36" s="148"/>
      <c r="S36" s="154">
        <f>R37</f>
        <v>0</v>
      </c>
      <c r="T36" s="66"/>
      <c r="U36" s="93"/>
      <c r="V36" s="148"/>
      <c r="W36" s="154">
        <f>V37</f>
        <v>0</v>
      </c>
      <c r="X36" s="303"/>
      <c r="Y36" s="145">
        <f t="shared" si="8"/>
        <v>0</v>
      </c>
      <c r="Z36" s="296"/>
      <c r="AA36" s="71"/>
      <c r="AB36" s="114"/>
      <c r="AC36" s="114"/>
      <c r="AD36" s="114"/>
      <c r="AE36" s="114"/>
      <c r="AF36" s="114"/>
    </row>
    <row r="37" spans="1:32" s="114" customFormat="1" ht="14.5" x14ac:dyDescent="0.25">
      <c r="A37" s="112"/>
      <c r="B37" s="112"/>
      <c r="C37" s="112"/>
      <c r="D37" s="112"/>
      <c r="E37" s="113"/>
      <c r="F37" s="113"/>
      <c r="J37" s="115">
        <f>SUM(J16:J36)</f>
        <v>0</v>
      </c>
      <c r="K37" s="155"/>
      <c r="O37" s="116"/>
      <c r="P37" s="117"/>
      <c r="R37" s="115">
        <f>SUM(R16:R36)</f>
        <v>0</v>
      </c>
      <c r="S37" s="155"/>
      <c r="T37" s="117"/>
      <c r="V37" s="115">
        <f>SUM(V16:V36)</f>
        <v>0</v>
      </c>
      <c r="W37" s="155"/>
      <c r="X37" s="187"/>
      <c r="Y37" s="165"/>
      <c r="Z37" s="165"/>
      <c r="AA37" s="118"/>
    </row>
    <row r="38" spans="1:32" s="95" customFormat="1" ht="16" thickBot="1" x14ac:dyDescent="0.3">
      <c r="A38" s="130"/>
      <c r="B38" s="130"/>
      <c r="C38" s="130"/>
      <c r="D38" s="130"/>
      <c r="E38" s="119"/>
      <c r="F38" s="131" t="s">
        <v>67</v>
      </c>
      <c r="G38" s="132"/>
      <c r="H38" s="133" t="s">
        <v>1</v>
      </c>
      <c r="I38" s="134">
        <f>SUM(I31:I37)</f>
        <v>0</v>
      </c>
      <c r="J38" s="135"/>
      <c r="K38" s="156">
        <f>SUM(K31:K37)</f>
        <v>0</v>
      </c>
      <c r="L38" s="136"/>
      <c r="M38" s="130" t="s">
        <v>1</v>
      </c>
      <c r="N38" s="130"/>
      <c r="O38" s="137">
        <f>SUM(O31:O37)</f>
        <v>0</v>
      </c>
      <c r="P38" s="136"/>
      <c r="Q38" s="179">
        <v>0</v>
      </c>
      <c r="R38" s="135"/>
      <c r="S38" s="156">
        <f>SUM(S31:S37)</f>
        <v>0</v>
      </c>
      <c r="T38" s="136"/>
      <c r="U38" s="179">
        <v>0</v>
      </c>
      <c r="V38" s="135"/>
      <c r="W38" s="156">
        <f>SUM(W31:W37)</f>
        <v>0</v>
      </c>
      <c r="X38" s="304"/>
      <c r="Y38" s="175">
        <f>SUM(Y31:Y37)</f>
        <v>0</v>
      </c>
      <c r="Z38" s="305"/>
      <c r="AA38" s="138"/>
    </row>
    <row r="39" spans="1:32" s="95" customFormat="1" ht="16" thickTop="1" x14ac:dyDescent="0.25">
      <c r="A39" s="449"/>
      <c r="B39" s="449"/>
      <c r="C39" s="449"/>
      <c r="D39" s="449"/>
      <c r="E39" s="450"/>
      <c r="F39" s="451"/>
      <c r="G39" s="452"/>
      <c r="H39" s="453"/>
      <c r="I39" s="454"/>
      <c r="J39" s="454"/>
      <c r="K39" s="454"/>
      <c r="L39" s="455"/>
      <c r="M39" s="449"/>
      <c r="N39" s="449"/>
      <c r="O39" s="454"/>
      <c r="P39" s="455"/>
      <c r="Q39" s="455"/>
      <c r="R39" s="454"/>
      <c r="S39" s="454"/>
      <c r="T39" s="455"/>
      <c r="U39" s="455"/>
      <c r="V39" s="135"/>
      <c r="W39" s="135"/>
      <c r="X39" s="135"/>
      <c r="Y39" s="305"/>
      <c r="Z39" s="305"/>
      <c r="AA39" s="138"/>
    </row>
  </sheetData>
  <sheetProtection insertRows="0"/>
  <mergeCells count="106">
    <mergeCell ref="C36:F36"/>
    <mergeCell ref="M36:N36"/>
    <mergeCell ref="C32:F32"/>
    <mergeCell ref="C33:F33"/>
    <mergeCell ref="M33:N33"/>
    <mergeCell ref="C34:F34"/>
    <mergeCell ref="M34:N34"/>
    <mergeCell ref="C35:F35"/>
    <mergeCell ref="M35:N35"/>
    <mergeCell ref="C29:F29"/>
    <mergeCell ref="M29:N29"/>
    <mergeCell ref="C30:F30"/>
    <mergeCell ref="M30:N30"/>
    <mergeCell ref="C31:F31"/>
    <mergeCell ref="M31:N31"/>
    <mergeCell ref="M25:N25"/>
    <mergeCell ref="C26:D26"/>
    <mergeCell ref="M26:N26"/>
    <mergeCell ref="C27:D27"/>
    <mergeCell ref="M27:N27"/>
    <mergeCell ref="C28:F28"/>
    <mergeCell ref="M28:N28"/>
    <mergeCell ref="C21:F21"/>
    <mergeCell ref="M21:N21"/>
    <mergeCell ref="C22:F22"/>
    <mergeCell ref="M22:N22"/>
    <mergeCell ref="C23:D23"/>
    <mergeCell ref="E23:F27"/>
    <mergeCell ref="M23:N23"/>
    <mergeCell ref="C24:D24"/>
    <mergeCell ref="M24:N24"/>
    <mergeCell ref="C25:D25"/>
    <mergeCell ref="C18:F18"/>
    <mergeCell ref="M18:N18"/>
    <mergeCell ref="C19:F19"/>
    <mergeCell ref="M19:N19"/>
    <mergeCell ref="C20:F20"/>
    <mergeCell ref="M20:N20"/>
    <mergeCell ref="Z14:Z15"/>
    <mergeCell ref="AA14:AA15"/>
    <mergeCell ref="M15:N15"/>
    <mergeCell ref="B16:B17"/>
    <mergeCell ref="C16:F16"/>
    <mergeCell ref="M16:N16"/>
    <mergeCell ref="C17:F17"/>
    <mergeCell ref="M17:N17"/>
    <mergeCell ref="I13:K13"/>
    <mergeCell ref="M13:O13"/>
    <mergeCell ref="Q13:S13"/>
    <mergeCell ref="U13:W13"/>
    <mergeCell ref="C14:F15"/>
    <mergeCell ref="I14:I15"/>
    <mergeCell ref="J14:J15"/>
    <mergeCell ref="M14:N14"/>
    <mergeCell ref="R14:R15"/>
    <mergeCell ref="V14:V15"/>
    <mergeCell ref="A11:C11"/>
    <mergeCell ref="D11:E11"/>
    <mergeCell ref="F11:G11"/>
    <mergeCell ref="I11:L11"/>
    <mergeCell ref="M11:N11"/>
    <mergeCell ref="Q11:W11"/>
    <mergeCell ref="A10:C10"/>
    <mergeCell ref="D10:E10"/>
    <mergeCell ref="F10:G10"/>
    <mergeCell ref="I10:L10"/>
    <mergeCell ref="M10:N10"/>
    <mergeCell ref="Q10:W10"/>
    <mergeCell ref="Q8:W9"/>
    <mergeCell ref="A9:C9"/>
    <mergeCell ref="D9:E9"/>
    <mergeCell ref="F9:G9"/>
    <mergeCell ref="I9:L9"/>
    <mergeCell ref="M9:N9"/>
    <mergeCell ref="A7:C7"/>
    <mergeCell ref="D7:E7"/>
    <mergeCell ref="F7:G7"/>
    <mergeCell ref="I7:L7"/>
    <mergeCell ref="Q7:W7"/>
    <mergeCell ref="A8:C8"/>
    <mergeCell ref="D8:E8"/>
    <mergeCell ref="F8:G8"/>
    <mergeCell ref="I8:L8"/>
    <mergeCell ref="M8:N8"/>
    <mergeCell ref="A6:C6"/>
    <mergeCell ref="D6:E6"/>
    <mergeCell ref="F6:G6"/>
    <mergeCell ref="I6:L6"/>
    <mergeCell ref="M6:N6"/>
    <mergeCell ref="Q6:W6"/>
    <mergeCell ref="A5:C5"/>
    <mergeCell ref="D5:E5"/>
    <mergeCell ref="F5:G5"/>
    <mergeCell ref="I5:L5"/>
    <mergeCell ref="M5:N5"/>
    <mergeCell ref="Q5:W5"/>
    <mergeCell ref="A1:K1"/>
    <mergeCell ref="L1:U1"/>
    <mergeCell ref="M3:N3"/>
    <mergeCell ref="Q3:W3"/>
    <mergeCell ref="A4:C4"/>
    <mergeCell ref="D4:E4"/>
    <mergeCell ref="F4:G4"/>
    <mergeCell ref="I4:L4"/>
    <mergeCell ref="M4:N4"/>
    <mergeCell ref="Q4:W4"/>
  </mergeCells>
  <conditionalFormatting sqref="E23">
    <cfRule type="cellIs" dxfId="19" priority="1" operator="notEqual">
      <formula>"GC 76000 PA ($" &amp;O11 &amp;" for every 10) breakdown per local board of supervisor resolution (BOS)."</formula>
    </cfRule>
  </conditionalFormatting>
  <conditionalFormatting sqref="I16:K31 J32:K36">
    <cfRule type="cellIs" dxfId="18" priority="3" operator="equal">
      <formula>0</formula>
    </cfRule>
  </conditionalFormatting>
  <conditionalFormatting sqref="M16:O36">
    <cfRule type="expression" dxfId="17" priority="4">
      <formula>MOD(ROW(),2)=0</formula>
    </cfRule>
  </conditionalFormatting>
  <conditionalFormatting sqref="Q16:S36 U16:W36">
    <cfRule type="cellIs" dxfId="16" priority="6" stopIfTrue="1" operator="equal">
      <formula>0</formula>
    </cfRule>
  </conditionalFormatting>
  <conditionalFormatting sqref="U12:V12 Y13:Z13 U40:V65522">
    <cfRule type="cellIs" dxfId="15" priority="5" stopIfTrue="1" operator="notEqual">
      <formula>0</formula>
    </cfRule>
  </conditionalFormatting>
  <conditionalFormatting sqref="Z16:Z36">
    <cfRule type="cellIs" dxfId="14" priority="2" operator="greaterThan">
      <formula>0</formula>
    </cfRule>
  </conditionalFormatting>
  <dataValidations count="1">
    <dataValidation type="list" allowBlank="1" showInputMessage="1" showErrorMessage="1" sqref="Y15" xr:uid="{6C111949-0859-4BDF-BE26-75EA06F6AE27}">
      <formula1>Distribution_Method</formula1>
    </dataValidation>
  </dataValidations>
  <printOptions horizontalCentered="1"/>
  <pageMargins left="0.25" right="0.25" top="0.75" bottom="0.5" header="0.25" footer="0.25"/>
  <pageSetup scale="66" orientation="landscape" r:id="rId1"/>
  <headerFooter alignWithMargins="0">
    <oddHeader>&amp;CSUPERIOR OF COURT OF _________ COUNTY
Revenue Calculation and Distribution Worksheet</oddHeader>
    <oddFooter>&amp;L&amp;F&amp;R&amp;P of 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BEAF-372E-4115-A862-189EE8AC90B3}">
  <sheetPr>
    <tabColor theme="6"/>
    <pageSetUpPr fitToPage="1"/>
  </sheetPr>
  <dimension ref="A1:AG42"/>
  <sheetViews>
    <sheetView zoomScale="75" zoomScaleNormal="75" workbookViewId="0">
      <pane ySplit="1" topLeftCell="A2" activePane="bottomLeft" state="frozen"/>
      <selection sqref="A1:K1"/>
      <selection pane="bottomLeft" activeCell="I18" sqref="I18"/>
    </sheetView>
  </sheetViews>
  <sheetFormatPr defaultColWidth="9.1796875" defaultRowHeight="18.5" x14ac:dyDescent="0.25"/>
  <cols>
    <col min="1" max="1" width="4.26953125" style="207" customWidth="1"/>
    <col min="2" max="2" width="4.7265625" style="207" customWidth="1"/>
    <col min="3" max="3" width="13.54296875" style="207" customWidth="1"/>
    <col min="4" max="4" width="12.453125" style="207" customWidth="1"/>
    <col min="5" max="5" width="10.7265625" style="208" customWidth="1"/>
    <col min="6" max="6" width="17.54296875" style="206" customWidth="1"/>
    <col min="7" max="7" width="11" style="199" customWidth="1"/>
    <col min="8" max="8" width="30.7265625" style="199" hidden="1" customWidth="1"/>
    <col min="9" max="9" width="11" style="199" customWidth="1"/>
    <col min="10" max="10" width="14.1796875" style="199" hidden="1" customWidth="1"/>
    <col min="11" max="11" width="6" style="199" customWidth="1"/>
    <col min="12" max="12" width="11.1796875" style="209" customWidth="1"/>
    <col min="13" max="13" width="1.7265625" style="273" customWidth="1"/>
    <col min="14" max="14" width="15.26953125" style="199" customWidth="1"/>
    <col min="15" max="15" width="1.54296875" style="199" customWidth="1"/>
    <col min="16" max="16" width="11" style="199" customWidth="1"/>
    <col min="17" max="17" width="1.81640625" style="273" customWidth="1"/>
    <col min="18" max="18" width="10.81640625" style="273" customWidth="1"/>
    <col min="19" max="19" width="5.7265625" style="273" customWidth="1"/>
    <col min="20" max="20" width="10.7265625" style="273" customWidth="1"/>
    <col min="21" max="21" width="1.81640625" style="308" customWidth="1"/>
    <col min="22" max="22" width="12.453125" style="419" customWidth="1"/>
    <col min="23" max="23" width="6" style="419" customWidth="1"/>
    <col min="24" max="24" width="18.54296875" style="420" customWidth="1"/>
    <col min="25" max="25" width="2.1796875" style="308" customWidth="1"/>
    <col min="26" max="26" width="11.26953125" style="308" customWidth="1"/>
    <col min="27" max="27" width="11.1796875" style="308" customWidth="1"/>
    <col min="28" max="28" width="11.90625" style="308" customWidth="1"/>
    <col min="29" max="29" width="9.1796875" style="308"/>
    <col min="30" max="16384" width="9.1796875" style="199"/>
  </cols>
  <sheetData>
    <row r="1" spans="1:33" ht="20.25" customHeight="1" thickBot="1" x14ac:dyDescent="0.3">
      <c r="A1" s="791" t="s">
        <v>349</v>
      </c>
      <c r="B1" s="792"/>
      <c r="C1" s="792"/>
      <c r="D1" s="792"/>
      <c r="E1" s="792"/>
      <c r="F1" s="792"/>
      <c r="G1" s="792"/>
      <c r="H1" s="792"/>
      <c r="I1" s="792"/>
      <c r="J1" s="792"/>
      <c r="K1" s="792"/>
      <c r="L1" s="792"/>
      <c r="M1" s="793"/>
      <c r="N1" s="793"/>
      <c r="O1" s="793"/>
      <c r="P1" s="793"/>
      <c r="Q1" s="793"/>
      <c r="R1" s="793"/>
      <c r="S1" s="793"/>
      <c r="T1" s="793"/>
      <c r="U1" s="793"/>
      <c r="V1" s="793"/>
      <c r="W1" s="421" t="s">
        <v>264</v>
      </c>
      <c r="X1" s="485">
        <v>45292</v>
      </c>
    </row>
    <row r="2" spans="1:33" s="308" customFormat="1" ht="6" customHeight="1" thickBot="1" x14ac:dyDescent="0.3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9"/>
      <c r="L2" s="239"/>
      <c r="M2" s="239"/>
      <c r="N2" s="239"/>
      <c r="O2" s="239"/>
      <c r="P2" s="309"/>
      <c r="Q2" s="309"/>
      <c r="R2" s="309"/>
      <c r="S2" s="309"/>
      <c r="T2" s="309"/>
      <c r="U2" s="309"/>
      <c r="V2" s="309"/>
      <c r="W2" s="309"/>
      <c r="X2" s="309"/>
    </row>
    <row r="3" spans="1:33" s="308" customFormat="1" ht="19" thickBot="1" x14ac:dyDescent="0.3">
      <c r="A3" s="310" t="s">
        <v>191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882"/>
      <c r="O3" s="883"/>
      <c r="P3" s="442"/>
      <c r="Q3" s="313"/>
      <c r="R3" s="884" t="s">
        <v>218</v>
      </c>
      <c r="S3" s="885"/>
      <c r="T3" s="885"/>
      <c r="U3" s="885"/>
      <c r="V3" s="885"/>
      <c r="W3" s="885"/>
      <c r="X3" s="886"/>
      <c r="Z3" s="313" t="s">
        <v>207</v>
      </c>
      <c r="AA3" s="314"/>
    </row>
    <row r="4" spans="1:33" s="195" customFormat="1" ht="15.5" x14ac:dyDescent="0.25">
      <c r="A4" s="875" t="s">
        <v>188</v>
      </c>
      <c r="B4" s="876"/>
      <c r="C4" s="876"/>
      <c r="D4" s="887"/>
      <c r="E4" s="888"/>
      <c r="F4" s="889" t="s">
        <v>22</v>
      </c>
      <c r="G4" s="797"/>
      <c r="H4" s="276"/>
      <c r="I4" s="890"/>
      <c r="J4" s="890"/>
      <c r="K4" s="890"/>
      <c r="L4" s="890"/>
      <c r="M4" s="890"/>
      <c r="N4" s="891" t="s">
        <v>214</v>
      </c>
      <c r="O4" s="891"/>
      <c r="P4" s="274"/>
      <c r="Q4" s="416"/>
      <c r="R4" s="892" t="s">
        <v>193</v>
      </c>
      <c r="S4" s="893"/>
      <c r="T4" s="893"/>
      <c r="U4" s="893"/>
      <c r="V4" s="893"/>
      <c r="W4" s="893"/>
      <c r="X4" s="894"/>
      <c r="Z4" s="422" t="s">
        <v>242</v>
      </c>
      <c r="AA4" s="317" t="s">
        <v>243</v>
      </c>
      <c r="AB4" s="317" t="s">
        <v>300</v>
      </c>
      <c r="AC4" s="317" t="s">
        <v>301</v>
      </c>
    </row>
    <row r="5" spans="1:33" s="195" customFormat="1" ht="15.5" x14ac:dyDescent="0.25">
      <c r="A5" s="866" t="s">
        <v>3</v>
      </c>
      <c r="B5" s="780"/>
      <c r="C5" s="780"/>
      <c r="D5" s="781">
        <v>45063</v>
      </c>
      <c r="E5" s="786"/>
      <c r="F5" s="850" t="s">
        <v>201</v>
      </c>
      <c r="G5" s="851"/>
      <c r="H5" s="196"/>
      <c r="I5" s="852" t="s">
        <v>337</v>
      </c>
      <c r="J5" s="852"/>
      <c r="K5" s="852"/>
      <c r="L5" s="852"/>
      <c r="M5" s="852"/>
      <c r="N5" s="816" t="s">
        <v>17</v>
      </c>
      <c r="O5" s="816"/>
      <c r="P5" s="241"/>
      <c r="Q5" s="416"/>
      <c r="R5" s="880" t="s">
        <v>325</v>
      </c>
      <c r="S5" s="809"/>
      <c r="T5" s="809"/>
      <c r="U5" s="809"/>
      <c r="V5" s="809"/>
      <c r="W5" s="809"/>
      <c r="X5" s="881"/>
      <c r="Z5" s="318" t="s">
        <v>25</v>
      </c>
      <c r="AA5" s="319">
        <f>SUMIF($G$16:$G$37,"STATE",$L$16:$L$37)</f>
        <v>0</v>
      </c>
      <c r="AB5" s="319">
        <f>SUMIF($G$16:$G$37,"STATE",$T$16:$T$37)</f>
        <v>0</v>
      </c>
      <c r="AC5" s="319">
        <f>SUMIF($G$16:$G$37,"STATE",$X$16:$X$37)</f>
        <v>0</v>
      </c>
    </row>
    <row r="6" spans="1:33" s="195" customFormat="1" ht="16" thickBot="1" x14ac:dyDescent="0.3">
      <c r="A6" s="866" t="s">
        <v>10</v>
      </c>
      <c r="B6" s="780"/>
      <c r="C6" s="780"/>
      <c r="D6" s="781">
        <v>45239</v>
      </c>
      <c r="E6" s="786"/>
      <c r="F6" s="850" t="s">
        <v>15</v>
      </c>
      <c r="G6" s="851"/>
      <c r="H6" s="196"/>
      <c r="I6" s="852" t="s">
        <v>307</v>
      </c>
      <c r="J6" s="852"/>
      <c r="K6" s="852"/>
      <c r="L6" s="852"/>
      <c r="M6" s="852"/>
      <c r="N6" s="853" t="s">
        <v>190</v>
      </c>
      <c r="O6" s="853"/>
      <c r="P6" s="275">
        <f>P4+P5*10</f>
        <v>0</v>
      </c>
      <c r="Q6" s="416"/>
      <c r="R6" s="878" t="s">
        <v>295</v>
      </c>
      <c r="S6" s="784"/>
      <c r="T6" s="784"/>
      <c r="U6" s="784"/>
      <c r="V6" s="784"/>
      <c r="W6" s="784"/>
      <c r="X6" s="879"/>
      <c r="Z6" s="318" t="s">
        <v>26</v>
      </c>
      <c r="AA6" s="319">
        <f>SUMIF($G$16:$G$37,"COUNTY",$L$16:$L$37)</f>
        <v>0</v>
      </c>
      <c r="AB6" s="319">
        <f>SUMIF($G$16:$G$37,"COUNTY",$T$16:$T$37)</f>
        <v>0</v>
      </c>
      <c r="AC6" s="319">
        <f>SUMIF($G$16:$G$37,"COUNTY",$X$16:$X$37)</f>
        <v>0</v>
      </c>
    </row>
    <row r="7" spans="1:33" s="195" customFormat="1" ht="16" thickBot="1" x14ac:dyDescent="0.3">
      <c r="A7" s="866" t="s">
        <v>4</v>
      </c>
      <c r="B7" s="780"/>
      <c r="C7" s="780"/>
      <c r="D7" s="765" t="s">
        <v>341</v>
      </c>
      <c r="E7" s="786"/>
      <c r="F7" s="867" t="s">
        <v>16</v>
      </c>
      <c r="G7" s="868"/>
      <c r="H7" s="242"/>
      <c r="I7" s="869" t="s">
        <v>336</v>
      </c>
      <c r="J7" s="869"/>
      <c r="K7" s="869"/>
      <c r="L7" s="869"/>
      <c r="M7" s="870"/>
      <c r="N7" s="423"/>
      <c r="O7" s="424"/>
      <c r="P7" s="425"/>
      <c r="Q7" s="416"/>
      <c r="R7" s="871" t="s">
        <v>326</v>
      </c>
      <c r="S7" s="872"/>
      <c r="T7" s="872"/>
      <c r="U7" s="872"/>
      <c r="V7" s="872"/>
      <c r="W7" s="872"/>
      <c r="X7" s="873"/>
      <c r="Z7" s="318" t="s">
        <v>45</v>
      </c>
      <c r="AA7" s="319">
        <f>SUMIF($G$16:$G$37,"CITY",$L$16:$L$37)</f>
        <v>0</v>
      </c>
      <c r="AB7" s="319">
        <f>SUMIF($G$16:$G$37,"CITY",$T$16:$T$37)</f>
        <v>0</v>
      </c>
      <c r="AC7" s="319">
        <f>SUMIF($G$16:$G$37,"CITY",$X$16:$X$37)</f>
        <v>0</v>
      </c>
    </row>
    <row r="8" spans="1:33" s="195" customFormat="1" ht="15.75" customHeight="1" x14ac:dyDescent="0.25">
      <c r="A8" s="874" t="s">
        <v>327</v>
      </c>
      <c r="B8" s="771"/>
      <c r="C8" s="771"/>
      <c r="D8" s="660" t="s">
        <v>258</v>
      </c>
      <c r="E8" s="661"/>
      <c r="F8" s="875" t="s">
        <v>210</v>
      </c>
      <c r="G8" s="876"/>
      <c r="H8" s="194"/>
      <c r="I8" s="877"/>
      <c r="J8" s="877"/>
      <c r="K8" s="877"/>
      <c r="L8" s="877"/>
      <c r="M8" s="877"/>
      <c r="N8" s="814" t="s">
        <v>214</v>
      </c>
      <c r="O8" s="814"/>
      <c r="P8" s="240">
        <v>0</v>
      </c>
      <c r="Q8" s="415"/>
      <c r="R8" s="856" t="s">
        <v>302</v>
      </c>
      <c r="S8" s="857"/>
      <c r="T8" s="857"/>
      <c r="U8" s="857"/>
      <c r="V8" s="857"/>
      <c r="W8" s="857"/>
      <c r="X8" s="858"/>
      <c r="Z8" s="318" t="s">
        <v>187</v>
      </c>
      <c r="AA8" s="319">
        <f>SUMIF($G$16:$G$37,"COURT",$L$16:$L$37)</f>
        <v>0</v>
      </c>
      <c r="AB8" s="319">
        <f>SUMIF($G$16:$G$37,"COURT",$T$16:$T$37)</f>
        <v>0</v>
      </c>
      <c r="AC8" s="319">
        <f>SUMIF($G$16:$G$37,"COURT",$X$16:$X$37)</f>
        <v>0</v>
      </c>
    </row>
    <row r="9" spans="1:33" s="195" customFormat="1" ht="18" customHeight="1" thickBot="1" x14ac:dyDescent="0.3">
      <c r="A9" s="862" t="s">
        <v>328</v>
      </c>
      <c r="B9" s="863"/>
      <c r="C9" s="863"/>
      <c r="D9" s="864" t="str">
        <f>IF(D8="Yes", "No", "Yes")</f>
        <v>Yes</v>
      </c>
      <c r="E9" s="865"/>
      <c r="F9" s="850" t="s">
        <v>201</v>
      </c>
      <c r="G9" s="851"/>
      <c r="H9" s="196"/>
      <c r="I9" s="852"/>
      <c r="J9" s="852"/>
      <c r="K9" s="852"/>
      <c r="L9" s="852"/>
      <c r="M9" s="852"/>
      <c r="N9" s="816" t="s">
        <v>17</v>
      </c>
      <c r="O9" s="816"/>
      <c r="P9" s="241"/>
      <c r="Q9" s="415"/>
      <c r="R9" s="859"/>
      <c r="S9" s="860"/>
      <c r="T9" s="860"/>
      <c r="U9" s="860"/>
      <c r="V9" s="860"/>
      <c r="W9" s="860"/>
      <c r="X9" s="861"/>
      <c r="Z9" s="321" t="s">
        <v>329</v>
      </c>
      <c r="AA9" s="319">
        <f>SUMIF($G$16:$G$37,"ST or CNTY",$L$16:$L$37)</f>
        <v>0</v>
      </c>
      <c r="AB9" s="319">
        <f>SUMIF($G$16:$G$37,"ST or CNTY",$T$16:$T$37)</f>
        <v>0</v>
      </c>
      <c r="AC9" s="319">
        <f>SUMIF($G$16:$G$37,"ST or CNTY",$X$16:$X$37)</f>
        <v>0</v>
      </c>
    </row>
    <row r="10" spans="1:33" s="195" customFormat="1" ht="16.5" customHeight="1" thickBot="1" x14ac:dyDescent="0.3">
      <c r="A10" s="761" t="s">
        <v>224</v>
      </c>
      <c r="B10" s="762"/>
      <c r="C10" s="762"/>
      <c r="D10" s="672">
        <f>P6+P10+I16+I17</f>
        <v>0</v>
      </c>
      <c r="E10" s="673"/>
      <c r="F10" s="850" t="s">
        <v>15</v>
      </c>
      <c r="G10" s="851"/>
      <c r="H10" s="196"/>
      <c r="I10" s="852"/>
      <c r="J10" s="852"/>
      <c r="K10" s="852"/>
      <c r="L10" s="852"/>
      <c r="M10" s="852"/>
      <c r="N10" s="853" t="s">
        <v>190</v>
      </c>
      <c r="O10" s="853"/>
      <c r="P10" s="275">
        <f>P8+P9*10</f>
        <v>0</v>
      </c>
      <c r="Q10" s="426"/>
      <c r="R10" s="854" t="s">
        <v>196</v>
      </c>
      <c r="S10" s="748"/>
      <c r="T10" s="748"/>
      <c r="U10" s="748"/>
      <c r="V10" s="748"/>
      <c r="W10" s="748"/>
      <c r="X10" s="855"/>
      <c r="Z10" s="281" t="s">
        <v>203</v>
      </c>
      <c r="AA10" s="322">
        <f>SUM(AA5:AA9)</f>
        <v>0</v>
      </c>
      <c r="AB10" s="322">
        <f>SUM(AB5:AB9)</f>
        <v>0</v>
      </c>
      <c r="AC10" s="322">
        <f>SUM(AC5:AC9)</f>
        <v>0</v>
      </c>
    </row>
    <row r="11" spans="1:33" s="195" customFormat="1" ht="16.5" customHeight="1" thickBot="1" x14ac:dyDescent="0.3">
      <c r="A11" s="750" t="s">
        <v>225</v>
      </c>
      <c r="B11" s="751"/>
      <c r="C11" s="751"/>
      <c r="D11" s="752">
        <f>ROUNDUP(D10/10,0)</f>
        <v>0</v>
      </c>
      <c r="E11" s="753"/>
      <c r="F11" s="843" t="s">
        <v>16</v>
      </c>
      <c r="G11" s="844"/>
      <c r="H11" s="197"/>
      <c r="I11" s="845"/>
      <c r="J11" s="845"/>
      <c r="K11" s="845"/>
      <c r="L11" s="845"/>
      <c r="M11" s="846"/>
      <c r="N11" s="769" t="s">
        <v>287</v>
      </c>
      <c r="O11" s="770"/>
      <c r="P11" s="277">
        <f>'Local Penalties'!B8</f>
        <v>5</v>
      </c>
      <c r="Q11" s="426"/>
      <c r="R11" s="847" t="s">
        <v>256</v>
      </c>
      <c r="S11" s="848"/>
      <c r="T11" s="848"/>
      <c r="U11" s="848"/>
      <c r="V11" s="848"/>
      <c r="W11" s="848"/>
      <c r="X11" s="849"/>
      <c r="AA11" s="323">
        <f>AA10-L39</f>
        <v>0</v>
      </c>
      <c r="AB11" s="323">
        <f>AB10-T39</f>
        <v>0</v>
      </c>
      <c r="AC11" s="323">
        <f>AC10-X39</f>
        <v>0</v>
      </c>
    </row>
    <row r="12" spans="1:33" s="195" customFormat="1" ht="15.75" customHeight="1" thickBot="1" x14ac:dyDescent="0.3">
      <c r="A12" s="243"/>
      <c r="B12" s="243"/>
      <c r="C12" s="244"/>
      <c r="D12" s="244"/>
      <c r="E12" s="244"/>
      <c r="F12" s="245"/>
      <c r="G12" s="246"/>
      <c r="H12" s="198"/>
      <c r="I12" s="247"/>
      <c r="J12" s="247"/>
      <c r="K12" s="247"/>
      <c r="L12" s="247"/>
      <c r="M12" s="247"/>
      <c r="P12" s="315"/>
      <c r="Q12" s="315"/>
      <c r="R12" s="315"/>
      <c r="S12" s="315"/>
      <c r="T12" s="315"/>
      <c r="U12" s="315"/>
      <c r="V12" s="324"/>
      <c r="W12" s="324"/>
      <c r="X12" s="198"/>
      <c r="AB12" s="325"/>
    </row>
    <row r="13" spans="1:33" s="250" customFormat="1" ht="18.75" customHeight="1" thickBot="1" x14ac:dyDescent="0.3">
      <c r="A13" s="326"/>
      <c r="B13" s="326"/>
      <c r="C13" s="326"/>
      <c r="D13" s="326"/>
      <c r="E13" s="326"/>
      <c r="F13" s="248"/>
      <c r="G13" s="249"/>
      <c r="I13" s="829" t="s">
        <v>236</v>
      </c>
      <c r="J13" s="737"/>
      <c r="K13" s="737"/>
      <c r="L13" s="738"/>
      <c r="M13" s="251"/>
      <c r="N13" s="830" t="s">
        <v>186</v>
      </c>
      <c r="O13" s="831"/>
      <c r="P13" s="740"/>
      <c r="Q13" s="427"/>
      <c r="R13" s="832" t="s">
        <v>303</v>
      </c>
      <c r="S13" s="833"/>
      <c r="T13" s="834"/>
      <c r="U13" s="427"/>
      <c r="V13" s="832" t="s">
        <v>304</v>
      </c>
      <c r="W13" s="833"/>
      <c r="X13" s="834"/>
      <c r="Y13" s="332"/>
      <c r="Z13" s="333"/>
      <c r="AA13" s="333"/>
      <c r="AB13" s="334"/>
      <c r="AC13" s="249"/>
      <c r="AD13" s="249"/>
      <c r="AE13" s="249"/>
      <c r="AF13" s="249"/>
      <c r="AG13" s="249"/>
    </row>
    <row r="14" spans="1:33" ht="44.25" customHeight="1" thickBot="1" x14ac:dyDescent="0.3">
      <c r="A14" s="335">
        <v>0.02</v>
      </c>
      <c r="B14" s="335" t="s">
        <v>51</v>
      </c>
      <c r="C14" s="835" t="s">
        <v>183</v>
      </c>
      <c r="D14" s="836"/>
      <c r="E14" s="836"/>
      <c r="F14" s="837"/>
      <c r="G14" s="336" t="s">
        <v>206</v>
      </c>
      <c r="H14" s="428" t="s">
        <v>0</v>
      </c>
      <c r="I14" s="341" t="s">
        <v>237</v>
      </c>
      <c r="J14" s="339" t="s">
        <v>209</v>
      </c>
      <c r="K14" s="741" t="s">
        <v>5</v>
      </c>
      <c r="L14" s="429" t="s">
        <v>238</v>
      </c>
      <c r="M14" s="338"/>
      <c r="N14" s="842" t="s">
        <v>217</v>
      </c>
      <c r="O14" s="745"/>
      <c r="P14" s="339" t="s">
        <v>205</v>
      </c>
      <c r="Q14" s="340"/>
      <c r="R14" s="430" t="s">
        <v>255</v>
      </c>
      <c r="S14" s="741" t="s">
        <v>5</v>
      </c>
      <c r="T14" s="429" t="s">
        <v>238</v>
      </c>
      <c r="U14" s="340"/>
      <c r="V14" s="430" t="s">
        <v>308</v>
      </c>
      <c r="W14" s="741" t="s">
        <v>5</v>
      </c>
      <c r="X14" s="429" t="s">
        <v>238</v>
      </c>
      <c r="Y14" s="431"/>
      <c r="Z14" s="343" t="s">
        <v>213</v>
      </c>
      <c r="AA14" s="728" t="s">
        <v>54</v>
      </c>
      <c r="AB14" s="731" t="s">
        <v>249</v>
      </c>
      <c r="AD14" s="308"/>
      <c r="AE14" s="308"/>
      <c r="AF14" s="308"/>
      <c r="AG14" s="308"/>
    </row>
    <row r="15" spans="1:33" ht="30.75" customHeight="1" thickBot="1" x14ac:dyDescent="0.3">
      <c r="A15" s="352"/>
      <c r="B15" s="352"/>
      <c r="C15" s="838"/>
      <c r="D15" s="839"/>
      <c r="E15" s="839"/>
      <c r="F15" s="840"/>
      <c r="G15" s="356"/>
      <c r="H15" s="356"/>
      <c r="I15" s="357"/>
      <c r="J15" s="306" t="e">
        <f>J33/I33</f>
        <v>#DIV/0!</v>
      </c>
      <c r="K15" s="841"/>
      <c r="L15" s="359" t="s">
        <v>35</v>
      </c>
      <c r="M15" s="347"/>
      <c r="N15" s="821"/>
      <c r="O15" s="822"/>
      <c r="P15" s="432" t="s">
        <v>36</v>
      </c>
      <c r="Q15" s="340"/>
      <c r="R15" s="200">
        <f>IFERROR(R33/I33,0)</f>
        <v>0</v>
      </c>
      <c r="S15" s="841"/>
      <c r="T15" s="359" t="s">
        <v>37</v>
      </c>
      <c r="U15" s="340"/>
      <c r="V15" s="200" t="e">
        <f>V39/I39</f>
        <v>#DIV/0!</v>
      </c>
      <c r="W15" s="841"/>
      <c r="X15" s="359" t="s">
        <v>33</v>
      </c>
      <c r="Y15" s="431"/>
      <c r="Z15" s="433" t="s">
        <v>239</v>
      </c>
      <c r="AA15" s="730"/>
      <c r="AB15" s="733"/>
      <c r="AD15" s="308"/>
      <c r="AE15" s="308"/>
      <c r="AF15" s="308"/>
      <c r="AG15" s="308"/>
    </row>
    <row r="16" spans="1:33" s="369" customFormat="1" ht="15.75" customHeight="1" thickTop="1" x14ac:dyDescent="0.25">
      <c r="A16" s="362" t="s">
        <v>7</v>
      </c>
      <c r="B16" s="823" t="s">
        <v>198</v>
      </c>
      <c r="C16" s="826" t="s">
        <v>330</v>
      </c>
      <c r="D16" s="736"/>
      <c r="E16" s="736"/>
      <c r="F16" s="736"/>
      <c r="G16" s="483" t="s">
        <v>329</v>
      </c>
      <c r="H16" s="473" t="s">
        <v>331</v>
      </c>
      <c r="I16" s="482">
        <v>0</v>
      </c>
      <c r="J16" s="475">
        <f>I16</f>
        <v>0</v>
      </c>
      <c r="K16" s="476">
        <f t="shared" ref="K16:K32" si="0">IF(A16="Y", I16*2%,0)</f>
        <v>0</v>
      </c>
      <c r="L16" s="477">
        <f>I16-K16</f>
        <v>0</v>
      </c>
      <c r="M16" s="256"/>
      <c r="N16" s="827"/>
      <c r="O16" s="828"/>
      <c r="P16" s="435"/>
      <c r="Q16" s="365"/>
      <c r="R16" s="254">
        <f>IF($R$39=0,,IF($R$15*$I$16&gt;50,$I$16,$R$15*$I$16))</f>
        <v>0</v>
      </c>
      <c r="S16" s="252">
        <f t="shared" ref="S16:S32" si="1">IF(A16="Y", R16*2%,)</f>
        <v>0</v>
      </c>
      <c r="T16" s="443">
        <f>R16-S16</f>
        <v>0</v>
      </c>
      <c r="U16" s="365"/>
      <c r="V16" s="254">
        <f>IF($V$39=0,,IF($V$15*$I$16&gt;50,$I$16,$V$15*$I$16))</f>
        <v>0</v>
      </c>
      <c r="W16" s="252">
        <f t="shared" ref="W16:W36" si="2">IF(A16="Y", V16*2%,)</f>
        <v>0</v>
      </c>
      <c r="X16" s="443">
        <f>V16-W16</f>
        <v>0</v>
      </c>
      <c r="Y16" s="436"/>
      <c r="Z16" s="253">
        <f>IF($Z$15="BASE-UP (B-A)", P16-L16,
(IF($Z$15="TOP-DOWN 1 (B-C)",P16-T16,P16-X16)))</f>
        <v>0</v>
      </c>
      <c r="AA16" s="374"/>
      <c r="AB16" s="444"/>
      <c r="AC16" s="201"/>
      <c r="AD16" s="201"/>
      <c r="AE16" s="201"/>
      <c r="AF16" s="201"/>
      <c r="AG16" s="201"/>
    </row>
    <row r="17" spans="1:33" s="369" customFormat="1" ht="15.75" customHeight="1" x14ac:dyDescent="0.25">
      <c r="A17" s="362" t="s">
        <v>7</v>
      </c>
      <c r="B17" s="824"/>
      <c r="C17" s="826" t="s">
        <v>332</v>
      </c>
      <c r="D17" s="736"/>
      <c r="E17" s="736"/>
      <c r="F17" s="736"/>
      <c r="G17" s="478" t="s">
        <v>26</v>
      </c>
      <c r="H17" s="479" t="s">
        <v>333</v>
      </c>
      <c r="I17" s="482">
        <v>0</v>
      </c>
      <c r="J17" s="480">
        <f>I17</f>
        <v>0</v>
      </c>
      <c r="K17" s="476">
        <f t="shared" si="0"/>
        <v>0</v>
      </c>
      <c r="L17" s="481">
        <f t="shared" ref="L17:L36" si="3">I17-K17</f>
        <v>0</v>
      </c>
      <c r="M17" s="256"/>
      <c r="N17" s="709"/>
      <c r="O17" s="820"/>
      <c r="P17" s="371"/>
      <c r="Q17" s="365"/>
      <c r="R17" s="254">
        <f>IF($R$39=0,,IF($R$15*$I$17&gt;$I$17,$I$17,$R$15*$I$17))</f>
        <v>0</v>
      </c>
      <c r="S17" s="252">
        <f t="shared" si="1"/>
        <v>0</v>
      </c>
      <c r="T17" s="370">
        <f>R17-S17</f>
        <v>0</v>
      </c>
      <c r="U17" s="365"/>
      <c r="V17" s="254">
        <f>IF($V$39=0,,IF($V$15*$I$17&gt;$I$17,$I$17,$V$15*$I$17))</f>
        <v>0</v>
      </c>
      <c r="W17" s="252">
        <f t="shared" si="2"/>
        <v>0</v>
      </c>
      <c r="X17" s="370">
        <f>V17-W17</f>
        <v>0</v>
      </c>
      <c r="Y17" s="436"/>
      <c r="Z17" s="253">
        <f t="shared" ref="Z17:Z37" si="4">IF($Z$15="BASE-UP (B-A)", P17-L17,
(IF($Z$15="TOP-DOWN 1 (B-C)",P17-T17,P17-X17)))</f>
        <v>0</v>
      </c>
      <c r="AA17" s="374"/>
      <c r="AB17" s="445"/>
      <c r="AC17" s="201"/>
      <c r="AD17" s="201"/>
      <c r="AE17" s="201"/>
      <c r="AF17" s="201"/>
      <c r="AG17" s="201"/>
    </row>
    <row r="18" spans="1:33" s="369" customFormat="1" ht="15.75" customHeight="1" x14ac:dyDescent="0.25">
      <c r="A18" s="362" t="s">
        <v>7</v>
      </c>
      <c r="B18" s="824"/>
      <c r="C18" s="718" t="s">
        <v>334</v>
      </c>
      <c r="D18" s="718"/>
      <c r="E18" s="718"/>
      <c r="F18" s="718"/>
      <c r="G18" s="283" t="s">
        <v>25</v>
      </c>
      <c r="H18" s="203" t="s">
        <v>9</v>
      </c>
      <c r="I18" s="254">
        <f>($D$10-SUM($I$16:$I$17))*75%</f>
        <v>0</v>
      </c>
      <c r="J18" s="254" t="e">
        <f>((SUM(I16:I19)*J15)-SUM(J16:J17))*D8</f>
        <v>#DIV/0!</v>
      </c>
      <c r="K18" s="252">
        <f t="shared" si="0"/>
        <v>0</v>
      </c>
      <c r="L18" s="370">
        <f t="shared" si="3"/>
        <v>0</v>
      </c>
      <c r="M18" s="256"/>
      <c r="N18" s="709"/>
      <c r="O18" s="820"/>
      <c r="P18" s="371"/>
      <c r="Q18" s="365"/>
      <c r="R18" s="254">
        <f>IF($R$39=0,,(($D$10*$R$15)-SUM($R$16:$R$17))*75%)</f>
        <v>0</v>
      </c>
      <c r="S18" s="252">
        <f t="shared" si="1"/>
        <v>0</v>
      </c>
      <c r="T18" s="370">
        <f t="shared" ref="T18:T36" si="5">R18-S18</f>
        <v>0</v>
      </c>
      <c r="U18" s="365"/>
      <c r="V18" s="254">
        <f>IF($V$39=0,,(($D$10*$V$15)-SUM($V$16:$V$17))*75%)</f>
        <v>0</v>
      </c>
      <c r="W18" s="252">
        <f t="shared" si="2"/>
        <v>0</v>
      </c>
      <c r="X18" s="370">
        <f t="shared" ref="X18:X27" si="6">V18-W18</f>
        <v>0</v>
      </c>
      <c r="Y18" s="436"/>
      <c r="Z18" s="253">
        <f t="shared" si="4"/>
        <v>0</v>
      </c>
      <c r="AA18" s="374"/>
      <c r="AB18" s="445"/>
      <c r="AC18" s="201"/>
      <c r="AD18" s="201"/>
      <c r="AE18" s="201"/>
      <c r="AF18" s="201"/>
      <c r="AG18" s="201"/>
    </row>
    <row r="19" spans="1:33" s="369" customFormat="1" ht="15.75" customHeight="1" x14ac:dyDescent="0.25">
      <c r="A19" s="362" t="s">
        <v>7</v>
      </c>
      <c r="B19" s="825"/>
      <c r="C19" s="718" t="s">
        <v>335</v>
      </c>
      <c r="D19" s="718"/>
      <c r="E19" s="718"/>
      <c r="F19" s="718"/>
      <c r="G19" s="434" t="str">
        <f>IF(D8="Yes","COUNTY","CITY")</f>
        <v>CITY</v>
      </c>
      <c r="H19" s="203" t="s">
        <v>18</v>
      </c>
      <c r="I19" s="254">
        <f>($D$10-SUM($I$16:$I$17))*25%</f>
        <v>0</v>
      </c>
      <c r="J19" s="254" t="e">
        <f>((SUM(I16:I19)*J15)-SUM(J16:J17))*D9</f>
        <v>#DIV/0!</v>
      </c>
      <c r="K19" s="252">
        <f t="shared" si="0"/>
        <v>0</v>
      </c>
      <c r="L19" s="370">
        <f t="shared" si="3"/>
        <v>0</v>
      </c>
      <c r="M19" s="256"/>
      <c r="N19" s="709"/>
      <c r="O19" s="820"/>
      <c r="P19" s="371"/>
      <c r="Q19" s="365"/>
      <c r="R19" s="254">
        <f>IF($R$39=0,,(($D$10*$R$15)-SUM($R$16:$R$17))*25%)</f>
        <v>0</v>
      </c>
      <c r="S19" s="252">
        <f t="shared" si="1"/>
        <v>0</v>
      </c>
      <c r="T19" s="370">
        <f t="shared" si="5"/>
        <v>0</v>
      </c>
      <c r="U19" s="365"/>
      <c r="V19" s="254">
        <f>IF($V$39=0,,(($D$10*$V$15)-SUM($V$16:$V$17))*25%)</f>
        <v>0</v>
      </c>
      <c r="W19" s="252">
        <f t="shared" si="2"/>
        <v>0</v>
      </c>
      <c r="X19" s="370">
        <f t="shared" si="6"/>
        <v>0</v>
      </c>
      <c r="Y19" s="436"/>
      <c r="Z19" s="253">
        <f t="shared" si="4"/>
        <v>0</v>
      </c>
      <c r="AA19" s="374"/>
      <c r="AB19" s="445"/>
      <c r="AC19" s="201"/>
      <c r="AD19" s="201"/>
      <c r="AE19" s="201"/>
      <c r="AF19" s="201"/>
      <c r="AG19" s="201"/>
    </row>
    <row r="20" spans="1:33" s="369" customFormat="1" ht="15.75" customHeight="1" x14ac:dyDescent="0.25">
      <c r="A20" s="362" t="s">
        <v>7</v>
      </c>
      <c r="B20" s="255">
        <v>7</v>
      </c>
      <c r="C20" s="718" t="s">
        <v>281</v>
      </c>
      <c r="D20" s="718"/>
      <c r="E20" s="718"/>
      <c r="F20" s="718"/>
      <c r="G20" s="283" t="s">
        <v>25</v>
      </c>
      <c r="H20" s="203" t="s">
        <v>20</v>
      </c>
      <c r="I20" s="254">
        <f>$D$11*B20</f>
        <v>0</v>
      </c>
      <c r="J20" s="254" t="e">
        <f>$J$15*I20</f>
        <v>#DIV/0!</v>
      </c>
      <c r="K20" s="252">
        <f t="shared" si="0"/>
        <v>0</v>
      </c>
      <c r="L20" s="370">
        <f t="shared" si="3"/>
        <v>0</v>
      </c>
      <c r="M20" s="256"/>
      <c r="N20" s="709"/>
      <c r="O20" s="820"/>
      <c r="P20" s="376"/>
      <c r="Q20" s="377"/>
      <c r="R20" s="254">
        <f t="shared" ref="R20:R32" si="7">IF($R$39=0,,$R$15*I20)</f>
        <v>0</v>
      </c>
      <c r="S20" s="252">
        <f t="shared" si="1"/>
        <v>0</v>
      </c>
      <c r="T20" s="370">
        <f t="shared" si="5"/>
        <v>0</v>
      </c>
      <c r="U20" s="377"/>
      <c r="V20" s="254">
        <f t="shared" ref="V20:V32" si="8">IF($V$39=0,,$V$15*I20)</f>
        <v>0</v>
      </c>
      <c r="W20" s="252">
        <f t="shared" si="2"/>
        <v>0</v>
      </c>
      <c r="X20" s="370">
        <f t="shared" si="6"/>
        <v>0</v>
      </c>
      <c r="Y20" s="436"/>
      <c r="Z20" s="253">
        <f t="shared" si="4"/>
        <v>0</v>
      </c>
      <c r="AA20" s="374"/>
      <c r="AB20" s="445"/>
      <c r="AC20" s="201"/>
      <c r="AD20" s="201"/>
      <c r="AE20" s="201"/>
      <c r="AF20" s="201"/>
      <c r="AG20" s="201"/>
    </row>
    <row r="21" spans="1:33" s="369" customFormat="1" ht="15.75" customHeight="1" x14ac:dyDescent="0.25">
      <c r="A21" s="362" t="s">
        <v>7</v>
      </c>
      <c r="B21" s="255">
        <v>3</v>
      </c>
      <c r="C21" s="718" t="s">
        <v>282</v>
      </c>
      <c r="D21" s="718"/>
      <c r="E21" s="718"/>
      <c r="F21" s="718"/>
      <c r="G21" s="283" t="s">
        <v>26</v>
      </c>
      <c r="H21" s="203" t="s">
        <v>21</v>
      </c>
      <c r="I21" s="254">
        <f t="shared" ref="I21:I31" si="9">$D$11*B21</f>
        <v>0</v>
      </c>
      <c r="J21" s="254" t="e">
        <f t="shared" ref="J21:J32" si="10">$J$15*I21</f>
        <v>#DIV/0!</v>
      </c>
      <c r="K21" s="252">
        <f t="shared" si="0"/>
        <v>0</v>
      </c>
      <c r="L21" s="370">
        <f t="shared" si="3"/>
        <v>0</v>
      </c>
      <c r="M21" s="256"/>
      <c r="N21" s="709"/>
      <c r="O21" s="820"/>
      <c r="P21" s="371"/>
      <c r="Q21" s="365"/>
      <c r="R21" s="254">
        <f t="shared" si="7"/>
        <v>0</v>
      </c>
      <c r="S21" s="252">
        <f t="shared" si="1"/>
        <v>0</v>
      </c>
      <c r="T21" s="370">
        <f t="shared" si="5"/>
        <v>0</v>
      </c>
      <c r="U21" s="365"/>
      <c r="V21" s="254">
        <f t="shared" si="8"/>
        <v>0</v>
      </c>
      <c r="W21" s="252">
        <f t="shared" si="2"/>
        <v>0</v>
      </c>
      <c r="X21" s="370">
        <f t="shared" si="6"/>
        <v>0</v>
      </c>
      <c r="Y21" s="436"/>
      <c r="Z21" s="253">
        <f t="shared" si="4"/>
        <v>0</v>
      </c>
      <c r="AA21" s="374"/>
      <c r="AB21" s="445"/>
      <c r="AC21" s="201"/>
      <c r="AD21" s="201"/>
      <c r="AE21" s="201"/>
      <c r="AF21" s="201"/>
      <c r="AG21" s="201"/>
    </row>
    <row r="22" spans="1:33" s="369" customFormat="1" ht="15.75" customHeight="1" x14ac:dyDescent="0.25">
      <c r="A22" s="362" t="s">
        <v>7</v>
      </c>
      <c r="B22" s="378">
        <v>0.75</v>
      </c>
      <c r="C22" s="709" t="s">
        <v>293</v>
      </c>
      <c r="D22" s="710"/>
      <c r="E22" s="710"/>
      <c r="F22" s="711"/>
      <c r="G22" s="283" t="s">
        <v>26</v>
      </c>
      <c r="H22" s="203" t="s">
        <v>48</v>
      </c>
      <c r="I22" s="254">
        <f t="shared" si="9"/>
        <v>0</v>
      </c>
      <c r="J22" s="254" t="e">
        <f t="shared" si="10"/>
        <v>#DIV/0!</v>
      </c>
      <c r="K22" s="252">
        <f t="shared" si="0"/>
        <v>0</v>
      </c>
      <c r="L22" s="370">
        <f t="shared" si="3"/>
        <v>0</v>
      </c>
      <c r="M22" s="256"/>
      <c r="N22" s="709"/>
      <c r="O22" s="820"/>
      <c r="P22" s="371"/>
      <c r="Q22" s="365"/>
      <c r="R22" s="254">
        <f t="shared" si="7"/>
        <v>0</v>
      </c>
      <c r="S22" s="252">
        <f t="shared" si="1"/>
        <v>0</v>
      </c>
      <c r="T22" s="370">
        <f t="shared" si="5"/>
        <v>0</v>
      </c>
      <c r="U22" s="365"/>
      <c r="V22" s="254">
        <f t="shared" si="8"/>
        <v>0</v>
      </c>
      <c r="W22" s="252">
        <f t="shared" si="2"/>
        <v>0</v>
      </c>
      <c r="X22" s="370">
        <f t="shared" si="6"/>
        <v>0</v>
      </c>
      <c r="Y22" s="436"/>
      <c r="Z22" s="253">
        <f t="shared" si="4"/>
        <v>0</v>
      </c>
      <c r="AA22" s="374"/>
      <c r="AB22" s="445"/>
      <c r="AC22" s="201"/>
      <c r="AD22" s="201"/>
      <c r="AE22" s="201"/>
      <c r="AF22" s="201"/>
      <c r="AG22" s="201"/>
    </row>
    <row r="23" spans="1:33" s="369" customFormat="1" ht="15.75" customHeight="1" x14ac:dyDescent="0.25">
      <c r="A23" s="362" t="s">
        <v>7</v>
      </c>
      <c r="B23" s="378">
        <v>0.25</v>
      </c>
      <c r="C23" s="709" t="s">
        <v>292</v>
      </c>
      <c r="D23" s="710"/>
      <c r="E23" s="710"/>
      <c r="F23" s="711"/>
      <c r="G23" s="283" t="s">
        <v>25</v>
      </c>
      <c r="H23" s="203" t="s">
        <v>48</v>
      </c>
      <c r="I23" s="254">
        <f t="shared" si="9"/>
        <v>0</v>
      </c>
      <c r="J23" s="254" t="e">
        <f t="shared" si="10"/>
        <v>#DIV/0!</v>
      </c>
      <c r="K23" s="252">
        <f t="shared" si="0"/>
        <v>0</v>
      </c>
      <c r="L23" s="370">
        <f t="shared" si="3"/>
        <v>0</v>
      </c>
      <c r="M23" s="256"/>
      <c r="N23" s="709"/>
      <c r="O23" s="820"/>
      <c r="P23" s="371"/>
      <c r="Q23" s="365"/>
      <c r="R23" s="254">
        <f t="shared" si="7"/>
        <v>0</v>
      </c>
      <c r="S23" s="252">
        <f t="shared" si="1"/>
        <v>0</v>
      </c>
      <c r="T23" s="370">
        <f t="shared" si="5"/>
        <v>0</v>
      </c>
      <c r="U23" s="365"/>
      <c r="V23" s="254">
        <f t="shared" si="8"/>
        <v>0</v>
      </c>
      <c r="W23" s="252">
        <f t="shared" si="2"/>
        <v>0</v>
      </c>
      <c r="X23" s="370">
        <f t="shared" si="6"/>
        <v>0</v>
      </c>
      <c r="Y23" s="436"/>
      <c r="Z23" s="253">
        <f t="shared" si="4"/>
        <v>0</v>
      </c>
      <c r="AA23" s="374"/>
      <c r="AB23" s="445"/>
      <c r="AC23" s="201"/>
      <c r="AD23" s="201"/>
      <c r="AE23" s="201"/>
      <c r="AF23" s="201"/>
      <c r="AG23" s="201"/>
    </row>
    <row r="24" spans="1:33" s="369" customFormat="1" ht="15.75" customHeight="1" x14ac:dyDescent="0.25">
      <c r="A24" s="362" t="s">
        <v>7</v>
      </c>
      <c r="B24" s="255">
        <v>4</v>
      </c>
      <c r="C24" s="709" t="s">
        <v>263</v>
      </c>
      <c r="D24" s="710"/>
      <c r="E24" s="710"/>
      <c r="F24" s="711"/>
      <c r="G24" s="283" t="s">
        <v>25</v>
      </c>
      <c r="H24" s="203" t="s">
        <v>60</v>
      </c>
      <c r="I24" s="254">
        <f t="shared" si="9"/>
        <v>0</v>
      </c>
      <c r="J24" s="254" t="e">
        <f t="shared" si="10"/>
        <v>#DIV/0!</v>
      </c>
      <c r="K24" s="252">
        <f t="shared" si="0"/>
        <v>0</v>
      </c>
      <c r="L24" s="370">
        <f t="shared" si="3"/>
        <v>0</v>
      </c>
      <c r="M24" s="256"/>
      <c r="N24" s="709"/>
      <c r="O24" s="820"/>
      <c r="P24" s="371"/>
      <c r="Q24" s="365"/>
      <c r="R24" s="254">
        <f t="shared" si="7"/>
        <v>0</v>
      </c>
      <c r="S24" s="252">
        <f t="shared" si="1"/>
        <v>0</v>
      </c>
      <c r="T24" s="370">
        <f t="shared" si="5"/>
        <v>0</v>
      </c>
      <c r="U24" s="365"/>
      <c r="V24" s="254">
        <f t="shared" si="8"/>
        <v>0</v>
      </c>
      <c r="W24" s="252">
        <f t="shared" si="2"/>
        <v>0</v>
      </c>
      <c r="X24" s="370">
        <f t="shared" si="6"/>
        <v>0</v>
      </c>
      <c r="Y24" s="436"/>
      <c r="Z24" s="253">
        <f t="shared" si="4"/>
        <v>0</v>
      </c>
      <c r="AA24" s="374"/>
      <c r="AB24" s="445"/>
      <c r="AC24" s="201"/>
      <c r="AD24" s="201"/>
      <c r="AE24" s="201"/>
      <c r="AF24" s="201"/>
      <c r="AG24" s="201"/>
    </row>
    <row r="25" spans="1:33" s="369" customFormat="1" ht="15.75" customHeight="1" x14ac:dyDescent="0.25">
      <c r="A25" s="362" t="s">
        <v>7</v>
      </c>
      <c r="B25" s="257"/>
      <c r="C25" s="718" t="s">
        <v>174</v>
      </c>
      <c r="D25" s="718"/>
      <c r="E25" s="719" t="str">
        <f>IF(SUM(B25:B29)=P11,"GC 76000 PA ($" &amp;P11 &amp; " for every 10) breakdown per local board of supervisor resolution (BOS).","ERROR! GC 76000 PA total is not $" &amp;P11&amp; ". Check Court's board resolution.")</f>
        <v>ERROR! GC 76000 PA total is not $5. Check Court's board resolution.</v>
      </c>
      <c r="F25" s="720"/>
      <c r="G25" s="283" t="s">
        <v>26</v>
      </c>
      <c r="H25" s="203" t="s">
        <v>56</v>
      </c>
      <c r="I25" s="254">
        <f t="shared" si="9"/>
        <v>0</v>
      </c>
      <c r="J25" s="254" t="e">
        <f t="shared" si="10"/>
        <v>#DIV/0!</v>
      </c>
      <c r="K25" s="252">
        <f t="shared" si="0"/>
        <v>0</v>
      </c>
      <c r="L25" s="370">
        <f t="shared" si="3"/>
        <v>0</v>
      </c>
      <c r="M25" s="256"/>
      <c r="N25" s="709"/>
      <c r="O25" s="820"/>
      <c r="P25" s="371"/>
      <c r="Q25" s="365"/>
      <c r="R25" s="254">
        <f t="shared" si="7"/>
        <v>0</v>
      </c>
      <c r="S25" s="252">
        <f t="shared" si="1"/>
        <v>0</v>
      </c>
      <c r="T25" s="370">
        <f t="shared" si="5"/>
        <v>0</v>
      </c>
      <c r="U25" s="365"/>
      <c r="V25" s="254">
        <f t="shared" si="8"/>
        <v>0</v>
      </c>
      <c r="W25" s="252">
        <f t="shared" si="2"/>
        <v>0</v>
      </c>
      <c r="X25" s="370">
        <f t="shared" si="6"/>
        <v>0</v>
      </c>
      <c r="Y25" s="436"/>
      <c r="Z25" s="253">
        <f t="shared" si="4"/>
        <v>0</v>
      </c>
      <c r="AA25" s="374"/>
      <c r="AB25" s="445"/>
      <c r="AC25" s="201"/>
      <c r="AD25" s="201"/>
      <c r="AE25" s="201"/>
      <c r="AF25" s="201"/>
      <c r="AG25" s="201"/>
    </row>
    <row r="26" spans="1:33" s="369" customFormat="1" ht="15.75" customHeight="1" x14ac:dyDescent="0.25">
      <c r="A26" s="362" t="s">
        <v>7</v>
      </c>
      <c r="B26" s="257"/>
      <c r="C26" s="718" t="s">
        <v>175</v>
      </c>
      <c r="D26" s="718"/>
      <c r="E26" s="721"/>
      <c r="F26" s="722"/>
      <c r="G26" s="283" t="s">
        <v>26</v>
      </c>
      <c r="H26" s="203" t="s">
        <v>28</v>
      </c>
      <c r="I26" s="254">
        <f t="shared" si="9"/>
        <v>0</v>
      </c>
      <c r="J26" s="254" t="e">
        <f t="shared" si="10"/>
        <v>#DIV/0!</v>
      </c>
      <c r="K26" s="252">
        <f t="shared" si="0"/>
        <v>0</v>
      </c>
      <c r="L26" s="370">
        <f t="shared" si="3"/>
        <v>0</v>
      </c>
      <c r="M26" s="256"/>
      <c r="N26" s="709"/>
      <c r="O26" s="820"/>
      <c r="P26" s="371"/>
      <c r="Q26" s="365"/>
      <c r="R26" s="254">
        <f t="shared" si="7"/>
        <v>0</v>
      </c>
      <c r="S26" s="252">
        <f t="shared" si="1"/>
        <v>0</v>
      </c>
      <c r="T26" s="370">
        <f t="shared" si="5"/>
        <v>0</v>
      </c>
      <c r="U26" s="365"/>
      <c r="V26" s="254">
        <f t="shared" si="8"/>
        <v>0</v>
      </c>
      <c r="W26" s="252">
        <f t="shared" si="2"/>
        <v>0</v>
      </c>
      <c r="X26" s="370">
        <f t="shared" si="6"/>
        <v>0</v>
      </c>
      <c r="Y26" s="436"/>
      <c r="Z26" s="253">
        <f t="shared" si="4"/>
        <v>0</v>
      </c>
      <c r="AA26" s="374"/>
      <c r="AB26" s="445"/>
      <c r="AC26" s="201"/>
      <c r="AD26" s="201"/>
      <c r="AE26" s="201"/>
      <c r="AF26" s="201"/>
      <c r="AG26" s="201"/>
    </row>
    <row r="27" spans="1:33" s="369" customFormat="1" ht="15.75" customHeight="1" x14ac:dyDescent="0.25">
      <c r="A27" s="362" t="s">
        <v>7</v>
      </c>
      <c r="B27" s="257"/>
      <c r="C27" s="718" t="s">
        <v>176</v>
      </c>
      <c r="D27" s="718"/>
      <c r="E27" s="721"/>
      <c r="F27" s="722"/>
      <c r="G27" s="283" t="s">
        <v>26</v>
      </c>
      <c r="H27" s="203" t="s">
        <v>57</v>
      </c>
      <c r="I27" s="254">
        <f t="shared" si="9"/>
        <v>0</v>
      </c>
      <c r="J27" s="254" t="e">
        <f t="shared" si="10"/>
        <v>#DIV/0!</v>
      </c>
      <c r="K27" s="252">
        <f t="shared" si="0"/>
        <v>0</v>
      </c>
      <c r="L27" s="370">
        <f t="shared" si="3"/>
        <v>0</v>
      </c>
      <c r="M27" s="256"/>
      <c r="N27" s="709"/>
      <c r="O27" s="820"/>
      <c r="P27" s="371"/>
      <c r="Q27" s="365"/>
      <c r="R27" s="254">
        <f t="shared" si="7"/>
        <v>0</v>
      </c>
      <c r="S27" s="252">
        <f t="shared" si="1"/>
        <v>0</v>
      </c>
      <c r="T27" s="370">
        <f t="shared" si="5"/>
        <v>0</v>
      </c>
      <c r="U27" s="365"/>
      <c r="V27" s="254">
        <f t="shared" si="8"/>
        <v>0</v>
      </c>
      <c r="W27" s="252">
        <f t="shared" si="2"/>
        <v>0</v>
      </c>
      <c r="X27" s="370">
        <f t="shared" si="6"/>
        <v>0</v>
      </c>
      <c r="Y27" s="436"/>
      <c r="Z27" s="253">
        <f t="shared" si="4"/>
        <v>0</v>
      </c>
      <c r="AA27" s="374"/>
      <c r="AB27" s="445"/>
      <c r="AC27" s="201"/>
      <c r="AD27" s="201"/>
      <c r="AE27" s="201"/>
      <c r="AF27" s="201"/>
      <c r="AG27" s="201"/>
    </row>
    <row r="28" spans="1:33" s="369" customFormat="1" ht="15.75" customHeight="1" x14ac:dyDescent="0.25">
      <c r="A28" s="362" t="s">
        <v>7</v>
      </c>
      <c r="B28" s="257"/>
      <c r="C28" s="718" t="s">
        <v>252</v>
      </c>
      <c r="D28" s="718"/>
      <c r="E28" s="721"/>
      <c r="F28" s="722"/>
      <c r="G28" s="283" t="s">
        <v>26</v>
      </c>
      <c r="H28" s="203" t="s">
        <v>57</v>
      </c>
      <c r="I28" s="254">
        <f>$D$11*B28</f>
        <v>0</v>
      </c>
      <c r="J28" s="254" t="e">
        <f>$J$15*I28</f>
        <v>#DIV/0!</v>
      </c>
      <c r="K28" s="252">
        <f>IF(A28="Y", I28*2%,0)</f>
        <v>0</v>
      </c>
      <c r="L28" s="370">
        <f>I28-K28</f>
        <v>0</v>
      </c>
      <c r="M28" s="256"/>
      <c r="N28" s="709"/>
      <c r="O28" s="820"/>
      <c r="P28" s="371"/>
      <c r="Q28" s="365"/>
      <c r="R28" s="254">
        <f t="shared" si="7"/>
        <v>0</v>
      </c>
      <c r="S28" s="252">
        <f>IF(A28="Y", R28*2%,)</f>
        <v>0</v>
      </c>
      <c r="T28" s="370">
        <f>R28-S28</f>
        <v>0</v>
      </c>
      <c r="U28" s="365"/>
      <c r="V28" s="254">
        <f t="shared" si="8"/>
        <v>0</v>
      </c>
      <c r="W28" s="252">
        <f t="shared" si="2"/>
        <v>0</v>
      </c>
      <c r="X28" s="370">
        <f>V28-W28</f>
        <v>0</v>
      </c>
      <c r="Y28" s="436"/>
      <c r="Z28" s="253">
        <f t="shared" si="4"/>
        <v>0</v>
      </c>
      <c r="AA28" s="374"/>
      <c r="AB28" s="445"/>
      <c r="AC28" s="201"/>
      <c r="AD28" s="201"/>
      <c r="AE28" s="201"/>
      <c r="AF28" s="201"/>
      <c r="AG28" s="201"/>
    </row>
    <row r="29" spans="1:33" s="369" customFormat="1" ht="15.75" customHeight="1" x14ac:dyDescent="0.25">
      <c r="A29" s="362" t="s">
        <v>7</v>
      </c>
      <c r="B29" s="257"/>
      <c r="C29" s="718" t="s">
        <v>211</v>
      </c>
      <c r="D29" s="718"/>
      <c r="E29" s="723"/>
      <c r="F29" s="724"/>
      <c r="G29" s="283" t="s">
        <v>26</v>
      </c>
      <c r="H29" s="203"/>
      <c r="I29" s="254">
        <f t="shared" si="9"/>
        <v>0</v>
      </c>
      <c r="J29" s="254" t="e">
        <f t="shared" si="10"/>
        <v>#DIV/0!</v>
      </c>
      <c r="K29" s="252">
        <f t="shared" si="0"/>
        <v>0</v>
      </c>
      <c r="L29" s="370">
        <f t="shared" si="3"/>
        <v>0</v>
      </c>
      <c r="M29" s="256"/>
      <c r="N29" s="709"/>
      <c r="O29" s="820"/>
      <c r="P29" s="371"/>
      <c r="Q29" s="365"/>
      <c r="R29" s="254">
        <f t="shared" si="7"/>
        <v>0</v>
      </c>
      <c r="S29" s="252">
        <f t="shared" si="1"/>
        <v>0</v>
      </c>
      <c r="T29" s="370">
        <f t="shared" si="5"/>
        <v>0</v>
      </c>
      <c r="U29" s="365"/>
      <c r="V29" s="254">
        <f t="shared" si="8"/>
        <v>0</v>
      </c>
      <c r="W29" s="252">
        <f t="shared" si="2"/>
        <v>0</v>
      </c>
      <c r="X29" s="370">
        <f t="shared" ref="X29:X32" si="11">V29-W29</f>
        <v>0</v>
      </c>
      <c r="Y29" s="436"/>
      <c r="Z29" s="253">
        <f t="shared" si="4"/>
        <v>0</v>
      </c>
      <c r="AA29" s="374"/>
      <c r="AB29" s="445"/>
      <c r="AC29" s="201"/>
      <c r="AD29" s="201"/>
      <c r="AE29" s="201"/>
      <c r="AF29" s="201"/>
      <c r="AG29" s="201"/>
    </row>
    <row r="30" spans="1:33" s="369" customFormat="1" ht="15.75" customHeight="1" x14ac:dyDescent="0.25">
      <c r="A30" s="362" t="s">
        <v>7</v>
      </c>
      <c r="B30" s="257"/>
      <c r="C30" s="709" t="s">
        <v>234</v>
      </c>
      <c r="D30" s="710"/>
      <c r="E30" s="710"/>
      <c r="F30" s="711"/>
      <c r="G30" s="283" t="s">
        <v>26</v>
      </c>
      <c r="H30" s="203" t="s">
        <v>29</v>
      </c>
      <c r="I30" s="254">
        <f t="shared" si="9"/>
        <v>0</v>
      </c>
      <c r="J30" s="254" t="e">
        <f t="shared" si="10"/>
        <v>#DIV/0!</v>
      </c>
      <c r="K30" s="252">
        <f t="shared" si="0"/>
        <v>0</v>
      </c>
      <c r="L30" s="370">
        <f t="shared" si="3"/>
        <v>0</v>
      </c>
      <c r="M30" s="256"/>
      <c r="N30" s="709"/>
      <c r="O30" s="820"/>
      <c r="P30" s="371"/>
      <c r="Q30" s="365"/>
      <c r="R30" s="254">
        <f t="shared" si="7"/>
        <v>0</v>
      </c>
      <c r="S30" s="252">
        <f t="shared" si="1"/>
        <v>0</v>
      </c>
      <c r="T30" s="370">
        <f t="shared" si="5"/>
        <v>0</v>
      </c>
      <c r="U30" s="365"/>
      <c r="V30" s="254">
        <f t="shared" si="8"/>
        <v>0</v>
      </c>
      <c r="W30" s="252">
        <f t="shared" si="2"/>
        <v>0</v>
      </c>
      <c r="X30" s="370">
        <f t="shared" si="11"/>
        <v>0</v>
      </c>
      <c r="Y30" s="436"/>
      <c r="Z30" s="253">
        <f t="shared" si="4"/>
        <v>0</v>
      </c>
      <c r="AA30" s="374"/>
      <c r="AB30" s="445"/>
      <c r="AC30" s="201"/>
      <c r="AD30" s="201"/>
      <c r="AE30" s="201"/>
      <c r="AF30" s="201"/>
      <c r="AG30" s="201"/>
    </row>
    <row r="31" spans="1:33" s="369" customFormat="1" ht="15.75" customHeight="1" x14ac:dyDescent="0.25">
      <c r="A31" s="362" t="s">
        <v>7</v>
      </c>
      <c r="B31" s="380">
        <v>5</v>
      </c>
      <c r="C31" s="712" t="s">
        <v>294</v>
      </c>
      <c r="D31" s="713"/>
      <c r="E31" s="713"/>
      <c r="F31" s="714"/>
      <c r="G31" s="283" t="s">
        <v>25</v>
      </c>
      <c r="H31" s="203" t="s">
        <v>30</v>
      </c>
      <c r="I31" s="254">
        <f t="shared" si="9"/>
        <v>0</v>
      </c>
      <c r="J31" s="254" t="e">
        <f t="shared" si="10"/>
        <v>#DIV/0!</v>
      </c>
      <c r="K31" s="252">
        <f t="shared" si="0"/>
        <v>0</v>
      </c>
      <c r="L31" s="370">
        <f t="shared" si="3"/>
        <v>0</v>
      </c>
      <c r="M31" s="256"/>
      <c r="N31" s="709"/>
      <c r="O31" s="820"/>
      <c r="P31" s="371"/>
      <c r="Q31" s="365"/>
      <c r="R31" s="254">
        <f t="shared" si="7"/>
        <v>0</v>
      </c>
      <c r="S31" s="252">
        <f t="shared" si="1"/>
        <v>0</v>
      </c>
      <c r="T31" s="370">
        <f t="shared" si="5"/>
        <v>0</v>
      </c>
      <c r="U31" s="365"/>
      <c r="V31" s="254">
        <f t="shared" si="8"/>
        <v>0</v>
      </c>
      <c r="W31" s="252">
        <f t="shared" si="2"/>
        <v>0</v>
      </c>
      <c r="X31" s="370">
        <f t="shared" si="11"/>
        <v>0</v>
      </c>
      <c r="Y31" s="436"/>
      <c r="Z31" s="253">
        <f t="shared" si="4"/>
        <v>0</v>
      </c>
      <c r="AA31" s="374"/>
      <c r="AB31" s="445"/>
      <c r="AC31" s="201"/>
      <c r="AD31" s="201"/>
      <c r="AE31" s="201"/>
      <c r="AF31" s="201"/>
      <c r="AG31" s="201"/>
    </row>
    <row r="32" spans="1:33" s="369" customFormat="1" ht="15.75" customHeight="1" x14ac:dyDescent="0.25">
      <c r="A32" s="362" t="s">
        <v>6</v>
      </c>
      <c r="B32" s="255"/>
      <c r="C32" s="709" t="s">
        <v>177</v>
      </c>
      <c r="D32" s="710"/>
      <c r="E32" s="710"/>
      <c r="F32" s="711"/>
      <c r="G32" s="283" t="s">
        <v>25</v>
      </c>
      <c r="H32" s="203" t="s">
        <v>9</v>
      </c>
      <c r="I32" s="254">
        <f>$D$10*20%</f>
        <v>0</v>
      </c>
      <c r="J32" s="254" t="e">
        <f t="shared" si="10"/>
        <v>#DIV/0!</v>
      </c>
      <c r="K32" s="252">
        <f t="shared" si="0"/>
        <v>0</v>
      </c>
      <c r="L32" s="370">
        <f t="shared" si="3"/>
        <v>0</v>
      </c>
      <c r="M32" s="256"/>
      <c r="N32" s="709"/>
      <c r="O32" s="820"/>
      <c r="P32" s="371"/>
      <c r="Q32" s="365"/>
      <c r="R32" s="254">
        <f t="shared" si="7"/>
        <v>0</v>
      </c>
      <c r="S32" s="252">
        <f t="shared" si="1"/>
        <v>0</v>
      </c>
      <c r="T32" s="370">
        <f t="shared" si="5"/>
        <v>0</v>
      </c>
      <c r="U32" s="365"/>
      <c r="V32" s="254">
        <f t="shared" si="8"/>
        <v>0</v>
      </c>
      <c r="W32" s="252">
        <f t="shared" si="2"/>
        <v>0</v>
      </c>
      <c r="X32" s="370">
        <f t="shared" si="11"/>
        <v>0</v>
      </c>
      <c r="Y32" s="436"/>
      <c r="Z32" s="253">
        <f t="shared" si="4"/>
        <v>0</v>
      </c>
      <c r="AA32" s="374"/>
      <c r="AB32" s="445"/>
      <c r="AC32" s="201"/>
      <c r="AD32" s="201"/>
      <c r="AE32" s="201"/>
      <c r="AF32" s="201"/>
      <c r="AG32" s="201"/>
    </row>
    <row r="33" spans="1:33" s="386" customFormat="1" ht="15.75" customHeight="1" x14ac:dyDescent="0.25">
      <c r="A33" s="362"/>
      <c r="B33" s="260"/>
      <c r="C33" s="715" t="s">
        <v>178</v>
      </c>
      <c r="D33" s="716"/>
      <c r="E33" s="716"/>
      <c r="F33" s="717"/>
      <c r="G33" s="261"/>
      <c r="H33" s="262"/>
      <c r="I33" s="263">
        <f>SUM(I16:I32)</f>
        <v>0</v>
      </c>
      <c r="J33" s="263">
        <f>J39-SUM(J34:J36)</f>
        <v>1940</v>
      </c>
      <c r="K33" s="252"/>
      <c r="L33" s="381">
        <f>SUM(L16:L32)</f>
        <v>0</v>
      </c>
      <c r="M33" s="264"/>
      <c r="N33" s="709"/>
      <c r="O33" s="820"/>
      <c r="P33" s="382">
        <f>SUM(P16:P32)</f>
        <v>0</v>
      </c>
      <c r="Q33" s="383"/>
      <c r="R33" s="263">
        <f>IF($R$39=0,,R39-SUM(R34:R36))</f>
        <v>0</v>
      </c>
      <c r="S33" s="252"/>
      <c r="T33" s="381">
        <f>SUM(T16:T32)</f>
        <v>0</v>
      </c>
      <c r="U33" s="383"/>
      <c r="V33" s="263">
        <f>IF($V$39=0,,V39-SUM(V34:V36))</f>
        <v>0</v>
      </c>
      <c r="W33" s="252">
        <f t="shared" si="2"/>
        <v>0</v>
      </c>
      <c r="X33" s="381">
        <f>SUM(X16:X32)</f>
        <v>0</v>
      </c>
      <c r="Y33" s="437"/>
      <c r="Z33" s="253">
        <f t="shared" si="4"/>
        <v>0</v>
      </c>
      <c r="AA33" s="374"/>
      <c r="AB33" s="446"/>
      <c r="AC33" s="385"/>
      <c r="AD33" s="385"/>
      <c r="AE33" s="385"/>
      <c r="AF33" s="385"/>
      <c r="AG33" s="385"/>
    </row>
    <row r="34" spans="1:33" s="369" customFormat="1" ht="15.75" customHeight="1" x14ac:dyDescent="0.25">
      <c r="A34" s="362" t="s">
        <v>6</v>
      </c>
      <c r="B34" s="255"/>
      <c r="C34" s="709" t="s">
        <v>253</v>
      </c>
      <c r="D34" s="710"/>
      <c r="E34" s="710"/>
      <c r="F34" s="711"/>
      <c r="G34" s="283" t="s">
        <v>25</v>
      </c>
      <c r="H34" s="258"/>
      <c r="I34" s="259"/>
      <c r="J34" s="254"/>
      <c r="K34" s="252">
        <f>IF(A34="Y", I34*2%,0)</f>
        <v>0</v>
      </c>
      <c r="L34" s="370">
        <f>I34-K34</f>
        <v>0</v>
      </c>
      <c r="M34" s="256"/>
      <c r="N34" s="709"/>
      <c r="O34" s="820"/>
      <c r="P34" s="371"/>
      <c r="Q34" s="365"/>
      <c r="R34" s="254">
        <f>IF($R$39=0,,I34)</f>
        <v>0</v>
      </c>
      <c r="S34" s="252">
        <f>IF(A34="Y", R34*2%,)</f>
        <v>0</v>
      </c>
      <c r="T34" s="370">
        <f>R34-S34</f>
        <v>0</v>
      </c>
      <c r="U34" s="365"/>
      <c r="V34" s="254">
        <f>IF($V$39=0,,$V$15*I34)</f>
        <v>0</v>
      </c>
      <c r="W34" s="252">
        <f t="shared" si="2"/>
        <v>0</v>
      </c>
      <c r="X34" s="370">
        <f>V34-W34</f>
        <v>0</v>
      </c>
      <c r="Y34" s="436"/>
      <c r="Z34" s="253">
        <f t="shared" si="4"/>
        <v>0</v>
      </c>
      <c r="AA34" s="374"/>
      <c r="AB34" s="445"/>
      <c r="AC34" s="201"/>
      <c r="AD34" s="201"/>
      <c r="AE34" s="201"/>
      <c r="AF34" s="201"/>
      <c r="AG34" s="201"/>
    </row>
    <row r="35" spans="1:33" s="369" customFormat="1" ht="15.75" customHeight="1" x14ac:dyDescent="0.25">
      <c r="A35" s="362" t="s">
        <v>6</v>
      </c>
      <c r="B35" s="255"/>
      <c r="C35" s="706" t="s">
        <v>216</v>
      </c>
      <c r="D35" s="707"/>
      <c r="E35" s="707"/>
      <c r="F35" s="708"/>
      <c r="G35" s="265" t="s">
        <v>25</v>
      </c>
      <c r="H35" s="266" t="s">
        <v>158</v>
      </c>
      <c r="I35" s="259"/>
      <c r="J35" s="254">
        <f t="shared" ref="J35" si="12">I35</f>
        <v>0</v>
      </c>
      <c r="K35" s="252">
        <f t="shared" ref="K35:K36" si="13">IF(A35="Y", I35*2%,0)</f>
        <v>0</v>
      </c>
      <c r="L35" s="370">
        <f t="shared" si="3"/>
        <v>0</v>
      </c>
      <c r="M35" s="256"/>
      <c r="N35" s="709"/>
      <c r="O35" s="820"/>
      <c r="P35" s="371"/>
      <c r="Q35" s="365"/>
      <c r="R35" s="254">
        <f>IF($R$39=0,,I35)</f>
        <v>0</v>
      </c>
      <c r="S35" s="252">
        <f t="shared" ref="S35:S36" si="14">IF(A35="Y", R35*2%,)</f>
        <v>0</v>
      </c>
      <c r="T35" s="370">
        <f t="shared" si="5"/>
        <v>0</v>
      </c>
      <c r="U35" s="365"/>
      <c r="V35" s="254">
        <f>IF($V$39=0,,$V$15*I35)</f>
        <v>0</v>
      </c>
      <c r="W35" s="252">
        <f t="shared" si="2"/>
        <v>0</v>
      </c>
      <c r="X35" s="370">
        <f t="shared" ref="X35:X36" si="15">V35-W35</f>
        <v>0</v>
      </c>
      <c r="Y35" s="436"/>
      <c r="Z35" s="253">
        <f t="shared" si="4"/>
        <v>0</v>
      </c>
      <c r="AA35" s="374"/>
      <c r="AB35" s="445"/>
      <c r="AC35" s="201"/>
      <c r="AD35" s="201"/>
      <c r="AE35" s="201"/>
      <c r="AF35" s="201"/>
      <c r="AG35" s="201"/>
    </row>
    <row r="36" spans="1:33" s="369" customFormat="1" ht="15.75" customHeight="1" x14ac:dyDescent="0.25">
      <c r="A36" s="362" t="s">
        <v>7</v>
      </c>
      <c r="B36" s="267"/>
      <c r="C36" s="819" t="s">
        <v>299</v>
      </c>
      <c r="D36" s="819"/>
      <c r="E36" s="819"/>
      <c r="F36" s="819"/>
      <c r="G36" s="265" t="s">
        <v>25</v>
      </c>
      <c r="H36" s="266"/>
      <c r="I36" s="259"/>
      <c r="J36" s="254"/>
      <c r="K36" s="252">
        <f t="shared" si="13"/>
        <v>0</v>
      </c>
      <c r="L36" s="370">
        <f t="shared" si="3"/>
        <v>0</v>
      </c>
      <c r="M36" s="256"/>
      <c r="N36" s="709"/>
      <c r="O36" s="820"/>
      <c r="P36" s="371"/>
      <c r="Q36" s="365"/>
      <c r="R36" s="254">
        <f>IF($R$39=0,,I36)</f>
        <v>0</v>
      </c>
      <c r="S36" s="252">
        <f t="shared" si="14"/>
        <v>0</v>
      </c>
      <c r="T36" s="370">
        <f t="shared" si="5"/>
        <v>0</v>
      </c>
      <c r="U36" s="365"/>
      <c r="V36" s="254">
        <f>IF($V$39=0,,$V$15*I36)</f>
        <v>0</v>
      </c>
      <c r="W36" s="252">
        <f t="shared" si="2"/>
        <v>0</v>
      </c>
      <c r="X36" s="370">
        <f t="shared" si="15"/>
        <v>0</v>
      </c>
      <c r="Y36" s="436"/>
      <c r="Z36" s="253">
        <f t="shared" si="4"/>
        <v>0</v>
      </c>
      <c r="AA36" s="374"/>
      <c r="AB36" s="203"/>
      <c r="AC36" s="201"/>
      <c r="AD36" s="201"/>
      <c r="AE36" s="201"/>
      <c r="AF36" s="201"/>
      <c r="AG36" s="201"/>
    </row>
    <row r="37" spans="1:33" s="369" customFormat="1" ht="29.25" customHeight="1" x14ac:dyDescent="0.25">
      <c r="A37" s="267" t="s">
        <v>6</v>
      </c>
      <c r="B37" s="267"/>
      <c r="C37" s="709" t="s">
        <v>265</v>
      </c>
      <c r="D37" s="710"/>
      <c r="E37" s="710"/>
      <c r="F37" s="711"/>
      <c r="G37" s="265" t="s">
        <v>25</v>
      </c>
      <c r="H37" s="268" t="s">
        <v>34</v>
      </c>
      <c r="I37" s="269"/>
      <c r="J37" s="271"/>
      <c r="K37" s="270"/>
      <c r="L37" s="393">
        <f>K38</f>
        <v>0</v>
      </c>
      <c r="M37" s="256"/>
      <c r="N37" s="709"/>
      <c r="O37" s="820"/>
      <c r="P37" s="371"/>
      <c r="Q37" s="365"/>
      <c r="R37" s="271"/>
      <c r="S37" s="270"/>
      <c r="T37" s="393">
        <f>S38</f>
        <v>0</v>
      </c>
      <c r="U37" s="365"/>
      <c r="V37" s="271"/>
      <c r="W37" s="270"/>
      <c r="X37" s="393">
        <f>W38</f>
        <v>0</v>
      </c>
      <c r="Y37" s="438"/>
      <c r="Z37" s="253">
        <f t="shared" si="4"/>
        <v>0</v>
      </c>
      <c r="AA37" s="374"/>
      <c r="AB37" s="203"/>
      <c r="AC37" s="201"/>
      <c r="AD37" s="201"/>
      <c r="AE37" s="201"/>
      <c r="AF37" s="201"/>
      <c r="AG37" s="201"/>
    </row>
    <row r="38" spans="1:33" s="201" customFormat="1" ht="14.5" x14ac:dyDescent="0.25">
      <c r="A38" s="204"/>
      <c r="B38" s="204"/>
      <c r="C38" s="204"/>
      <c r="D38" s="204"/>
      <c r="E38" s="205"/>
      <c r="F38" s="205"/>
      <c r="K38" s="272">
        <f>SUM(K16:K37)</f>
        <v>0</v>
      </c>
      <c r="L38" s="396"/>
      <c r="P38" s="397"/>
      <c r="Q38" s="398"/>
      <c r="S38" s="272">
        <f>SUM(S16:S37)</f>
        <v>0</v>
      </c>
      <c r="T38" s="396"/>
      <c r="U38" s="398"/>
      <c r="W38" s="272">
        <f>SUM(W16:W37)</f>
        <v>0</v>
      </c>
      <c r="X38" s="396"/>
      <c r="Y38" s="439"/>
      <c r="Z38" s="399"/>
      <c r="AA38" s="399"/>
      <c r="AB38" s="400"/>
    </row>
    <row r="39" spans="1:33" s="416" customFormat="1" ht="16" thickBot="1" x14ac:dyDescent="0.3">
      <c r="A39" s="402"/>
      <c r="B39" s="402"/>
      <c r="C39" s="402"/>
      <c r="D39" s="402"/>
      <c r="E39" s="403"/>
      <c r="F39" s="404" t="s">
        <v>67</v>
      </c>
      <c r="G39" s="405"/>
      <c r="H39" s="406" t="s">
        <v>1</v>
      </c>
      <c r="I39" s="322">
        <f>SUM(I33:I38)</f>
        <v>0</v>
      </c>
      <c r="J39" s="440">
        <v>1940</v>
      </c>
      <c r="K39" s="407"/>
      <c r="L39" s="408">
        <f>SUM(L33:L38)</f>
        <v>0</v>
      </c>
      <c r="M39" s="409"/>
      <c r="N39" s="402" t="s">
        <v>1</v>
      </c>
      <c r="O39" s="402"/>
      <c r="P39" s="410">
        <f>SUM(P33:P38)</f>
        <v>0</v>
      </c>
      <c r="Q39" s="409"/>
      <c r="R39" s="440"/>
      <c r="S39" s="407"/>
      <c r="T39" s="408">
        <f>SUM(T33:T38)</f>
        <v>0</v>
      </c>
      <c r="U39" s="409"/>
      <c r="V39" s="440"/>
      <c r="W39" s="407"/>
      <c r="X39" s="408">
        <f>SUM(X33:X38)</f>
        <v>0</v>
      </c>
      <c r="Y39" s="441"/>
      <c r="Z39" s="413">
        <f>SUM(Z33:Z38)</f>
        <v>0</v>
      </c>
      <c r="AA39" s="414"/>
      <c r="AB39" s="415"/>
    </row>
    <row r="40" spans="1:33" s="416" customFormat="1" ht="16" thickTop="1" x14ac:dyDescent="0.25">
      <c r="A40" s="402"/>
      <c r="B40" s="402"/>
      <c r="C40" s="402"/>
      <c r="D40" s="402"/>
      <c r="E40" s="403"/>
      <c r="F40" s="404"/>
      <c r="G40" s="405"/>
      <c r="H40" s="406"/>
      <c r="I40" s="407"/>
      <c r="J40" s="463"/>
      <c r="K40" s="407"/>
      <c r="L40" s="407"/>
      <c r="M40" s="409"/>
      <c r="N40" s="402"/>
      <c r="O40" s="402"/>
      <c r="P40" s="407"/>
      <c r="Q40" s="409"/>
      <c r="R40" s="460"/>
      <c r="S40" s="407"/>
      <c r="T40" s="407"/>
      <c r="U40" s="409"/>
      <c r="V40" s="460"/>
      <c r="W40" s="407"/>
      <c r="X40" s="407"/>
      <c r="Y40" s="407"/>
      <c r="Z40" s="414"/>
      <c r="AA40" s="414"/>
      <c r="AB40" s="415"/>
    </row>
    <row r="41" spans="1:33" s="308" customFormat="1" x14ac:dyDescent="0.25">
      <c r="A41" s="314"/>
      <c r="B41" s="314"/>
      <c r="C41" s="314"/>
      <c r="D41" s="314"/>
      <c r="E41" s="206"/>
      <c r="F41" s="206"/>
      <c r="L41" s="447"/>
      <c r="V41" s="417"/>
      <c r="W41" s="417"/>
      <c r="X41" s="418"/>
    </row>
    <row r="42" spans="1:33" s="308" customFormat="1" x14ac:dyDescent="0.25">
      <c r="A42" s="314"/>
      <c r="B42" s="314"/>
      <c r="C42" s="314"/>
      <c r="D42" s="314"/>
      <c r="E42" s="206"/>
      <c r="F42" s="206"/>
      <c r="L42" s="447"/>
      <c r="V42" s="417"/>
      <c r="W42" s="417"/>
      <c r="X42" s="418"/>
    </row>
  </sheetData>
  <sheetProtection insertRows="0"/>
  <mergeCells count="108">
    <mergeCell ref="A1:L1"/>
    <mergeCell ref="M1:V1"/>
    <mergeCell ref="N3:O3"/>
    <mergeCell ref="R3:X3"/>
    <mergeCell ref="A4:C4"/>
    <mergeCell ref="D4:E4"/>
    <mergeCell ref="F4:G4"/>
    <mergeCell ref="I4:M4"/>
    <mergeCell ref="N4:O4"/>
    <mergeCell ref="R4:X4"/>
    <mergeCell ref="A6:C6"/>
    <mergeCell ref="D6:E6"/>
    <mergeCell ref="F6:G6"/>
    <mergeCell ref="I6:M6"/>
    <mergeCell ref="N6:O6"/>
    <mergeCell ref="R6:X6"/>
    <mergeCell ref="A5:C5"/>
    <mergeCell ref="D5:E5"/>
    <mergeCell ref="F5:G5"/>
    <mergeCell ref="I5:M5"/>
    <mergeCell ref="N5:O5"/>
    <mergeCell ref="R5:X5"/>
    <mergeCell ref="R8:X9"/>
    <mergeCell ref="A9:C9"/>
    <mergeCell ref="D9:E9"/>
    <mergeCell ref="F9:G9"/>
    <mergeCell ref="I9:M9"/>
    <mergeCell ref="N9:O9"/>
    <mergeCell ref="A7:C7"/>
    <mergeCell ref="D7:E7"/>
    <mergeCell ref="F7:G7"/>
    <mergeCell ref="I7:M7"/>
    <mergeCell ref="R7:X7"/>
    <mergeCell ref="A8:C8"/>
    <mergeCell ref="D8:E8"/>
    <mergeCell ref="F8:G8"/>
    <mergeCell ref="I8:M8"/>
    <mergeCell ref="N8:O8"/>
    <mergeCell ref="A11:C11"/>
    <mergeCell ref="D11:E11"/>
    <mergeCell ref="F11:G11"/>
    <mergeCell ref="I11:M11"/>
    <mergeCell ref="N11:O11"/>
    <mergeCell ref="R11:X11"/>
    <mergeCell ref="A10:C10"/>
    <mergeCell ref="D10:E10"/>
    <mergeCell ref="F10:G10"/>
    <mergeCell ref="I10:M10"/>
    <mergeCell ref="N10:O10"/>
    <mergeCell ref="R10:X10"/>
    <mergeCell ref="I13:L13"/>
    <mergeCell ref="N13:P13"/>
    <mergeCell ref="R13:T13"/>
    <mergeCell ref="V13:X13"/>
    <mergeCell ref="C14:F15"/>
    <mergeCell ref="K14:K15"/>
    <mergeCell ref="N14:O14"/>
    <mergeCell ref="S14:S15"/>
    <mergeCell ref="W14:W15"/>
    <mergeCell ref="AA14:AA15"/>
    <mergeCell ref="AB14:AB15"/>
    <mergeCell ref="N15:O15"/>
    <mergeCell ref="B16:B19"/>
    <mergeCell ref="C16:F16"/>
    <mergeCell ref="N16:O16"/>
    <mergeCell ref="C17:F17"/>
    <mergeCell ref="N17:O17"/>
    <mergeCell ref="C18:F18"/>
    <mergeCell ref="N18:O18"/>
    <mergeCell ref="C22:F22"/>
    <mergeCell ref="N22:O22"/>
    <mergeCell ref="C23:F23"/>
    <mergeCell ref="N23:O23"/>
    <mergeCell ref="C24:F24"/>
    <mergeCell ref="N24:O24"/>
    <mergeCell ref="C19:F19"/>
    <mergeCell ref="N19:O19"/>
    <mergeCell ref="C20:F20"/>
    <mergeCell ref="N20:O20"/>
    <mergeCell ref="C21:F21"/>
    <mergeCell ref="N21:O21"/>
    <mergeCell ref="N29:O29"/>
    <mergeCell ref="C30:F30"/>
    <mergeCell ref="N30:O30"/>
    <mergeCell ref="C31:F31"/>
    <mergeCell ref="N31:O31"/>
    <mergeCell ref="C32:F32"/>
    <mergeCell ref="N32:O32"/>
    <mergeCell ref="C25:D25"/>
    <mergeCell ref="E25:F29"/>
    <mergeCell ref="N25:O25"/>
    <mergeCell ref="C26:D26"/>
    <mergeCell ref="N26:O26"/>
    <mergeCell ref="C27:D27"/>
    <mergeCell ref="N27:O27"/>
    <mergeCell ref="C28:D28"/>
    <mergeCell ref="N28:O28"/>
    <mergeCell ref="C29:D29"/>
    <mergeCell ref="C36:F36"/>
    <mergeCell ref="N36:O36"/>
    <mergeCell ref="C37:F37"/>
    <mergeCell ref="N37:O37"/>
    <mergeCell ref="C33:F33"/>
    <mergeCell ref="N33:O33"/>
    <mergeCell ref="C34:F34"/>
    <mergeCell ref="N34:O34"/>
    <mergeCell ref="C35:F35"/>
    <mergeCell ref="N35:O35"/>
  </mergeCells>
  <conditionalFormatting sqref="E25">
    <cfRule type="cellIs" dxfId="13" priority="1" operator="notEqual">
      <formula>"GC 76000 PA ($" &amp;P11 &amp;" for every 10) breakdown per local board of supervisor resolution (BOS)."</formula>
    </cfRule>
  </conditionalFormatting>
  <conditionalFormatting sqref="H25:H30">
    <cfRule type="expression" dxfId="12" priority="5" stopIfTrue="1">
      <formula>MOD(ROW(), 2)=0</formula>
    </cfRule>
  </conditionalFormatting>
  <conditionalFormatting sqref="H30:H32 H16:H24">
    <cfRule type="expression" dxfId="11" priority="7" stopIfTrue="1">
      <formula>MOD(ROW(),2)=0</formula>
    </cfRule>
  </conditionalFormatting>
  <conditionalFormatting sqref="K16:L37 I18:I33">
    <cfRule type="cellIs" dxfId="10" priority="3" operator="equal">
      <formula>0</formula>
    </cfRule>
  </conditionalFormatting>
  <conditionalFormatting sqref="N16:P37">
    <cfRule type="expression" dxfId="9" priority="4">
      <formula>MOD(ROW(),2)=0</formula>
    </cfRule>
  </conditionalFormatting>
  <conditionalFormatting sqref="R16:T37 V16:X37">
    <cfRule type="cellIs" dxfId="8" priority="8" stopIfTrue="1" operator="equal">
      <formula>0</formula>
    </cfRule>
  </conditionalFormatting>
  <conditionalFormatting sqref="V12:W12 Z13:AA13 V41:W65524">
    <cfRule type="cellIs" dxfId="7" priority="6" stopIfTrue="1" operator="notEqual">
      <formula>0</formula>
    </cfRule>
  </conditionalFormatting>
  <conditionalFormatting sqref="AA16:AA37">
    <cfRule type="cellIs" dxfId="6" priority="2" operator="greaterThan">
      <formula>0</formula>
    </cfRule>
  </conditionalFormatting>
  <dataValidations count="2">
    <dataValidation type="list" allowBlank="1" showInputMessage="1" showErrorMessage="1" sqref="Z15" xr:uid="{C47261A9-ADF2-44CF-8CDA-2B454D5FFFD8}">
      <formula1>Distribution_Method</formula1>
    </dataValidation>
    <dataValidation type="list" allowBlank="1" showInputMessage="1" showErrorMessage="1" sqref="D8:E8" xr:uid="{723829B3-D5C5-429E-B3F9-8645A059467F}">
      <formula1>Yes_No</formula1>
    </dataValidation>
  </dataValidations>
  <printOptions horizontalCentered="1"/>
  <pageMargins left="0.25" right="0.25" top="0.75" bottom="0.5" header="0.25" footer="0.25"/>
  <pageSetup scale="66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L33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9F6-1623-477D-9920-B90C1D488779}">
  <sheetPr>
    <tabColor theme="6"/>
    <pageSetUpPr fitToPage="1"/>
  </sheetPr>
  <dimension ref="A1:AF39"/>
  <sheetViews>
    <sheetView tabSelected="1" zoomScale="75" zoomScaleNormal="75" workbookViewId="0">
      <pane ySplit="1" topLeftCell="A2" activePane="bottomLeft" state="frozen"/>
      <selection pane="bottomLeft" activeCell="B29" sqref="B29"/>
    </sheetView>
  </sheetViews>
  <sheetFormatPr defaultColWidth="9.1796875" defaultRowHeight="18.5" x14ac:dyDescent="0.25"/>
  <cols>
    <col min="1" max="1" width="4.26953125" style="87" customWidth="1"/>
    <col min="2" max="2" width="4.7265625" style="87" customWidth="1"/>
    <col min="3" max="3" width="13.54296875" style="87" customWidth="1"/>
    <col min="4" max="4" width="12" style="87" customWidth="1"/>
    <col min="5" max="5" width="11.26953125" style="88" customWidth="1"/>
    <col min="6" max="6" width="17.453125" style="121" customWidth="1"/>
    <col min="7" max="7" width="9.90625" style="46" customWidth="1"/>
    <col min="8" max="8" width="29.453125" style="46" hidden="1" customWidth="1"/>
    <col min="9" max="9" width="10.6328125" style="46" customWidth="1"/>
    <col min="10" max="10" width="6" style="46" customWidth="1"/>
    <col min="11" max="11" width="11.1796875" style="92" customWidth="1"/>
    <col min="12" max="12" width="1.7265625" style="89" customWidth="1"/>
    <col min="13" max="13" width="15.26953125" style="46" customWidth="1"/>
    <col min="14" max="14" width="1.54296875" style="46" customWidth="1"/>
    <col min="15" max="15" width="11" style="46" customWidth="1"/>
    <col min="16" max="16" width="1.81640625" style="89" customWidth="1"/>
    <col min="17" max="17" width="12.36328125" style="89" customWidth="1"/>
    <col min="18" max="18" width="5.7265625" style="89" customWidth="1"/>
    <col min="19" max="19" width="11.7265625" style="89" customWidth="1"/>
    <col min="20" max="20" width="1.81640625" style="50" customWidth="1"/>
    <col min="21" max="21" width="12.453125" style="90" customWidth="1"/>
    <col min="22" max="22" width="6.26953125" style="90" customWidth="1"/>
    <col min="23" max="23" width="18.7265625" style="91" customWidth="1"/>
    <col min="24" max="24" width="2.1796875" style="50" customWidth="1"/>
    <col min="25" max="25" width="12.7265625" style="50" customWidth="1"/>
    <col min="26" max="26" width="11.1796875" style="50" customWidth="1"/>
    <col min="27" max="27" width="12.36328125" style="50" customWidth="1"/>
    <col min="28" max="28" width="9.1796875" style="50"/>
    <col min="29" max="16384" width="9.1796875" style="46"/>
  </cols>
  <sheetData>
    <row r="1" spans="1:32" ht="20.25" customHeight="1" thickBot="1" x14ac:dyDescent="0.3">
      <c r="A1" s="565" t="s">
        <v>306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622" t="s">
        <v>346</v>
      </c>
      <c r="M1" s="622"/>
      <c r="N1" s="622"/>
      <c r="O1" s="622"/>
      <c r="P1" s="622"/>
      <c r="Q1" s="622"/>
      <c r="R1" s="622"/>
      <c r="S1" s="622"/>
      <c r="T1" s="622"/>
      <c r="U1" s="622"/>
      <c r="V1" s="215" t="s">
        <v>264</v>
      </c>
      <c r="W1" s="484">
        <v>45292</v>
      </c>
    </row>
    <row r="2" spans="1:32" s="50" customFormat="1" ht="6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49"/>
      <c r="V2" s="49"/>
      <c r="W2" s="486"/>
    </row>
    <row r="3" spans="1:32" s="50" customFormat="1" ht="19" thickBot="1" x14ac:dyDescent="0.3">
      <c r="A3" s="216" t="s">
        <v>191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623"/>
      <c r="N3" s="624"/>
      <c r="O3" s="284"/>
      <c r="P3" s="159"/>
      <c r="Q3" s="625" t="s">
        <v>218</v>
      </c>
      <c r="R3" s="626"/>
      <c r="S3" s="626"/>
      <c r="T3" s="626"/>
      <c r="U3" s="626"/>
      <c r="V3" s="626"/>
      <c r="W3" s="627"/>
      <c r="Y3" s="159" t="s">
        <v>207</v>
      </c>
      <c r="Z3" s="120"/>
    </row>
    <row r="4" spans="1:32" s="53" customFormat="1" ht="15.5" x14ac:dyDescent="0.25">
      <c r="A4" s="575" t="s">
        <v>188</v>
      </c>
      <c r="B4" s="554"/>
      <c r="C4" s="554"/>
      <c r="D4" s="576" t="str">
        <f>L1</f>
        <v>Top-Down Methods 1 &amp; 2</v>
      </c>
      <c r="E4" s="577"/>
      <c r="F4" s="628" t="s">
        <v>22</v>
      </c>
      <c r="G4" s="574"/>
      <c r="H4" s="169"/>
      <c r="I4" s="629" t="s">
        <v>297</v>
      </c>
      <c r="J4" s="629"/>
      <c r="K4" s="629"/>
      <c r="L4" s="562"/>
      <c r="M4" s="630" t="s">
        <v>214</v>
      </c>
      <c r="N4" s="630"/>
      <c r="O4" s="181">
        <v>35</v>
      </c>
      <c r="P4" s="95"/>
      <c r="Q4" s="631" t="s">
        <v>193</v>
      </c>
      <c r="R4" s="632"/>
      <c r="S4" s="632"/>
      <c r="T4" s="632"/>
      <c r="U4" s="632"/>
      <c r="V4" s="632"/>
      <c r="W4" s="633"/>
      <c r="Y4" s="192" t="s">
        <v>242</v>
      </c>
      <c r="Z4" s="285" t="s">
        <v>243</v>
      </c>
      <c r="AA4" s="285" t="s">
        <v>300</v>
      </c>
      <c r="AB4" s="285" t="s">
        <v>301</v>
      </c>
    </row>
    <row r="5" spans="1:32" s="53" customFormat="1" ht="15.5" x14ac:dyDescent="0.25">
      <c r="A5" s="547" t="s">
        <v>3</v>
      </c>
      <c r="B5" s="548"/>
      <c r="C5" s="548"/>
      <c r="D5" s="552">
        <v>45185</v>
      </c>
      <c r="E5" s="553"/>
      <c r="F5" s="635" t="s">
        <v>201</v>
      </c>
      <c r="G5" s="549"/>
      <c r="H5" s="167"/>
      <c r="I5" s="636" t="s">
        <v>298</v>
      </c>
      <c r="J5" s="636"/>
      <c r="K5" s="636"/>
      <c r="L5" s="558"/>
      <c r="M5" s="641" t="s">
        <v>17</v>
      </c>
      <c r="N5" s="641"/>
      <c r="O5" s="54"/>
      <c r="P5" s="95"/>
      <c r="Q5" s="642" t="s">
        <v>241</v>
      </c>
      <c r="R5" s="643"/>
      <c r="S5" s="643"/>
      <c r="T5" s="643"/>
      <c r="U5" s="643"/>
      <c r="V5" s="643"/>
      <c r="W5" s="644"/>
      <c r="Y5" s="157" t="s">
        <v>25</v>
      </c>
      <c r="Z5" s="161">
        <f>SUMIF($G$16:$G$36,"STATE",$K$16:$K$36)</f>
        <v>149.72</v>
      </c>
      <c r="AA5" s="161">
        <f>SUMIF($G$16:$G$36,"STATE",$S$16:$S$36)</f>
        <v>0</v>
      </c>
      <c r="AB5" s="161">
        <f>SUMIF($G$16:$G$36,"STATE",$W$16:$W$36)</f>
        <v>0</v>
      </c>
    </row>
    <row r="6" spans="1:32" s="53" customFormat="1" ht="16" thickBot="1" x14ac:dyDescent="0.3">
      <c r="A6" s="547" t="s">
        <v>10</v>
      </c>
      <c r="B6" s="548"/>
      <c r="C6" s="548"/>
      <c r="D6" s="552">
        <v>45251</v>
      </c>
      <c r="E6" s="634"/>
      <c r="F6" s="635" t="s">
        <v>15</v>
      </c>
      <c r="G6" s="549"/>
      <c r="H6" s="167"/>
      <c r="I6" s="636" t="s">
        <v>244</v>
      </c>
      <c r="J6" s="636"/>
      <c r="K6" s="636"/>
      <c r="L6" s="558"/>
      <c r="M6" s="637" t="s">
        <v>190</v>
      </c>
      <c r="N6" s="637"/>
      <c r="O6" s="184">
        <f>O4+O5*10</f>
        <v>35</v>
      </c>
      <c r="P6" s="95"/>
      <c r="Q6" s="638" t="s">
        <v>295</v>
      </c>
      <c r="R6" s="639"/>
      <c r="S6" s="639"/>
      <c r="T6" s="639"/>
      <c r="U6" s="639"/>
      <c r="V6" s="639"/>
      <c r="W6" s="640"/>
      <c r="Y6" s="157" t="s">
        <v>26</v>
      </c>
      <c r="Z6" s="161">
        <f>SUMIF($G$16:$G$36,"COUNTY",$K$16:$K$36)</f>
        <v>58.555000000000007</v>
      </c>
      <c r="AA6" s="161">
        <f>SUMIF($G$16:$G$36,"COUNTY",$S$16:$S$36)</f>
        <v>0</v>
      </c>
      <c r="AB6" s="161">
        <f>SUMIF($G$16:$G$36,"COUNTY",$W$16:$W$36)</f>
        <v>0</v>
      </c>
    </row>
    <row r="7" spans="1:32" s="53" customFormat="1" ht="16" thickBot="1" x14ac:dyDescent="0.3">
      <c r="A7" s="547" t="s">
        <v>4</v>
      </c>
      <c r="B7" s="548"/>
      <c r="C7" s="548"/>
      <c r="D7" s="557" t="s">
        <v>296</v>
      </c>
      <c r="E7" s="553"/>
      <c r="F7" s="653" t="s">
        <v>16</v>
      </c>
      <c r="G7" s="541"/>
      <c r="H7" s="168"/>
      <c r="I7" s="560" t="s">
        <v>2</v>
      </c>
      <c r="J7" s="560"/>
      <c r="K7" s="560"/>
      <c r="L7" s="654"/>
      <c r="M7" s="188"/>
      <c r="N7" s="190"/>
      <c r="O7" s="189"/>
      <c r="P7" s="95"/>
      <c r="Q7" s="655" t="s">
        <v>192</v>
      </c>
      <c r="R7" s="656"/>
      <c r="S7" s="656"/>
      <c r="T7" s="656"/>
      <c r="U7" s="656"/>
      <c r="V7" s="656"/>
      <c r="W7" s="657"/>
      <c r="Y7" s="157" t="s">
        <v>45</v>
      </c>
      <c r="Z7" s="161">
        <f>SUMIF($G$16:$G$36,"CITY",$K$16:$K$36)</f>
        <v>25.725000000000001</v>
      </c>
      <c r="AA7" s="161">
        <f>SUMIF($G$16:$G$36,"CITY",$S$16:$S$36)</f>
        <v>0</v>
      </c>
      <c r="AB7" s="161">
        <f>SUMIF($G$16:$G$36,"CITY",$W$16:$W$36)</f>
        <v>0</v>
      </c>
    </row>
    <row r="8" spans="1:32" s="53" customFormat="1" ht="15.75" customHeight="1" x14ac:dyDescent="0.25">
      <c r="A8" s="658" t="s">
        <v>47</v>
      </c>
      <c r="B8" s="659"/>
      <c r="C8" s="659"/>
      <c r="D8" s="660">
        <v>0.25</v>
      </c>
      <c r="E8" s="661"/>
      <c r="F8" s="628" t="s">
        <v>210</v>
      </c>
      <c r="G8" s="574"/>
      <c r="H8" s="169"/>
      <c r="I8" s="662"/>
      <c r="J8" s="662"/>
      <c r="K8" s="662"/>
      <c r="L8" s="663"/>
      <c r="M8" s="664" t="s">
        <v>214</v>
      </c>
      <c r="N8" s="664"/>
      <c r="O8" s="51">
        <v>0</v>
      </c>
      <c r="P8" s="138"/>
      <c r="Q8" s="645" t="s">
        <v>302</v>
      </c>
      <c r="R8" s="524"/>
      <c r="S8" s="524"/>
      <c r="T8" s="524"/>
      <c r="U8" s="524"/>
      <c r="V8" s="524"/>
      <c r="W8" s="646"/>
      <c r="Y8" s="157" t="s">
        <v>187</v>
      </c>
      <c r="Z8" s="161">
        <f>SUMIF($G$16:$G$36,"COURT",$K$16:$K$36)</f>
        <v>0</v>
      </c>
      <c r="AA8" s="161">
        <f>SUMIF($G$16:$G$36,"COURT",$S$16:$S$36)</f>
        <v>0</v>
      </c>
      <c r="AB8" s="161">
        <f>SUMIF($G$16:$G$36,"COURT",$W$16:$W$36)</f>
        <v>0</v>
      </c>
    </row>
    <row r="9" spans="1:32" s="53" customFormat="1" ht="18" customHeight="1" thickBot="1" x14ac:dyDescent="0.3">
      <c r="A9" s="649" t="s">
        <v>46</v>
      </c>
      <c r="B9" s="650"/>
      <c r="C9" s="650"/>
      <c r="D9" s="567">
        <f>100%-D8</f>
        <v>0.75</v>
      </c>
      <c r="E9" s="568"/>
      <c r="F9" s="635" t="s">
        <v>201</v>
      </c>
      <c r="G9" s="549"/>
      <c r="H9" s="167"/>
      <c r="I9" s="651"/>
      <c r="J9" s="651"/>
      <c r="K9" s="651"/>
      <c r="L9" s="652"/>
      <c r="M9" s="641" t="s">
        <v>17</v>
      </c>
      <c r="N9" s="641"/>
      <c r="O9" s="54"/>
      <c r="P9" s="138"/>
      <c r="Q9" s="647"/>
      <c r="R9" s="527"/>
      <c r="S9" s="527"/>
      <c r="T9" s="527"/>
      <c r="U9" s="527"/>
      <c r="V9" s="527"/>
      <c r="W9" s="648"/>
      <c r="Y9" s="84" t="s">
        <v>261</v>
      </c>
      <c r="Z9" s="161">
        <f>SUMIF($G$16:$G$36,"CNTY or CTY",$K$16:$K$36)</f>
        <v>0</v>
      </c>
      <c r="AA9" s="161">
        <f>SUMIF($G$16:$G$36,"CNTY or CTY",$S$16:$S$36)</f>
        <v>0</v>
      </c>
      <c r="AB9" s="161">
        <f>SUMIF($G$16:$G$36,"CNTY or CTY",$W$16:$W$36)</f>
        <v>0</v>
      </c>
    </row>
    <row r="10" spans="1:32" s="53" customFormat="1" ht="16.5" customHeight="1" thickBot="1" x14ac:dyDescent="0.3">
      <c r="A10" s="599" t="s">
        <v>224</v>
      </c>
      <c r="B10" s="600"/>
      <c r="C10" s="600"/>
      <c r="D10" s="672">
        <f>O6+O10</f>
        <v>35</v>
      </c>
      <c r="E10" s="673"/>
      <c r="F10" s="635" t="s">
        <v>15</v>
      </c>
      <c r="G10" s="549"/>
      <c r="H10" s="167"/>
      <c r="I10" s="651"/>
      <c r="J10" s="651"/>
      <c r="K10" s="651"/>
      <c r="L10" s="652"/>
      <c r="M10" s="637" t="s">
        <v>190</v>
      </c>
      <c r="N10" s="637"/>
      <c r="O10" s="184">
        <f>O8+O9*10</f>
        <v>0</v>
      </c>
      <c r="P10" s="286"/>
      <c r="Q10" s="674" t="s">
        <v>196</v>
      </c>
      <c r="R10" s="675"/>
      <c r="S10" s="675"/>
      <c r="T10" s="675"/>
      <c r="U10" s="675"/>
      <c r="V10" s="675"/>
      <c r="W10" s="676"/>
      <c r="Y10" s="158" t="s">
        <v>203</v>
      </c>
      <c r="Z10" s="134">
        <f>SUM(Z5:Z9)</f>
        <v>234</v>
      </c>
      <c r="AA10" s="134">
        <f>SUM(AA5:AA9)</f>
        <v>0</v>
      </c>
      <c r="AB10" s="134">
        <f>SUM(AB5:AB9)</f>
        <v>0</v>
      </c>
    </row>
    <row r="11" spans="1:32" s="53" customFormat="1" ht="16.5" customHeight="1" thickBot="1" x14ac:dyDescent="0.3">
      <c r="A11" s="597" t="s">
        <v>225</v>
      </c>
      <c r="B11" s="598"/>
      <c r="C11" s="598"/>
      <c r="D11" s="593">
        <f>ROUNDUP(D10/10,0)</f>
        <v>4</v>
      </c>
      <c r="E11" s="594"/>
      <c r="F11" s="653" t="s">
        <v>16</v>
      </c>
      <c r="G11" s="541"/>
      <c r="H11" s="168"/>
      <c r="I11" s="665"/>
      <c r="J11" s="665"/>
      <c r="K11" s="665"/>
      <c r="L11" s="666"/>
      <c r="M11" s="667" t="s">
        <v>287</v>
      </c>
      <c r="N11" s="668"/>
      <c r="O11" s="448">
        <f>'Local Penalties'!B8</f>
        <v>5</v>
      </c>
      <c r="P11" s="286"/>
      <c r="Q11" s="669" t="s">
        <v>256</v>
      </c>
      <c r="R11" s="670"/>
      <c r="S11" s="670"/>
      <c r="T11" s="670"/>
      <c r="U11" s="670"/>
      <c r="V11" s="670"/>
      <c r="W11" s="671"/>
      <c r="Z11" s="287">
        <f>Z10-K38</f>
        <v>0</v>
      </c>
      <c r="AA11" s="287">
        <f>AA10-S38</f>
        <v>0</v>
      </c>
      <c r="AB11" s="287">
        <f>AB10-W38</f>
        <v>0</v>
      </c>
    </row>
    <row r="12" spans="1:32" s="53" customFormat="1" ht="15.7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O12" s="52"/>
      <c r="P12" s="52"/>
      <c r="Q12" s="52"/>
      <c r="R12" s="52"/>
      <c r="S12" s="52"/>
      <c r="T12" s="52"/>
      <c r="U12" s="58"/>
      <c r="V12" s="58"/>
      <c r="W12" s="56"/>
      <c r="AA12" s="59"/>
    </row>
    <row r="13" spans="1:32" s="98" customFormat="1" ht="18.75" customHeight="1" thickBot="1" x14ac:dyDescent="0.3">
      <c r="A13" s="174"/>
      <c r="B13" s="174"/>
      <c r="C13" s="174"/>
      <c r="D13" s="174"/>
      <c r="E13" s="174"/>
      <c r="F13" s="96"/>
      <c r="G13" s="97"/>
      <c r="I13" s="680" t="s">
        <v>236</v>
      </c>
      <c r="J13" s="681"/>
      <c r="K13" s="682"/>
      <c r="L13" s="99"/>
      <c r="M13" s="683" t="s">
        <v>186</v>
      </c>
      <c r="N13" s="684"/>
      <c r="O13" s="685"/>
      <c r="P13" s="100"/>
      <c r="Q13" s="686" t="s">
        <v>303</v>
      </c>
      <c r="R13" s="687"/>
      <c r="S13" s="688"/>
      <c r="T13" s="100"/>
      <c r="U13" s="686" t="s">
        <v>304</v>
      </c>
      <c r="V13" s="687"/>
      <c r="W13" s="688"/>
      <c r="X13" s="288"/>
      <c r="Y13" s="143"/>
      <c r="Z13" s="143"/>
      <c r="AA13" s="144"/>
      <c r="AB13" s="97"/>
      <c r="AC13" s="97"/>
      <c r="AD13" s="97"/>
      <c r="AE13" s="97"/>
      <c r="AF13" s="97"/>
    </row>
    <row r="14" spans="1:32" ht="44.25" customHeight="1" thickBot="1" x14ac:dyDescent="0.3">
      <c r="A14" s="101">
        <v>0.02</v>
      </c>
      <c r="B14" s="101" t="s">
        <v>51</v>
      </c>
      <c r="C14" s="603" t="s">
        <v>183</v>
      </c>
      <c r="D14" s="604"/>
      <c r="E14" s="604"/>
      <c r="F14" s="605"/>
      <c r="G14" s="102" t="s">
        <v>206</v>
      </c>
      <c r="H14" s="103" t="s">
        <v>0</v>
      </c>
      <c r="I14" s="689" t="s">
        <v>237</v>
      </c>
      <c r="J14" s="691" t="s">
        <v>5</v>
      </c>
      <c r="K14" s="289" t="s">
        <v>238</v>
      </c>
      <c r="L14" s="61"/>
      <c r="M14" s="514" t="s">
        <v>217</v>
      </c>
      <c r="N14" s="515"/>
      <c r="O14" s="109" t="s">
        <v>205</v>
      </c>
      <c r="P14" s="110"/>
      <c r="Q14" s="290" t="s">
        <v>255</v>
      </c>
      <c r="R14" s="691" t="s">
        <v>5</v>
      </c>
      <c r="S14" s="289" t="s">
        <v>238</v>
      </c>
      <c r="T14" s="110"/>
      <c r="U14" s="290" t="s">
        <v>305</v>
      </c>
      <c r="V14" s="691" t="s">
        <v>5</v>
      </c>
      <c r="W14" s="289" t="s">
        <v>238</v>
      </c>
      <c r="X14" s="291"/>
      <c r="Y14" s="292" t="s">
        <v>213</v>
      </c>
      <c r="Z14" s="693" t="s">
        <v>54</v>
      </c>
      <c r="AA14" s="695" t="s">
        <v>249</v>
      </c>
      <c r="AC14" s="50"/>
      <c r="AD14" s="50"/>
      <c r="AE14" s="50"/>
      <c r="AF14" s="50"/>
    </row>
    <row r="15" spans="1:32" ht="38.5" customHeight="1" thickBot="1" x14ac:dyDescent="0.3">
      <c r="A15" s="104"/>
      <c r="B15" s="104"/>
      <c r="C15" s="606"/>
      <c r="D15" s="607"/>
      <c r="E15" s="607"/>
      <c r="F15" s="608"/>
      <c r="G15" s="105"/>
      <c r="H15" s="105"/>
      <c r="I15" s="690"/>
      <c r="J15" s="692"/>
      <c r="K15" s="293" t="s">
        <v>35</v>
      </c>
      <c r="L15" s="62"/>
      <c r="M15" s="512"/>
      <c r="N15" s="513"/>
      <c r="O15" s="294" t="s">
        <v>36</v>
      </c>
      <c r="P15" s="110"/>
      <c r="Q15" s="200">
        <f>IFERROR(Q31/I31,0)</f>
        <v>0</v>
      </c>
      <c r="R15" s="692"/>
      <c r="S15" s="293" t="s">
        <v>37</v>
      </c>
      <c r="T15" s="110"/>
      <c r="U15" s="200">
        <f>(U38)/(I38)</f>
        <v>0</v>
      </c>
      <c r="V15" s="692"/>
      <c r="W15" s="293" t="s">
        <v>37</v>
      </c>
      <c r="X15" s="291"/>
      <c r="Y15" s="193" t="s">
        <v>240</v>
      </c>
      <c r="Z15" s="694"/>
      <c r="AA15" s="696"/>
      <c r="AC15" s="50"/>
      <c r="AD15" s="50"/>
      <c r="AE15" s="50"/>
      <c r="AF15" s="50"/>
    </row>
    <row r="16" spans="1:32" s="68" customFormat="1" ht="15.75" customHeight="1" x14ac:dyDescent="0.25">
      <c r="A16" s="63" t="s">
        <v>7</v>
      </c>
      <c r="B16" s="677" t="s">
        <v>198</v>
      </c>
      <c r="C16" s="679" t="s">
        <v>169</v>
      </c>
      <c r="D16" s="679"/>
      <c r="E16" s="679"/>
      <c r="F16" s="679"/>
      <c r="G16" s="467" t="s">
        <v>26</v>
      </c>
      <c r="H16" s="468" t="s">
        <v>21</v>
      </c>
      <c r="I16" s="469">
        <f>D10*D8</f>
        <v>8.75</v>
      </c>
      <c r="J16" s="470">
        <f>IF(A16="Y",I16* 2%,0)</f>
        <v>0.17500000000000002</v>
      </c>
      <c r="K16" s="471">
        <f>I16-J16</f>
        <v>8.5749999999999993</v>
      </c>
      <c r="L16" s="149"/>
      <c r="M16" s="510"/>
      <c r="N16" s="511"/>
      <c r="O16" s="72"/>
      <c r="P16" s="66"/>
      <c r="Q16" s="145">
        <f t="shared" ref="Q16:Q30" si="0">IF($Q$38=0,,I16*$Q$15)</f>
        <v>0</v>
      </c>
      <c r="R16" s="147">
        <f t="shared" ref="R16:R30" si="1">IF(A16="Y", Q16*2%,)</f>
        <v>0</v>
      </c>
      <c r="S16" s="152">
        <f t="shared" ref="S16:S35" si="2">Q16-R16</f>
        <v>0</v>
      </c>
      <c r="T16" s="66"/>
      <c r="U16" s="145">
        <f t="shared" ref="U16:U30" si="3">IF($U$38=0,,I16*$U$15)</f>
        <v>0</v>
      </c>
      <c r="V16" s="147">
        <f t="shared" ref="V16:V30" si="4">IF(A16="Y", U16*2%,)</f>
        <v>0</v>
      </c>
      <c r="W16" s="152">
        <f t="shared" ref="W16:W25" si="5">U16-V16</f>
        <v>0</v>
      </c>
      <c r="X16" s="295"/>
      <c r="Y16" s="145">
        <f>IF($Y$15="BASE-UP (B-A)", O16-K16,
(IF($Y$15="TOP-DOWN 1 (B-C)",O16-S16,O16-W16)))</f>
        <v>0</v>
      </c>
      <c r="Z16" s="296"/>
      <c r="AA16" s="67"/>
      <c r="AB16" s="114"/>
      <c r="AC16" s="114"/>
      <c r="AD16" s="114"/>
      <c r="AE16" s="114"/>
      <c r="AF16" s="114"/>
    </row>
    <row r="17" spans="1:32" s="68" customFormat="1" ht="15.75" customHeight="1" x14ac:dyDescent="0.25">
      <c r="A17" s="63" t="s">
        <v>7</v>
      </c>
      <c r="B17" s="678"/>
      <c r="C17" s="679" t="s">
        <v>170</v>
      </c>
      <c r="D17" s="679"/>
      <c r="E17" s="679"/>
      <c r="F17" s="679"/>
      <c r="G17" s="467" t="s">
        <v>45</v>
      </c>
      <c r="H17" s="468" t="s">
        <v>19</v>
      </c>
      <c r="I17" s="469">
        <f>D10*D9</f>
        <v>26.25</v>
      </c>
      <c r="J17" s="470">
        <f t="shared" ref="J17:J30" si="6">IF(A17="Y",I17* 2%,0)</f>
        <v>0.52500000000000002</v>
      </c>
      <c r="K17" s="471">
        <f t="shared" ref="K17:K29" si="7">I17-J17</f>
        <v>25.725000000000001</v>
      </c>
      <c r="L17" s="149"/>
      <c r="M17" s="510"/>
      <c r="N17" s="511"/>
      <c r="O17" s="72"/>
      <c r="P17" s="66"/>
      <c r="Q17" s="145">
        <f t="shared" si="0"/>
        <v>0</v>
      </c>
      <c r="R17" s="147">
        <f t="shared" si="1"/>
        <v>0</v>
      </c>
      <c r="S17" s="152">
        <f t="shared" si="2"/>
        <v>0</v>
      </c>
      <c r="T17" s="66"/>
      <c r="U17" s="145">
        <f t="shared" si="3"/>
        <v>0</v>
      </c>
      <c r="V17" s="147">
        <f t="shared" si="4"/>
        <v>0</v>
      </c>
      <c r="W17" s="152">
        <f t="shared" si="5"/>
        <v>0</v>
      </c>
      <c r="X17" s="295"/>
      <c r="Y17" s="145">
        <f t="shared" ref="Y17:Y36" si="8">IF($Y$15="BASE-UP (B-A)", O17-K17,
(IF($Y$15="TOP-DOWN 1 (B-C)",O17-S17,O17-W17)))</f>
        <v>0</v>
      </c>
      <c r="Z17" s="296"/>
      <c r="AA17" s="67"/>
      <c r="AB17" s="114"/>
      <c r="AC17" s="114"/>
      <c r="AD17" s="114"/>
      <c r="AE17" s="114"/>
      <c r="AF17" s="114"/>
    </row>
    <row r="18" spans="1:32" s="68" customFormat="1" ht="15.75" customHeight="1" x14ac:dyDescent="0.25">
      <c r="A18" s="63" t="s">
        <v>7</v>
      </c>
      <c r="B18" s="69">
        <v>7</v>
      </c>
      <c r="C18" s="533" t="s">
        <v>281</v>
      </c>
      <c r="D18" s="533"/>
      <c r="E18" s="533"/>
      <c r="F18" s="533"/>
      <c r="G18" s="278" t="s">
        <v>25</v>
      </c>
      <c r="H18" s="71" t="s">
        <v>20</v>
      </c>
      <c r="I18" s="140">
        <f>$D$11*B18</f>
        <v>28</v>
      </c>
      <c r="J18" s="147">
        <f t="shared" si="6"/>
        <v>0.56000000000000005</v>
      </c>
      <c r="K18" s="152">
        <f t="shared" si="7"/>
        <v>27.44</v>
      </c>
      <c r="L18" s="149"/>
      <c r="M18" s="510"/>
      <c r="N18" s="511"/>
      <c r="O18" s="74"/>
      <c r="P18" s="75"/>
      <c r="Q18" s="145">
        <f t="shared" si="0"/>
        <v>0</v>
      </c>
      <c r="R18" s="147">
        <f t="shared" si="1"/>
        <v>0</v>
      </c>
      <c r="S18" s="152">
        <f t="shared" si="2"/>
        <v>0</v>
      </c>
      <c r="T18" s="75"/>
      <c r="U18" s="145">
        <f t="shared" si="3"/>
        <v>0</v>
      </c>
      <c r="V18" s="147">
        <f t="shared" si="4"/>
        <v>0</v>
      </c>
      <c r="W18" s="152">
        <f t="shared" si="5"/>
        <v>0</v>
      </c>
      <c r="X18" s="295"/>
      <c r="Y18" s="145">
        <f t="shared" si="8"/>
        <v>0</v>
      </c>
      <c r="Z18" s="296"/>
      <c r="AA18" s="67"/>
      <c r="AB18" s="114"/>
      <c r="AC18" s="114"/>
      <c r="AD18" s="114"/>
      <c r="AE18" s="114"/>
      <c r="AF18" s="114"/>
    </row>
    <row r="19" spans="1:32" s="68" customFormat="1" ht="15.75" customHeight="1" x14ac:dyDescent="0.25">
      <c r="A19" s="63" t="s">
        <v>7</v>
      </c>
      <c r="B19" s="69">
        <v>3</v>
      </c>
      <c r="C19" s="533" t="s">
        <v>282</v>
      </c>
      <c r="D19" s="533"/>
      <c r="E19" s="533"/>
      <c r="F19" s="533"/>
      <c r="G19" s="278" t="s">
        <v>26</v>
      </c>
      <c r="H19" s="71" t="s">
        <v>21</v>
      </c>
      <c r="I19" s="140">
        <f t="shared" ref="I19:I29" si="9">$D$11*B19</f>
        <v>12</v>
      </c>
      <c r="J19" s="147">
        <f t="shared" si="6"/>
        <v>0.24</v>
      </c>
      <c r="K19" s="152">
        <f t="shared" si="7"/>
        <v>11.76</v>
      </c>
      <c r="L19" s="149"/>
      <c r="M19" s="510"/>
      <c r="N19" s="511"/>
      <c r="O19" s="72"/>
      <c r="P19" s="66"/>
      <c r="Q19" s="145">
        <f t="shared" si="0"/>
        <v>0</v>
      </c>
      <c r="R19" s="147">
        <f t="shared" si="1"/>
        <v>0</v>
      </c>
      <c r="S19" s="152">
        <f t="shared" si="2"/>
        <v>0</v>
      </c>
      <c r="T19" s="66"/>
      <c r="U19" s="145">
        <f t="shared" si="3"/>
        <v>0</v>
      </c>
      <c r="V19" s="147">
        <f t="shared" si="4"/>
        <v>0</v>
      </c>
      <c r="W19" s="152">
        <f t="shared" si="5"/>
        <v>0</v>
      </c>
      <c r="X19" s="295"/>
      <c r="Y19" s="145">
        <f t="shared" si="8"/>
        <v>0</v>
      </c>
      <c r="Z19" s="296"/>
      <c r="AA19" s="67"/>
      <c r="AB19" s="114"/>
      <c r="AC19" s="114"/>
      <c r="AD19" s="114"/>
      <c r="AE19" s="114"/>
      <c r="AF19" s="114"/>
    </row>
    <row r="20" spans="1:32" s="68" customFormat="1" ht="15.75" customHeight="1" x14ac:dyDescent="0.25">
      <c r="A20" s="63" t="s">
        <v>7</v>
      </c>
      <c r="B20" s="297">
        <v>0.75</v>
      </c>
      <c r="C20" s="510" t="s">
        <v>293</v>
      </c>
      <c r="D20" s="531"/>
      <c r="E20" s="531"/>
      <c r="F20" s="532"/>
      <c r="G20" s="278" t="s">
        <v>26</v>
      </c>
      <c r="H20" s="71" t="s">
        <v>48</v>
      </c>
      <c r="I20" s="140">
        <f t="shared" si="9"/>
        <v>3</v>
      </c>
      <c r="J20" s="147">
        <f t="shared" si="6"/>
        <v>0.06</v>
      </c>
      <c r="K20" s="152">
        <f t="shared" si="7"/>
        <v>2.94</v>
      </c>
      <c r="L20" s="149"/>
      <c r="M20" s="510"/>
      <c r="N20" s="511"/>
      <c r="O20" s="72"/>
      <c r="P20" s="66"/>
      <c r="Q20" s="145">
        <f t="shared" si="0"/>
        <v>0</v>
      </c>
      <c r="R20" s="147">
        <f t="shared" si="1"/>
        <v>0</v>
      </c>
      <c r="S20" s="152">
        <f t="shared" si="2"/>
        <v>0</v>
      </c>
      <c r="T20" s="66"/>
      <c r="U20" s="145">
        <f t="shared" si="3"/>
        <v>0</v>
      </c>
      <c r="V20" s="147">
        <f t="shared" si="4"/>
        <v>0</v>
      </c>
      <c r="W20" s="152">
        <f t="shared" si="5"/>
        <v>0</v>
      </c>
      <c r="X20" s="295"/>
      <c r="Y20" s="145">
        <f t="shared" si="8"/>
        <v>0</v>
      </c>
      <c r="Z20" s="296"/>
      <c r="AA20" s="67"/>
      <c r="AB20" s="114"/>
      <c r="AC20" s="114"/>
      <c r="AD20" s="114"/>
      <c r="AE20" s="114"/>
      <c r="AF20" s="114"/>
    </row>
    <row r="21" spans="1:32" s="68" customFormat="1" ht="15.75" customHeight="1" x14ac:dyDescent="0.25">
      <c r="A21" s="63" t="s">
        <v>7</v>
      </c>
      <c r="B21" s="297">
        <v>0.25</v>
      </c>
      <c r="C21" s="510" t="s">
        <v>292</v>
      </c>
      <c r="D21" s="531"/>
      <c r="E21" s="531"/>
      <c r="F21" s="532"/>
      <c r="G21" s="278" t="s">
        <v>25</v>
      </c>
      <c r="H21" s="71" t="s">
        <v>48</v>
      </c>
      <c r="I21" s="140">
        <f t="shared" si="9"/>
        <v>1</v>
      </c>
      <c r="J21" s="147">
        <f t="shared" si="6"/>
        <v>0.02</v>
      </c>
      <c r="K21" s="152">
        <f t="shared" si="7"/>
        <v>0.98</v>
      </c>
      <c r="L21" s="149"/>
      <c r="M21" s="510"/>
      <c r="N21" s="511"/>
      <c r="O21" s="72"/>
      <c r="P21" s="66"/>
      <c r="Q21" s="145">
        <f t="shared" si="0"/>
        <v>0</v>
      </c>
      <c r="R21" s="147">
        <f t="shared" si="1"/>
        <v>0</v>
      </c>
      <c r="S21" s="152">
        <f t="shared" si="2"/>
        <v>0</v>
      </c>
      <c r="T21" s="66"/>
      <c r="U21" s="145">
        <f t="shared" si="3"/>
        <v>0</v>
      </c>
      <c r="V21" s="147">
        <f t="shared" si="4"/>
        <v>0</v>
      </c>
      <c r="W21" s="152">
        <f t="shared" si="5"/>
        <v>0</v>
      </c>
      <c r="X21" s="295"/>
      <c r="Y21" s="145">
        <f t="shared" si="8"/>
        <v>0</v>
      </c>
      <c r="Z21" s="296"/>
      <c r="AA21" s="67"/>
      <c r="AB21" s="114"/>
      <c r="AC21" s="114"/>
      <c r="AD21" s="114"/>
      <c r="AE21" s="114"/>
      <c r="AF21" s="114"/>
    </row>
    <row r="22" spans="1:32" s="68" customFormat="1" ht="14.5" x14ac:dyDescent="0.25">
      <c r="A22" s="63" t="s">
        <v>7</v>
      </c>
      <c r="B22" s="69">
        <v>4</v>
      </c>
      <c r="C22" s="510" t="s">
        <v>263</v>
      </c>
      <c r="D22" s="531"/>
      <c r="E22" s="531"/>
      <c r="F22" s="532"/>
      <c r="G22" s="278" t="s">
        <v>25</v>
      </c>
      <c r="H22" s="71" t="s">
        <v>60</v>
      </c>
      <c r="I22" s="140">
        <f t="shared" si="9"/>
        <v>16</v>
      </c>
      <c r="J22" s="147">
        <f t="shared" si="6"/>
        <v>0.32</v>
      </c>
      <c r="K22" s="152">
        <f t="shared" si="7"/>
        <v>15.68</v>
      </c>
      <c r="L22" s="149"/>
      <c r="M22" s="510"/>
      <c r="N22" s="511"/>
      <c r="O22" s="72"/>
      <c r="P22" s="66"/>
      <c r="Q22" s="145">
        <f t="shared" si="0"/>
        <v>0</v>
      </c>
      <c r="R22" s="147">
        <f t="shared" si="1"/>
        <v>0</v>
      </c>
      <c r="S22" s="152">
        <f t="shared" si="2"/>
        <v>0</v>
      </c>
      <c r="T22" s="66"/>
      <c r="U22" s="145">
        <f t="shared" si="3"/>
        <v>0</v>
      </c>
      <c r="V22" s="147">
        <f t="shared" si="4"/>
        <v>0</v>
      </c>
      <c r="W22" s="152">
        <f t="shared" si="5"/>
        <v>0</v>
      </c>
      <c r="X22" s="295"/>
      <c r="Y22" s="145">
        <f t="shared" si="8"/>
        <v>0</v>
      </c>
      <c r="Z22" s="298"/>
      <c r="AA22" s="212"/>
      <c r="AB22" s="114"/>
      <c r="AC22" s="114"/>
      <c r="AD22" s="114"/>
      <c r="AE22" s="114"/>
      <c r="AF22" s="114"/>
    </row>
    <row r="23" spans="1:32" s="68" customFormat="1" ht="15.75" customHeight="1" x14ac:dyDescent="0.25">
      <c r="A23" s="63" t="s">
        <v>7</v>
      </c>
      <c r="B23" s="299">
        <v>2</v>
      </c>
      <c r="C23" s="533" t="s">
        <v>174</v>
      </c>
      <c r="D23" s="533"/>
      <c r="E23" s="697" t="str">
        <f>IF(SUM(B23:B27)=O11,"GC 76000 PA ($" &amp;O11 &amp; " for every 10) breakdown per local board of supervisor resolution (BOS).","ERROR! GC 76000 PA total is not $" &amp;O11&amp; ". Check Court's board resolution.")</f>
        <v>ERROR! GC 76000 PA total is not $5. Check Court's board resolution.</v>
      </c>
      <c r="F23" s="698"/>
      <c r="G23" s="278" t="s">
        <v>26</v>
      </c>
      <c r="H23" s="71" t="s">
        <v>56</v>
      </c>
      <c r="I23" s="140">
        <f t="shared" si="9"/>
        <v>8</v>
      </c>
      <c r="J23" s="147">
        <f t="shared" si="6"/>
        <v>0.16</v>
      </c>
      <c r="K23" s="152">
        <f t="shared" si="7"/>
        <v>7.84</v>
      </c>
      <c r="L23" s="149"/>
      <c r="M23" s="510"/>
      <c r="N23" s="511"/>
      <c r="O23" s="72"/>
      <c r="P23" s="66"/>
      <c r="Q23" s="145">
        <f t="shared" si="0"/>
        <v>0</v>
      </c>
      <c r="R23" s="147">
        <f t="shared" si="1"/>
        <v>0</v>
      </c>
      <c r="S23" s="152">
        <f t="shared" si="2"/>
        <v>0</v>
      </c>
      <c r="T23" s="66"/>
      <c r="U23" s="145">
        <f t="shared" si="3"/>
        <v>0</v>
      </c>
      <c r="V23" s="147">
        <f t="shared" si="4"/>
        <v>0</v>
      </c>
      <c r="W23" s="152">
        <f t="shared" si="5"/>
        <v>0</v>
      </c>
      <c r="X23" s="295"/>
      <c r="Y23" s="145">
        <f t="shared" si="8"/>
        <v>0</v>
      </c>
      <c r="Z23" s="300"/>
      <c r="AA23" s="67"/>
      <c r="AB23" s="114"/>
      <c r="AC23" s="114"/>
      <c r="AD23" s="114"/>
      <c r="AE23" s="114"/>
      <c r="AF23" s="114"/>
    </row>
    <row r="24" spans="1:32" s="68" customFormat="1" ht="15.75" customHeight="1" x14ac:dyDescent="0.25">
      <c r="A24" s="63" t="s">
        <v>7</v>
      </c>
      <c r="B24" s="299">
        <v>2</v>
      </c>
      <c r="C24" s="533" t="s">
        <v>175</v>
      </c>
      <c r="D24" s="533"/>
      <c r="E24" s="699"/>
      <c r="F24" s="700"/>
      <c r="G24" s="278" t="s">
        <v>26</v>
      </c>
      <c r="H24" s="71" t="s">
        <v>28</v>
      </c>
      <c r="I24" s="140">
        <f t="shared" si="9"/>
        <v>8</v>
      </c>
      <c r="J24" s="147">
        <f t="shared" si="6"/>
        <v>0.16</v>
      </c>
      <c r="K24" s="152">
        <f t="shared" si="7"/>
        <v>7.84</v>
      </c>
      <c r="L24" s="149"/>
      <c r="M24" s="510"/>
      <c r="N24" s="511"/>
      <c r="O24" s="72"/>
      <c r="P24" s="66"/>
      <c r="Q24" s="145">
        <f t="shared" si="0"/>
        <v>0</v>
      </c>
      <c r="R24" s="147">
        <f t="shared" si="1"/>
        <v>0</v>
      </c>
      <c r="S24" s="152">
        <f t="shared" si="2"/>
        <v>0</v>
      </c>
      <c r="T24" s="66"/>
      <c r="U24" s="145">
        <f t="shared" si="3"/>
        <v>0</v>
      </c>
      <c r="V24" s="147">
        <f t="shared" si="4"/>
        <v>0</v>
      </c>
      <c r="W24" s="152">
        <f t="shared" si="5"/>
        <v>0</v>
      </c>
      <c r="X24" s="295"/>
      <c r="Y24" s="145">
        <f t="shared" si="8"/>
        <v>0</v>
      </c>
      <c r="Z24" s="296"/>
      <c r="AA24" s="67"/>
      <c r="AB24" s="114"/>
      <c r="AC24" s="114"/>
      <c r="AD24" s="114"/>
      <c r="AE24" s="114"/>
      <c r="AF24" s="114"/>
    </row>
    <row r="25" spans="1:32" s="68" customFormat="1" ht="15.75" customHeight="1" x14ac:dyDescent="0.25">
      <c r="A25" s="63" t="s">
        <v>7</v>
      </c>
      <c r="B25" s="299">
        <v>1.5</v>
      </c>
      <c r="C25" s="533" t="s">
        <v>176</v>
      </c>
      <c r="D25" s="533"/>
      <c r="E25" s="699"/>
      <c r="F25" s="700"/>
      <c r="G25" s="278" t="s">
        <v>26</v>
      </c>
      <c r="H25" s="71" t="s">
        <v>57</v>
      </c>
      <c r="I25" s="140">
        <f t="shared" si="9"/>
        <v>6</v>
      </c>
      <c r="J25" s="147">
        <f t="shared" si="6"/>
        <v>0.12</v>
      </c>
      <c r="K25" s="152">
        <f t="shared" si="7"/>
        <v>5.88</v>
      </c>
      <c r="L25" s="149"/>
      <c r="M25" s="510"/>
      <c r="N25" s="511"/>
      <c r="O25" s="72"/>
      <c r="P25" s="66"/>
      <c r="Q25" s="145">
        <f t="shared" si="0"/>
        <v>0</v>
      </c>
      <c r="R25" s="147">
        <f t="shared" si="1"/>
        <v>0</v>
      </c>
      <c r="S25" s="152">
        <f t="shared" si="2"/>
        <v>0</v>
      </c>
      <c r="T25" s="66"/>
      <c r="U25" s="145">
        <f t="shared" si="3"/>
        <v>0</v>
      </c>
      <c r="V25" s="147">
        <f t="shared" si="4"/>
        <v>0</v>
      </c>
      <c r="W25" s="152">
        <f t="shared" si="5"/>
        <v>0</v>
      </c>
      <c r="X25" s="295"/>
      <c r="Y25" s="145">
        <f t="shared" si="8"/>
        <v>0</v>
      </c>
      <c r="Z25" s="296"/>
      <c r="AA25" s="67"/>
      <c r="AB25" s="114"/>
      <c r="AC25" s="114"/>
      <c r="AD25" s="114"/>
      <c r="AE25" s="114"/>
      <c r="AF25" s="114"/>
    </row>
    <row r="26" spans="1:32" s="68" customFormat="1" ht="15.75" customHeight="1" x14ac:dyDescent="0.25">
      <c r="A26" s="63" t="s">
        <v>7</v>
      </c>
      <c r="B26" s="299">
        <v>0.5</v>
      </c>
      <c r="C26" s="533" t="s">
        <v>252</v>
      </c>
      <c r="D26" s="533"/>
      <c r="E26" s="699"/>
      <c r="F26" s="700"/>
      <c r="G26" s="278" t="s">
        <v>26</v>
      </c>
      <c r="H26" s="71" t="s">
        <v>57</v>
      </c>
      <c r="I26" s="140">
        <f>$D$11*B26</f>
        <v>2</v>
      </c>
      <c r="J26" s="147">
        <f>IF(A26="Y",I26* 2%,0)</f>
        <v>0.04</v>
      </c>
      <c r="K26" s="152">
        <f>I26-J26</f>
        <v>1.96</v>
      </c>
      <c r="L26" s="149"/>
      <c r="M26" s="510"/>
      <c r="N26" s="511"/>
      <c r="O26" s="72"/>
      <c r="P26" s="66"/>
      <c r="Q26" s="145">
        <f t="shared" si="0"/>
        <v>0</v>
      </c>
      <c r="R26" s="147">
        <f>IF(A26="Y", Q26*2%,)</f>
        <v>0</v>
      </c>
      <c r="S26" s="152">
        <f>Q26-R26</f>
        <v>0</v>
      </c>
      <c r="T26" s="66"/>
      <c r="U26" s="145">
        <f t="shared" si="3"/>
        <v>0</v>
      </c>
      <c r="V26" s="147">
        <f t="shared" si="4"/>
        <v>0</v>
      </c>
      <c r="W26" s="152">
        <f>U26-V26</f>
        <v>0</v>
      </c>
      <c r="X26" s="295"/>
      <c r="Y26" s="145">
        <f t="shared" si="8"/>
        <v>0</v>
      </c>
      <c r="Z26" s="296"/>
      <c r="AA26" s="67"/>
      <c r="AB26" s="114"/>
      <c r="AC26" s="114"/>
      <c r="AD26" s="114"/>
      <c r="AE26" s="114"/>
      <c r="AF26" s="114"/>
    </row>
    <row r="27" spans="1:32" s="68" customFormat="1" ht="15.75" customHeight="1" x14ac:dyDescent="0.25">
      <c r="A27" s="63" t="s">
        <v>7</v>
      </c>
      <c r="B27" s="299">
        <v>1</v>
      </c>
      <c r="C27" s="533" t="s">
        <v>211</v>
      </c>
      <c r="D27" s="533"/>
      <c r="E27" s="701"/>
      <c r="F27" s="702"/>
      <c r="G27" s="278" t="s">
        <v>26</v>
      </c>
      <c r="H27" s="71"/>
      <c r="I27" s="140">
        <f t="shared" si="9"/>
        <v>4</v>
      </c>
      <c r="J27" s="147">
        <f t="shared" si="6"/>
        <v>0.08</v>
      </c>
      <c r="K27" s="152">
        <f t="shared" si="7"/>
        <v>3.92</v>
      </c>
      <c r="L27" s="149"/>
      <c r="M27" s="510"/>
      <c r="N27" s="511"/>
      <c r="O27" s="72"/>
      <c r="P27" s="66"/>
      <c r="Q27" s="145">
        <f t="shared" si="0"/>
        <v>0</v>
      </c>
      <c r="R27" s="147">
        <f t="shared" si="1"/>
        <v>0</v>
      </c>
      <c r="S27" s="152">
        <f t="shared" si="2"/>
        <v>0</v>
      </c>
      <c r="T27" s="66"/>
      <c r="U27" s="145">
        <f t="shared" si="3"/>
        <v>0</v>
      </c>
      <c r="V27" s="147">
        <f t="shared" si="4"/>
        <v>0</v>
      </c>
      <c r="W27" s="152">
        <f t="shared" ref="W27:W28" si="10">U27-V27</f>
        <v>0</v>
      </c>
      <c r="X27" s="295"/>
      <c r="Y27" s="145">
        <f t="shared" si="8"/>
        <v>0</v>
      </c>
      <c r="Z27" s="296"/>
      <c r="AA27" s="67"/>
      <c r="AB27" s="114"/>
      <c r="AC27" s="114"/>
      <c r="AD27" s="114"/>
      <c r="AE27" s="114"/>
      <c r="AF27" s="114"/>
    </row>
    <row r="28" spans="1:32" s="68" customFormat="1" ht="15.75" customHeight="1" x14ac:dyDescent="0.25">
      <c r="A28" s="63" t="s">
        <v>7</v>
      </c>
      <c r="B28" s="299">
        <v>2</v>
      </c>
      <c r="C28" s="510" t="s">
        <v>234</v>
      </c>
      <c r="D28" s="531"/>
      <c r="E28" s="531"/>
      <c r="F28" s="532"/>
      <c r="G28" s="278" t="s">
        <v>26</v>
      </c>
      <c r="H28" s="71" t="s">
        <v>29</v>
      </c>
      <c r="I28" s="140">
        <f t="shared" si="9"/>
        <v>8</v>
      </c>
      <c r="J28" s="147">
        <f t="shared" si="6"/>
        <v>0.16</v>
      </c>
      <c r="K28" s="152">
        <f t="shared" si="7"/>
        <v>7.84</v>
      </c>
      <c r="L28" s="149"/>
      <c r="M28" s="510"/>
      <c r="N28" s="511"/>
      <c r="O28" s="72"/>
      <c r="P28" s="66"/>
      <c r="Q28" s="145">
        <f t="shared" si="0"/>
        <v>0</v>
      </c>
      <c r="R28" s="147">
        <f t="shared" si="1"/>
        <v>0</v>
      </c>
      <c r="S28" s="152">
        <f t="shared" si="2"/>
        <v>0</v>
      </c>
      <c r="T28" s="66"/>
      <c r="U28" s="145">
        <f t="shared" si="3"/>
        <v>0</v>
      </c>
      <c r="V28" s="147">
        <f t="shared" si="4"/>
        <v>0</v>
      </c>
      <c r="W28" s="152">
        <f t="shared" si="10"/>
        <v>0</v>
      </c>
      <c r="X28" s="295"/>
      <c r="Y28" s="145">
        <f t="shared" si="8"/>
        <v>0</v>
      </c>
      <c r="Z28" s="296"/>
      <c r="AA28" s="67"/>
      <c r="AB28" s="114"/>
      <c r="AC28" s="114"/>
      <c r="AD28" s="114"/>
      <c r="AE28" s="114"/>
      <c r="AF28" s="114"/>
    </row>
    <row r="29" spans="1:32" s="68" customFormat="1" ht="15.75" customHeight="1" x14ac:dyDescent="0.25">
      <c r="A29" s="63" t="s">
        <v>7</v>
      </c>
      <c r="B29" s="164">
        <v>5</v>
      </c>
      <c r="C29" s="703" t="s">
        <v>294</v>
      </c>
      <c r="D29" s="704"/>
      <c r="E29" s="704"/>
      <c r="F29" s="705"/>
      <c r="G29" s="278" t="s">
        <v>25</v>
      </c>
      <c r="H29" s="71" t="s">
        <v>30</v>
      </c>
      <c r="I29" s="140">
        <f t="shared" si="9"/>
        <v>20</v>
      </c>
      <c r="J29" s="147">
        <f t="shared" si="6"/>
        <v>0.4</v>
      </c>
      <c r="K29" s="152">
        <f t="shared" si="7"/>
        <v>19.600000000000001</v>
      </c>
      <c r="L29" s="149"/>
      <c r="M29" s="510"/>
      <c r="N29" s="511"/>
      <c r="O29" s="72"/>
      <c r="P29" s="66"/>
      <c r="Q29" s="145">
        <f t="shared" si="0"/>
        <v>0</v>
      </c>
      <c r="R29" s="147">
        <f t="shared" si="1"/>
        <v>0</v>
      </c>
      <c r="S29" s="152">
        <f t="shared" si="2"/>
        <v>0</v>
      </c>
      <c r="T29" s="66"/>
      <c r="U29" s="145">
        <f t="shared" si="3"/>
        <v>0</v>
      </c>
      <c r="V29" s="147">
        <f t="shared" si="4"/>
        <v>0</v>
      </c>
      <c r="W29" s="152">
        <f t="shared" ref="W29:W30" si="11">U29-V29</f>
        <v>0</v>
      </c>
      <c r="X29" s="295"/>
      <c r="Y29" s="145">
        <f t="shared" si="8"/>
        <v>0</v>
      </c>
      <c r="Z29" s="300"/>
      <c r="AA29" s="67"/>
      <c r="AB29" s="114"/>
      <c r="AC29" s="114"/>
      <c r="AD29" s="114"/>
      <c r="AE29" s="114"/>
      <c r="AF29" s="114"/>
    </row>
    <row r="30" spans="1:32" s="68" customFormat="1" ht="15.75" customHeight="1" x14ac:dyDescent="0.25">
      <c r="A30" s="63" t="s">
        <v>6</v>
      </c>
      <c r="B30" s="69"/>
      <c r="C30" s="510" t="s">
        <v>177</v>
      </c>
      <c r="D30" s="531"/>
      <c r="E30" s="531"/>
      <c r="F30" s="532"/>
      <c r="G30" s="278" t="s">
        <v>25</v>
      </c>
      <c r="H30" s="71" t="s">
        <v>9</v>
      </c>
      <c r="I30" s="140">
        <f>$D$10*20%</f>
        <v>7</v>
      </c>
      <c r="J30" s="147">
        <f t="shared" si="6"/>
        <v>0</v>
      </c>
      <c r="K30" s="152">
        <f>I30-J30</f>
        <v>7</v>
      </c>
      <c r="L30" s="149"/>
      <c r="M30" s="510"/>
      <c r="N30" s="511"/>
      <c r="O30" s="72"/>
      <c r="P30" s="66"/>
      <c r="Q30" s="145">
        <f t="shared" si="0"/>
        <v>0</v>
      </c>
      <c r="R30" s="147">
        <f t="shared" si="1"/>
        <v>0</v>
      </c>
      <c r="S30" s="152">
        <f t="shared" si="2"/>
        <v>0</v>
      </c>
      <c r="T30" s="66"/>
      <c r="U30" s="145">
        <f t="shared" si="3"/>
        <v>0</v>
      </c>
      <c r="V30" s="147">
        <f t="shared" si="4"/>
        <v>0</v>
      </c>
      <c r="W30" s="152">
        <f t="shared" si="11"/>
        <v>0</v>
      </c>
      <c r="X30" s="295"/>
      <c r="Y30" s="145">
        <f t="shared" si="8"/>
        <v>0</v>
      </c>
      <c r="Z30" s="296"/>
      <c r="AA30" s="67"/>
      <c r="AB30" s="114"/>
      <c r="AC30" s="114"/>
      <c r="AD30" s="114"/>
      <c r="AE30" s="114"/>
      <c r="AF30" s="114"/>
    </row>
    <row r="31" spans="1:32" s="80" customFormat="1" ht="15.75" customHeight="1" x14ac:dyDescent="0.25">
      <c r="A31" s="63"/>
      <c r="B31" s="76"/>
      <c r="C31" s="534" t="s">
        <v>178</v>
      </c>
      <c r="D31" s="535"/>
      <c r="E31" s="535"/>
      <c r="F31" s="536"/>
      <c r="G31" s="301"/>
      <c r="H31" s="78"/>
      <c r="I31" s="142">
        <f>SUM(I16:I30)</f>
        <v>158</v>
      </c>
      <c r="J31" s="147"/>
      <c r="K31" s="153">
        <f>SUM(K16:K30)</f>
        <v>154.97999999999999</v>
      </c>
      <c r="L31" s="150"/>
      <c r="M31" s="510"/>
      <c r="N31" s="511"/>
      <c r="O31" s="166">
        <f>SUM(O16:O30)</f>
        <v>0</v>
      </c>
      <c r="P31" s="111"/>
      <c r="Q31" s="142">
        <f>IF($Q$38=0,,Q38-SUM(Q32:Q35))</f>
        <v>0</v>
      </c>
      <c r="R31" s="147"/>
      <c r="S31" s="153">
        <f>SUM(S16:S30)</f>
        <v>0</v>
      </c>
      <c r="T31" s="111"/>
      <c r="U31" s="142">
        <f>IF($U$38=0,,U38-SUM(U32:U35))</f>
        <v>0</v>
      </c>
      <c r="V31" s="147"/>
      <c r="W31" s="153">
        <f>SUM(W16:W30)</f>
        <v>0</v>
      </c>
      <c r="X31" s="302"/>
      <c r="Y31" s="145">
        <f t="shared" si="8"/>
        <v>0</v>
      </c>
      <c r="Z31" s="296"/>
      <c r="AA31" s="79"/>
      <c r="AB31" s="129"/>
      <c r="AC31" s="129"/>
      <c r="AD31" s="129"/>
      <c r="AE31" s="129"/>
      <c r="AF31" s="129"/>
    </row>
    <row r="32" spans="1:32" s="68" customFormat="1" ht="15" customHeight="1" x14ac:dyDescent="0.25">
      <c r="A32" s="63" t="s">
        <v>6</v>
      </c>
      <c r="B32" s="69"/>
      <c r="C32" s="510" t="s">
        <v>253</v>
      </c>
      <c r="D32" s="531"/>
      <c r="E32" s="531"/>
      <c r="F32" s="532"/>
      <c r="G32" s="278" t="s">
        <v>25</v>
      </c>
      <c r="H32" s="81"/>
      <c r="I32" s="177">
        <v>40</v>
      </c>
      <c r="J32" s="147">
        <f>IF(A32="Y", I32*2%,0)</f>
        <v>0</v>
      </c>
      <c r="K32" s="152">
        <f>I32-J32</f>
        <v>40</v>
      </c>
      <c r="L32" s="149"/>
      <c r="M32" s="279"/>
      <c r="N32" s="280"/>
      <c r="O32" s="72"/>
      <c r="P32" s="66"/>
      <c r="Q32" s="140">
        <f>IF($Q$38=0,,I32)</f>
        <v>0</v>
      </c>
      <c r="R32" s="147">
        <f t="shared" ref="R32:R35" si="12">IF(A32="Y", Q32*2%,)</f>
        <v>0</v>
      </c>
      <c r="S32" s="152">
        <f t="shared" ref="S32" si="13">Q32-R32</f>
        <v>0</v>
      </c>
      <c r="T32" s="66"/>
      <c r="U32" s="140">
        <f>IF($U$38=0,,I32*$U$15)</f>
        <v>0</v>
      </c>
      <c r="V32" s="147">
        <f>IF(A32="Y", U32*2%,)</f>
        <v>0</v>
      </c>
      <c r="W32" s="152">
        <f t="shared" ref="W32:W35" si="14">U32-V32</f>
        <v>0</v>
      </c>
      <c r="X32" s="295"/>
      <c r="Y32" s="145">
        <f t="shared" si="8"/>
        <v>0</v>
      </c>
      <c r="Z32" s="296"/>
      <c r="AA32" s="67"/>
      <c r="AB32" s="114"/>
      <c r="AC32" s="114"/>
      <c r="AD32" s="114"/>
      <c r="AE32" s="114"/>
      <c r="AF32" s="114"/>
    </row>
    <row r="33" spans="1:32" s="68" customFormat="1" ht="15.75" customHeight="1" x14ac:dyDescent="0.25">
      <c r="A33" s="63" t="s">
        <v>6</v>
      </c>
      <c r="B33" s="69"/>
      <c r="C33" s="537" t="s">
        <v>216</v>
      </c>
      <c r="D33" s="538"/>
      <c r="E33" s="538"/>
      <c r="F33" s="539"/>
      <c r="G33" s="213" t="s">
        <v>25</v>
      </c>
      <c r="H33" s="82" t="s">
        <v>158</v>
      </c>
      <c r="I33" s="177">
        <v>35</v>
      </c>
      <c r="J33" s="147">
        <f t="shared" ref="J33:J35" si="15">IF(A33="Y", I33*2%,0)</f>
        <v>0</v>
      </c>
      <c r="K33" s="152">
        <f t="shared" ref="K33:K35" si="16">I33-J33</f>
        <v>35</v>
      </c>
      <c r="L33" s="149"/>
      <c r="M33" s="510"/>
      <c r="N33" s="511"/>
      <c r="O33" s="72"/>
      <c r="P33" s="66"/>
      <c r="Q33" s="140">
        <f>IF($Q$38=0,,I33)</f>
        <v>0</v>
      </c>
      <c r="R33" s="147">
        <f t="shared" si="12"/>
        <v>0</v>
      </c>
      <c r="S33" s="152">
        <f t="shared" si="2"/>
        <v>0</v>
      </c>
      <c r="T33" s="66"/>
      <c r="U33" s="140">
        <f>IF($U$38=0,,I33*$U$15)</f>
        <v>0</v>
      </c>
      <c r="V33" s="147">
        <f>IF(A33="Y", U33*2%,)</f>
        <v>0</v>
      </c>
      <c r="W33" s="152">
        <f t="shared" si="14"/>
        <v>0</v>
      </c>
      <c r="X33" s="295"/>
      <c r="Y33" s="145">
        <f t="shared" si="8"/>
        <v>0</v>
      </c>
      <c r="Z33" s="296"/>
      <c r="AA33" s="67"/>
      <c r="AB33" s="114"/>
      <c r="AC33" s="114"/>
      <c r="AD33" s="114"/>
      <c r="AE33" s="114"/>
      <c r="AF33" s="114"/>
    </row>
    <row r="34" spans="1:32" s="68" customFormat="1" ht="15.75" customHeight="1" x14ac:dyDescent="0.25">
      <c r="A34" s="63" t="s">
        <v>6</v>
      </c>
      <c r="B34" s="83"/>
      <c r="C34" s="537" t="s">
        <v>189</v>
      </c>
      <c r="D34" s="538"/>
      <c r="E34" s="538"/>
      <c r="F34" s="539"/>
      <c r="G34" s="213" t="s">
        <v>187</v>
      </c>
      <c r="H34" s="82" t="s">
        <v>18</v>
      </c>
      <c r="I34" s="177">
        <v>0</v>
      </c>
      <c r="J34" s="147">
        <f t="shared" si="15"/>
        <v>0</v>
      </c>
      <c r="K34" s="152">
        <f t="shared" si="16"/>
        <v>0</v>
      </c>
      <c r="L34" s="149"/>
      <c r="M34" s="510"/>
      <c r="N34" s="511"/>
      <c r="O34" s="72"/>
      <c r="P34" s="66"/>
      <c r="Q34" s="140">
        <f>IF($Q$38=0,,I34)</f>
        <v>0</v>
      </c>
      <c r="R34" s="147">
        <f t="shared" si="12"/>
        <v>0</v>
      </c>
      <c r="S34" s="152">
        <f t="shared" si="2"/>
        <v>0</v>
      </c>
      <c r="T34" s="66"/>
      <c r="U34" s="140">
        <f>IF($U$38=0,,I34*$U$15)</f>
        <v>0</v>
      </c>
      <c r="V34" s="147">
        <f>IF(A34="Y", U34*2%,)</f>
        <v>0</v>
      </c>
      <c r="W34" s="152">
        <f t="shared" si="14"/>
        <v>0</v>
      </c>
      <c r="X34" s="295"/>
      <c r="Y34" s="145">
        <f t="shared" si="8"/>
        <v>0</v>
      </c>
      <c r="Z34" s="296"/>
      <c r="AA34" s="71"/>
      <c r="AB34" s="114"/>
      <c r="AC34" s="114"/>
      <c r="AD34" s="114"/>
      <c r="AE34" s="114"/>
      <c r="AF34" s="114"/>
    </row>
    <row r="35" spans="1:32" s="68" customFormat="1" ht="15.75" customHeight="1" x14ac:dyDescent="0.25">
      <c r="A35" s="63" t="s">
        <v>6</v>
      </c>
      <c r="B35" s="83"/>
      <c r="C35" s="537" t="s">
        <v>182</v>
      </c>
      <c r="D35" s="538"/>
      <c r="E35" s="538"/>
      <c r="F35" s="539"/>
      <c r="G35" s="213" t="s">
        <v>25</v>
      </c>
      <c r="H35" s="82" t="s">
        <v>66</v>
      </c>
      <c r="I35" s="177">
        <v>1</v>
      </c>
      <c r="J35" s="147">
        <f t="shared" si="15"/>
        <v>0</v>
      </c>
      <c r="K35" s="152">
        <f t="shared" si="16"/>
        <v>1</v>
      </c>
      <c r="L35" s="149"/>
      <c r="M35" s="510"/>
      <c r="N35" s="511"/>
      <c r="O35" s="72"/>
      <c r="P35" s="66"/>
      <c r="Q35" s="140">
        <f>IF($Q$38=0,,I35)</f>
        <v>0</v>
      </c>
      <c r="R35" s="147">
        <f t="shared" si="12"/>
        <v>0</v>
      </c>
      <c r="S35" s="152">
        <f t="shared" si="2"/>
        <v>0</v>
      </c>
      <c r="T35" s="66"/>
      <c r="U35" s="140">
        <f>IF($U$38=0,,I35*$U$15)</f>
        <v>0</v>
      </c>
      <c r="V35" s="147">
        <f>IF(A35="Y", U35*2%,)</f>
        <v>0</v>
      </c>
      <c r="W35" s="152">
        <f t="shared" si="14"/>
        <v>0</v>
      </c>
      <c r="X35" s="295"/>
      <c r="Y35" s="145">
        <f t="shared" si="8"/>
        <v>0</v>
      </c>
      <c r="Z35" s="296"/>
      <c r="AA35" s="71"/>
      <c r="AB35" s="114"/>
      <c r="AC35" s="114"/>
      <c r="AD35" s="114"/>
      <c r="AE35" s="114"/>
      <c r="AF35" s="114"/>
    </row>
    <row r="36" spans="1:32" s="68" customFormat="1" ht="31.5" customHeight="1" x14ac:dyDescent="0.25">
      <c r="A36" s="83" t="s">
        <v>6</v>
      </c>
      <c r="B36" s="83"/>
      <c r="C36" s="510" t="s">
        <v>265</v>
      </c>
      <c r="D36" s="531"/>
      <c r="E36" s="531"/>
      <c r="F36" s="532"/>
      <c r="G36" s="213" t="s">
        <v>25</v>
      </c>
      <c r="H36" s="85" t="s">
        <v>34</v>
      </c>
      <c r="I36" s="86"/>
      <c r="J36" s="148"/>
      <c r="K36" s="154">
        <f>J37</f>
        <v>3.0200000000000009</v>
      </c>
      <c r="L36" s="149"/>
      <c r="M36" s="510"/>
      <c r="N36" s="511"/>
      <c r="O36" s="72"/>
      <c r="P36" s="66"/>
      <c r="Q36" s="93"/>
      <c r="R36" s="148"/>
      <c r="S36" s="154">
        <f>R37</f>
        <v>0</v>
      </c>
      <c r="T36" s="66"/>
      <c r="U36" s="93"/>
      <c r="V36" s="148"/>
      <c r="W36" s="154">
        <f>V37</f>
        <v>0</v>
      </c>
      <c r="X36" s="303"/>
      <c r="Y36" s="145">
        <f t="shared" si="8"/>
        <v>0</v>
      </c>
      <c r="Z36" s="296"/>
      <c r="AA36" s="71"/>
      <c r="AB36" s="114"/>
      <c r="AC36" s="114"/>
      <c r="AD36" s="114"/>
      <c r="AE36" s="114"/>
      <c r="AF36" s="114"/>
    </row>
    <row r="37" spans="1:32" s="114" customFormat="1" ht="14.5" x14ac:dyDescent="0.25">
      <c r="A37" s="112"/>
      <c r="B37" s="112"/>
      <c r="C37" s="112"/>
      <c r="D37" s="112"/>
      <c r="E37" s="113"/>
      <c r="F37" s="113"/>
      <c r="J37" s="115">
        <f>SUM(J16:J36)</f>
        <v>3.0200000000000009</v>
      </c>
      <c r="K37" s="155"/>
      <c r="O37" s="116"/>
      <c r="P37" s="117"/>
      <c r="R37" s="115">
        <f>SUM(R16:R36)</f>
        <v>0</v>
      </c>
      <c r="S37" s="155"/>
      <c r="T37" s="117"/>
      <c r="V37" s="115">
        <f>SUM(V16:V36)</f>
        <v>0</v>
      </c>
      <c r="W37" s="155"/>
      <c r="X37" s="187"/>
      <c r="Y37" s="165"/>
      <c r="Z37" s="165"/>
      <c r="AA37" s="118"/>
    </row>
    <row r="38" spans="1:32" s="95" customFormat="1" ht="16" thickBot="1" x14ac:dyDescent="0.3">
      <c r="A38" s="130"/>
      <c r="B38" s="130"/>
      <c r="C38" s="130"/>
      <c r="D38" s="130"/>
      <c r="E38" s="119"/>
      <c r="F38" s="131" t="s">
        <v>67</v>
      </c>
      <c r="G38" s="132"/>
      <c r="H38" s="133" t="s">
        <v>1</v>
      </c>
      <c r="I38" s="134">
        <f>SUM(I31:I37)</f>
        <v>234</v>
      </c>
      <c r="J38" s="135"/>
      <c r="K38" s="156">
        <f>SUM(K31:K37)</f>
        <v>234</v>
      </c>
      <c r="L38" s="136"/>
      <c r="M38" s="130" t="s">
        <v>1</v>
      </c>
      <c r="N38" s="130"/>
      <c r="O38" s="137">
        <f>SUM(O31:O37)</f>
        <v>0</v>
      </c>
      <c r="P38" s="136"/>
      <c r="Q38" s="179"/>
      <c r="R38" s="135"/>
      <c r="S38" s="156">
        <f>SUM(S31:S37)</f>
        <v>0</v>
      </c>
      <c r="T38" s="136"/>
      <c r="U38" s="179"/>
      <c r="V38" s="135"/>
      <c r="W38" s="156">
        <f>SUM(W31:W37)</f>
        <v>0</v>
      </c>
      <c r="X38" s="304"/>
      <c r="Y38" s="175">
        <f>SUM(Y31:Y37)</f>
        <v>0</v>
      </c>
      <c r="Z38" s="305"/>
      <c r="AA38" s="138"/>
    </row>
    <row r="39" spans="1:32" s="95" customFormat="1" ht="16" thickTop="1" x14ac:dyDescent="0.25">
      <c r="A39" s="449"/>
      <c r="B39" s="449"/>
      <c r="C39" s="449"/>
      <c r="D39" s="449"/>
      <c r="E39" s="450"/>
      <c r="F39" s="451"/>
      <c r="G39" s="452"/>
      <c r="H39" s="453"/>
      <c r="I39" s="454"/>
      <c r="J39" s="454"/>
      <c r="K39" s="454"/>
      <c r="L39" s="455"/>
      <c r="M39" s="449"/>
      <c r="N39" s="449"/>
      <c r="O39" s="454"/>
      <c r="P39" s="455"/>
      <c r="Q39" s="455"/>
      <c r="R39" s="454"/>
      <c r="S39" s="454"/>
      <c r="T39" s="455"/>
      <c r="U39" s="455"/>
      <c r="V39" s="135"/>
      <c r="W39" s="135"/>
      <c r="X39" s="135"/>
      <c r="Y39" s="305"/>
      <c r="Z39" s="305"/>
      <c r="AA39" s="138"/>
    </row>
  </sheetData>
  <sheetProtection insertRows="0"/>
  <mergeCells count="106">
    <mergeCell ref="C35:F35"/>
    <mergeCell ref="M35:N35"/>
    <mergeCell ref="C36:F36"/>
    <mergeCell ref="M36:N36"/>
    <mergeCell ref="C31:F31"/>
    <mergeCell ref="M31:N31"/>
    <mergeCell ref="C32:F32"/>
    <mergeCell ref="C33:F33"/>
    <mergeCell ref="M33:N33"/>
    <mergeCell ref="C34:F34"/>
    <mergeCell ref="M34:N34"/>
    <mergeCell ref="C29:F29"/>
    <mergeCell ref="M29:N29"/>
    <mergeCell ref="C30:F30"/>
    <mergeCell ref="M30:N30"/>
    <mergeCell ref="M25:N25"/>
    <mergeCell ref="C26:D26"/>
    <mergeCell ref="M26:N26"/>
    <mergeCell ref="C27:D27"/>
    <mergeCell ref="M27:N27"/>
    <mergeCell ref="C28:F28"/>
    <mergeCell ref="M28:N28"/>
    <mergeCell ref="C21:F21"/>
    <mergeCell ref="M21:N21"/>
    <mergeCell ref="C22:F22"/>
    <mergeCell ref="M22:N22"/>
    <mergeCell ref="C23:D23"/>
    <mergeCell ref="E23:F27"/>
    <mergeCell ref="M23:N23"/>
    <mergeCell ref="C24:D24"/>
    <mergeCell ref="M24:N24"/>
    <mergeCell ref="C25:D25"/>
    <mergeCell ref="C18:F18"/>
    <mergeCell ref="M18:N18"/>
    <mergeCell ref="C19:F19"/>
    <mergeCell ref="M19:N19"/>
    <mergeCell ref="C20:F20"/>
    <mergeCell ref="M20:N20"/>
    <mergeCell ref="Z14:Z15"/>
    <mergeCell ref="AA14:AA15"/>
    <mergeCell ref="M15:N15"/>
    <mergeCell ref="B16:B17"/>
    <mergeCell ref="C16:F16"/>
    <mergeCell ref="M16:N16"/>
    <mergeCell ref="C17:F17"/>
    <mergeCell ref="M17:N17"/>
    <mergeCell ref="I13:K13"/>
    <mergeCell ref="M13:O13"/>
    <mergeCell ref="Q13:S13"/>
    <mergeCell ref="U13:W13"/>
    <mergeCell ref="C14:F15"/>
    <mergeCell ref="I14:I15"/>
    <mergeCell ref="J14:J15"/>
    <mergeCell ref="M14:N14"/>
    <mergeCell ref="R14:R15"/>
    <mergeCell ref="V14:V15"/>
    <mergeCell ref="A11:C11"/>
    <mergeCell ref="D11:E11"/>
    <mergeCell ref="F11:G11"/>
    <mergeCell ref="I11:L11"/>
    <mergeCell ref="M11:N11"/>
    <mergeCell ref="Q11:W11"/>
    <mergeCell ref="A10:C10"/>
    <mergeCell ref="D10:E10"/>
    <mergeCell ref="F10:G10"/>
    <mergeCell ref="I10:L10"/>
    <mergeCell ref="M10:N10"/>
    <mergeCell ref="Q10:W10"/>
    <mergeCell ref="Q8:W9"/>
    <mergeCell ref="A9:C9"/>
    <mergeCell ref="D9:E9"/>
    <mergeCell ref="F9:G9"/>
    <mergeCell ref="I9:L9"/>
    <mergeCell ref="M9:N9"/>
    <mergeCell ref="A7:C7"/>
    <mergeCell ref="D7:E7"/>
    <mergeCell ref="F7:G7"/>
    <mergeCell ref="I7:L7"/>
    <mergeCell ref="Q7:W7"/>
    <mergeCell ref="A8:C8"/>
    <mergeCell ref="D8:E8"/>
    <mergeCell ref="F8:G8"/>
    <mergeCell ref="I8:L8"/>
    <mergeCell ref="M8:N8"/>
    <mergeCell ref="A6:C6"/>
    <mergeCell ref="D6:E6"/>
    <mergeCell ref="F6:G6"/>
    <mergeCell ref="I6:L6"/>
    <mergeCell ref="M6:N6"/>
    <mergeCell ref="Q6:W6"/>
    <mergeCell ref="A5:C5"/>
    <mergeCell ref="D5:E5"/>
    <mergeCell ref="F5:G5"/>
    <mergeCell ref="I5:L5"/>
    <mergeCell ref="M5:N5"/>
    <mergeCell ref="Q5:W5"/>
    <mergeCell ref="A1:K1"/>
    <mergeCell ref="L1:U1"/>
    <mergeCell ref="M3:N3"/>
    <mergeCell ref="Q3:W3"/>
    <mergeCell ref="A4:C4"/>
    <mergeCell ref="D4:E4"/>
    <mergeCell ref="F4:G4"/>
    <mergeCell ref="I4:L4"/>
    <mergeCell ref="M4:N4"/>
    <mergeCell ref="Q4:W4"/>
  </mergeCells>
  <conditionalFormatting sqref="E23">
    <cfRule type="cellIs" dxfId="5" priority="1" operator="notEqual">
      <formula>"GC 76000 PA ($" &amp;O11 &amp;" for every 10) breakdown per local board of supervisor resolution (BOS)."</formula>
    </cfRule>
  </conditionalFormatting>
  <conditionalFormatting sqref="I16:K31 J32:K36">
    <cfRule type="cellIs" dxfId="4" priority="3" operator="equal">
      <formula>0</formula>
    </cfRule>
  </conditionalFormatting>
  <conditionalFormatting sqref="M16:O36">
    <cfRule type="expression" dxfId="3" priority="4">
      <formula>MOD(ROW(),2)=0</formula>
    </cfRule>
  </conditionalFormatting>
  <conditionalFormatting sqref="Q16:S36 U16:W36">
    <cfRule type="cellIs" dxfId="2" priority="6" stopIfTrue="1" operator="equal">
      <formula>0</formula>
    </cfRule>
  </conditionalFormatting>
  <conditionalFormatting sqref="U12:V12 Y13:Z13 U40:V65521">
    <cfRule type="cellIs" dxfId="1" priority="5" stopIfTrue="1" operator="notEqual">
      <formula>0</formula>
    </cfRule>
  </conditionalFormatting>
  <conditionalFormatting sqref="Z16:Z36">
    <cfRule type="cellIs" dxfId="0" priority="2" operator="greaterThan">
      <formula>0</formula>
    </cfRule>
  </conditionalFormatting>
  <dataValidations count="1">
    <dataValidation type="list" allowBlank="1" showInputMessage="1" showErrorMessage="1" sqref="Y15" xr:uid="{C4765050-5DF7-4085-B263-2B9810A41499}">
      <formula1>Distribution_Method</formula1>
    </dataValidation>
  </dataValidations>
  <printOptions horizontalCentered="1"/>
  <pageMargins left="0.25" right="0.25" top="0.75" bottom="0.5" header="0.25" footer="0.25"/>
  <pageSetup scale="66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J29:W30 J32:W32 J31:N31 P31:W3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C00000"/>
  </sheetPr>
  <dimension ref="A1:H19"/>
  <sheetViews>
    <sheetView workbookViewId="0">
      <selection activeCell="N29" sqref="N29:O29"/>
    </sheetView>
  </sheetViews>
  <sheetFormatPr defaultColWidth="9.1796875" defaultRowHeight="12.5" x14ac:dyDescent="0.25"/>
  <cols>
    <col min="1" max="1" width="27.54296875" style="3" customWidth="1"/>
    <col min="2" max="2" width="11.7265625" style="3" customWidth="1"/>
    <col min="3" max="3" width="14.7265625" style="3" customWidth="1"/>
    <col min="4" max="4" width="20.54296875" style="3" customWidth="1"/>
    <col min="5" max="5" width="45.81640625" style="3" customWidth="1"/>
    <col min="6" max="6" width="18.54296875" style="3" bestFit="1" customWidth="1"/>
    <col min="7" max="16384" width="9.1796875" style="3"/>
  </cols>
  <sheetData>
    <row r="1" spans="1:8" s="41" customFormat="1" ht="18" x14ac:dyDescent="0.25">
      <c r="A1" s="41" t="s">
        <v>159</v>
      </c>
    </row>
    <row r="2" spans="1:8" ht="13" thickBot="1" x14ac:dyDescent="0.3">
      <c r="A2" s="38" t="s">
        <v>152</v>
      </c>
    </row>
    <row r="3" spans="1:8" ht="15" customHeight="1" x14ac:dyDescent="0.25">
      <c r="A3" s="38"/>
      <c r="F3" s="487" t="s">
        <v>246</v>
      </c>
      <c r="G3" s="488"/>
      <c r="H3" s="489"/>
    </row>
    <row r="4" spans="1:8" s="2" customFormat="1" ht="26" x14ac:dyDescent="0.25">
      <c r="A4" s="40" t="s">
        <v>135</v>
      </c>
      <c r="B4" s="40" t="s">
        <v>8</v>
      </c>
      <c r="C4" s="40" t="s">
        <v>138</v>
      </c>
      <c r="D4" s="40" t="s">
        <v>139</v>
      </c>
      <c r="E4" s="210" t="s">
        <v>167</v>
      </c>
      <c r="F4" s="490"/>
      <c r="G4" s="491"/>
      <c r="H4" s="492"/>
    </row>
    <row r="5" spans="1:8" s="1" customFormat="1" ht="25" x14ac:dyDescent="0.25">
      <c r="A5" s="39" t="s">
        <v>134</v>
      </c>
      <c r="B5" s="39" t="s">
        <v>136</v>
      </c>
      <c r="C5" s="39" t="s">
        <v>247</v>
      </c>
      <c r="D5" s="39" t="s">
        <v>140</v>
      </c>
      <c r="E5" s="211" t="s">
        <v>142</v>
      </c>
      <c r="F5" s="490"/>
      <c r="G5" s="491"/>
      <c r="H5" s="492"/>
    </row>
    <row r="6" spans="1:8" s="1" customFormat="1" ht="25.5" thickBot="1" x14ac:dyDescent="0.3">
      <c r="A6" s="39" t="s">
        <v>143</v>
      </c>
      <c r="B6" s="39" t="s">
        <v>144</v>
      </c>
      <c r="C6" s="39" t="s">
        <v>145</v>
      </c>
      <c r="D6" s="39" t="s">
        <v>154</v>
      </c>
      <c r="E6" s="211" t="s">
        <v>168</v>
      </c>
      <c r="F6" s="493"/>
      <c r="G6" s="494"/>
      <c r="H6" s="495"/>
    </row>
    <row r="7" spans="1:8" s="1" customFormat="1" ht="25" x14ac:dyDescent="0.25">
      <c r="A7" s="39" t="s">
        <v>146</v>
      </c>
      <c r="B7" s="39" t="s">
        <v>52</v>
      </c>
      <c r="C7" s="39" t="s">
        <v>137</v>
      </c>
      <c r="D7" s="39" t="s">
        <v>147</v>
      </c>
      <c r="E7" s="39" t="s">
        <v>148</v>
      </c>
    </row>
    <row r="8" spans="1:8" s="1" customFormat="1" ht="25" x14ac:dyDescent="0.25">
      <c r="A8" s="39" t="s">
        <v>58</v>
      </c>
      <c r="B8" s="39" t="s">
        <v>59</v>
      </c>
      <c r="C8" s="39" t="s">
        <v>149</v>
      </c>
      <c r="D8" s="39" t="s">
        <v>150</v>
      </c>
      <c r="E8" s="39" t="s">
        <v>151</v>
      </c>
    </row>
    <row r="9" spans="1:8" s="1" customFormat="1" x14ac:dyDescent="0.25">
      <c r="A9" s="43"/>
      <c r="B9" s="43"/>
      <c r="C9" s="43"/>
      <c r="D9" s="43"/>
      <c r="E9" s="43"/>
    </row>
    <row r="10" spans="1:8" s="41" customFormat="1" ht="18" x14ac:dyDescent="0.25">
      <c r="A10" s="41" t="s">
        <v>161</v>
      </c>
    </row>
    <row r="11" spans="1:8" s="1" customFormat="1" x14ac:dyDescent="0.25">
      <c r="A11" s="43"/>
      <c r="B11" s="43"/>
      <c r="C11" s="43"/>
      <c r="D11" s="43"/>
      <c r="E11" s="43"/>
    </row>
    <row r="12" spans="1:8" s="1" customFormat="1" ht="26" x14ac:dyDescent="0.25">
      <c r="A12" s="40" t="s">
        <v>135</v>
      </c>
      <c r="B12" s="40" t="s">
        <v>8</v>
      </c>
      <c r="C12" s="40" t="s">
        <v>138</v>
      </c>
      <c r="D12" s="40" t="s">
        <v>139</v>
      </c>
      <c r="E12" s="40" t="s">
        <v>165</v>
      </c>
      <c r="F12" s="2"/>
    </row>
    <row r="13" spans="1:8" ht="62.5" x14ac:dyDescent="0.25">
      <c r="A13" s="42" t="s">
        <v>162</v>
      </c>
      <c r="B13" s="42" t="s">
        <v>65</v>
      </c>
      <c r="C13" s="45" t="s">
        <v>164</v>
      </c>
      <c r="D13" s="42" t="s">
        <v>163</v>
      </c>
      <c r="E13" s="45" t="s">
        <v>166</v>
      </c>
      <c r="F13" s="38"/>
    </row>
    <row r="14" spans="1:8" s="1" customFormat="1" x14ac:dyDescent="0.25">
      <c r="A14" s="43"/>
      <c r="B14" s="43"/>
      <c r="C14" s="43"/>
      <c r="D14" s="43"/>
      <c r="E14" s="43"/>
    </row>
    <row r="15" spans="1:8" s="41" customFormat="1" ht="18" x14ac:dyDescent="0.25">
      <c r="A15" s="41" t="s">
        <v>160</v>
      </c>
    </row>
    <row r="16" spans="1:8" s="1" customFormat="1" ht="13" x14ac:dyDescent="0.25">
      <c r="A16" s="44" t="s">
        <v>156</v>
      </c>
      <c r="B16" s="43"/>
      <c r="C16" s="43"/>
      <c r="D16" s="43"/>
      <c r="E16" s="43"/>
    </row>
    <row r="17" spans="1:6" s="1" customFormat="1" x14ac:dyDescent="0.25">
      <c r="A17" s="43"/>
      <c r="B17" s="43"/>
      <c r="C17" s="43"/>
      <c r="D17" s="43"/>
      <c r="E17" s="43"/>
    </row>
    <row r="18" spans="1:6" s="1" customFormat="1" ht="26" x14ac:dyDescent="0.25">
      <c r="A18" s="40" t="s">
        <v>135</v>
      </c>
      <c r="B18" s="40" t="s">
        <v>8</v>
      </c>
      <c r="C18" s="40" t="s">
        <v>138</v>
      </c>
      <c r="D18" s="40" t="s">
        <v>139</v>
      </c>
      <c r="E18" s="40" t="s">
        <v>141</v>
      </c>
      <c r="F18" s="40" t="s">
        <v>157</v>
      </c>
    </row>
    <row r="19" spans="1:6" ht="50" x14ac:dyDescent="0.25">
      <c r="A19" s="42" t="s">
        <v>31</v>
      </c>
      <c r="B19" s="42" t="s">
        <v>61</v>
      </c>
      <c r="C19" s="42" t="s">
        <v>248</v>
      </c>
      <c r="D19" s="42" t="s">
        <v>155</v>
      </c>
      <c r="E19" s="42" t="s">
        <v>153</v>
      </c>
      <c r="F19" s="39" t="s">
        <v>245</v>
      </c>
    </row>
  </sheetData>
  <mergeCells count="1">
    <mergeCell ref="F3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7"/>
  <sheetViews>
    <sheetView workbookViewId="0">
      <selection activeCell="D8" sqref="D8"/>
    </sheetView>
  </sheetViews>
  <sheetFormatPr defaultRowHeight="12.5" x14ac:dyDescent="0.25"/>
  <cols>
    <col min="1" max="1" width="51.7265625" bestFit="1" customWidth="1"/>
    <col min="2" max="2" width="18.54296875" bestFit="1" customWidth="1"/>
    <col min="5" max="5" width="15.54296875" bestFit="1" customWidth="1"/>
  </cols>
  <sheetData>
    <row r="1" spans="1:2" s="219" customFormat="1" ht="18" thickBot="1" x14ac:dyDescent="0.4">
      <c r="A1" s="220" t="s">
        <v>286</v>
      </c>
      <c r="B1" s="224" t="s">
        <v>73</v>
      </c>
    </row>
    <row r="3" spans="1:2" ht="17.5" x14ac:dyDescent="0.35">
      <c r="A3" s="496" t="s">
        <v>288</v>
      </c>
      <c r="B3" s="496"/>
    </row>
    <row r="4" spans="1:2" ht="13" thickBot="1" x14ac:dyDescent="0.3"/>
    <row r="5" spans="1:2" s="218" customFormat="1" ht="31" x14ac:dyDescent="0.35">
      <c r="A5" s="221" t="s">
        <v>289</v>
      </c>
      <c r="B5" s="225" t="s">
        <v>257</v>
      </c>
    </row>
    <row r="6" spans="1:2" s="218" customFormat="1" ht="31.5" thickBot="1" x14ac:dyDescent="0.4">
      <c r="A6" s="222" t="s">
        <v>290</v>
      </c>
      <c r="B6" s="226" t="s">
        <v>257</v>
      </c>
    </row>
    <row r="7" spans="1:2" ht="13" thickBot="1" x14ac:dyDescent="0.3"/>
    <row r="8" spans="1:2" s="17" customFormat="1" ht="16" thickBot="1" x14ac:dyDescent="0.4">
      <c r="A8" s="223" t="str">
        <f>"GC 76000 Local Penalties for " &amp;B1&amp; " County"</f>
        <v>GC 76000 Local Penalties for Alameda County</v>
      </c>
      <c r="B8" s="227">
        <f>IF(AND(B5="Yes", B6="Yes"), VLOOKUP(B1,A12:B69,2), 7)</f>
        <v>5</v>
      </c>
    </row>
    <row r="9" spans="1:2" s="17" customFormat="1" ht="15.5" x14ac:dyDescent="0.35">
      <c r="A9" s="235"/>
      <c r="B9" s="236"/>
    </row>
    <row r="10" spans="1:2" ht="13" thickBot="1" x14ac:dyDescent="0.3"/>
    <row r="11" spans="1:2" x14ac:dyDescent="0.25">
      <c r="A11" s="232" t="s">
        <v>284</v>
      </c>
      <c r="B11" s="229" t="s">
        <v>291</v>
      </c>
    </row>
    <row r="12" spans="1:2" x14ac:dyDescent="0.25">
      <c r="A12" s="230" t="s">
        <v>73</v>
      </c>
      <c r="B12" s="233">
        <v>5</v>
      </c>
    </row>
    <row r="13" spans="1:2" x14ac:dyDescent="0.25">
      <c r="A13" s="230" t="s">
        <v>74</v>
      </c>
      <c r="B13" s="233">
        <v>5</v>
      </c>
    </row>
    <row r="14" spans="1:2" x14ac:dyDescent="0.25">
      <c r="A14" s="230" t="s">
        <v>75</v>
      </c>
      <c r="B14" s="233">
        <v>5</v>
      </c>
    </row>
    <row r="15" spans="1:2" x14ac:dyDescent="0.25">
      <c r="A15" s="230" t="s">
        <v>76</v>
      </c>
      <c r="B15" s="233">
        <v>7</v>
      </c>
    </row>
    <row r="16" spans="1:2" x14ac:dyDescent="0.25">
      <c r="A16" s="230" t="s">
        <v>283</v>
      </c>
      <c r="B16" s="233">
        <v>3</v>
      </c>
    </row>
    <row r="17" spans="1:2" x14ac:dyDescent="0.25">
      <c r="A17" s="230" t="s">
        <v>78</v>
      </c>
      <c r="B17" s="233">
        <v>6</v>
      </c>
    </row>
    <row r="18" spans="1:2" x14ac:dyDescent="0.25">
      <c r="A18" s="230" t="s">
        <v>79</v>
      </c>
      <c r="B18" s="233">
        <v>5</v>
      </c>
    </row>
    <row r="19" spans="1:2" x14ac:dyDescent="0.25">
      <c r="A19" s="230" t="s">
        <v>80</v>
      </c>
      <c r="B19" s="233">
        <v>7</v>
      </c>
    </row>
    <row r="20" spans="1:2" x14ac:dyDescent="0.25">
      <c r="A20" s="230" t="s">
        <v>81</v>
      </c>
      <c r="B20" s="233">
        <v>5</v>
      </c>
    </row>
    <row r="21" spans="1:2" x14ac:dyDescent="0.25">
      <c r="A21" s="230" t="s">
        <v>82</v>
      </c>
      <c r="B21" s="233">
        <v>7</v>
      </c>
    </row>
    <row r="22" spans="1:2" x14ac:dyDescent="0.25">
      <c r="A22" s="230" t="s">
        <v>83</v>
      </c>
      <c r="B22" s="233">
        <v>4</v>
      </c>
    </row>
    <row r="23" spans="1:2" x14ac:dyDescent="0.25">
      <c r="A23" s="230" t="s">
        <v>84</v>
      </c>
      <c r="B23" s="233">
        <v>5</v>
      </c>
    </row>
    <row r="24" spans="1:2" x14ac:dyDescent="0.25">
      <c r="A24" s="230" t="s">
        <v>85</v>
      </c>
      <c r="B24" s="233">
        <v>6</v>
      </c>
    </row>
    <row r="25" spans="1:2" x14ac:dyDescent="0.25">
      <c r="A25" s="230" t="s">
        <v>86</v>
      </c>
      <c r="B25" s="233">
        <v>4</v>
      </c>
    </row>
    <row r="26" spans="1:2" x14ac:dyDescent="0.25">
      <c r="A26" s="230" t="s">
        <v>87</v>
      </c>
      <c r="B26" s="233">
        <v>7</v>
      </c>
    </row>
    <row r="27" spans="1:2" x14ac:dyDescent="0.25">
      <c r="A27" s="230" t="s">
        <v>88</v>
      </c>
      <c r="B27" s="233">
        <v>7</v>
      </c>
    </row>
    <row r="28" spans="1:2" x14ac:dyDescent="0.25">
      <c r="A28" s="230" t="s">
        <v>89</v>
      </c>
      <c r="B28" s="233">
        <v>7</v>
      </c>
    </row>
    <row r="29" spans="1:2" x14ac:dyDescent="0.25">
      <c r="A29" s="230" t="s">
        <v>90</v>
      </c>
      <c r="B29" s="233">
        <v>2</v>
      </c>
    </row>
    <row r="30" spans="1:2" x14ac:dyDescent="0.25">
      <c r="A30" s="230" t="s">
        <v>91</v>
      </c>
      <c r="B30" s="233">
        <v>5</v>
      </c>
    </row>
    <row r="31" spans="1:2" x14ac:dyDescent="0.25">
      <c r="A31" s="230" t="s">
        <v>92</v>
      </c>
      <c r="B31" s="233">
        <v>7</v>
      </c>
    </row>
    <row r="32" spans="1:2" x14ac:dyDescent="0.25">
      <c r="A32" s="230" t="s">
        <v>93</v>
      </c>
      <c r="B32" s="233">
        <v>5</v>
      </c>
    </row>
    <row r="33" spans="1:2" x14ac:dyDescent="0.25">
      <c r="A33" s="230" t="s">
        <v>94</v>
      </c>
      <c r="B33" s="233">
        <v>2.5</v>
      </c>
    </row>
    <row r="34" spans="1:2" x14ac:dyDescent="0.25">
      <c r="A34" s="230" t="s">
        <v>95</v>
      </c>
      <c r="B34" s="233">
        <v>7</v>
      </c>
    </row>
    <row r="35" spans="1:2" x14ac:dyDescent="0.25">
      <c r="A35" s="230" t="s">
        <v>96</v>
      </c>
      <c r="B35" s="233">
        <v>4.75</v>
      </c>
    </row>
    <row r="36" spans="1:2" x14ac:dyDescent="0.25">
      <c r="A36" s="230" t="s">
        <v>97</v>
      </c>
      <c r="B36" s="233">
        <v>3.5</v>
      </c>
    </row>
    <row r="37" spans="1:2" x14ac:dyDescent="0.25">
      <c r="A37" s="230" t="s">
        <v>98</v>
      </c>
      <c r="B37" s="233">
        <v>4</v>
      </c>
    </row>
    <row r="38" spans="1:2" x14ac:dyDescent="0.25">
      <c r="A38" s="230" t="s">
        <v>99</v>
      </c>
      <c r="B38" s="233">
        <v>5</v>
      </c>
    </row>
    <row r="39" spans="1:2" x14ac:dyDescent="0.25">
      <c r="A39" s="230" t="s">
        <v>100</v>
      </c>
      <c r="B39" s="233">
        <v>3</v>
      </c>
    </row>
    <row r="40" spans="1:2" x14ac:dyDescent="0.25">
      <c r="A40" s="230" t="s">
        <v>101</v>
      </c>
      <c r="B40" s="233">
        <v>4.75</v>
      </c>
    </row>
    <row r="41" spans="1:2" x14ac:dyDescent="0.25">
      <c r="A41" s="230" t="s">
        <v>102</v>
      </c>
      <c r="B41" s="233">
        <v>5.29</v>
      </c>
    </row>
    <row r="42" spans="1:2" x14ac:dyDescent="0.25">
      <c r="A42" s="230" t="s">
        <v>104</v>
      </c>
      <c r="B42" s="233">
        <v>4.75</v>
      </c>
    </row>
    <row r="43" spans="1:2" x14ac:dyDescent="0.25">
      <c r="A43" s="230" t="s">
        <v>103</v>
      </c>
      <c r="B43" s="233">
        <v>7</v>
      </c>
    </row>
    <row r="44" spans="1:2" x14ac:dyDescent="0.25">
      <c r="A44" s="230" t="s">
        <v>105</v>
      </c>
      <c r="B44" s="233">
        <v>4.5999999999999996</v>
      </c>
    </row>
    <row r="45" spans="1:2" x14ac:dyDescent="0.25">
      <c r="A45" s="230" t="s">
        <v>106</v>
      </c>
      <c r="B45" s="233">
        <v>5</v>
      </c>
    </row>
    <row r="46" spans="1:2" x14ac:dyDescent="0.25">
      <c r="A46" s="230" t="s">
        <v>107</v>
      </c>
      <c r="B46" s="233">
        <v>5</v>
      </c>
    </row>
    <row r="47" spans="1:2" x14ac:dyDescent="0.25">
      <c r="A47" s="230" t="s">
        <v>108</v>
      </c>
      <c r="B47" s="233">
        <v>5</v>
      </c>
    </row>
    <row r="48" spans="1:2" x14ac:dyDescent="0.25">
      <c r="A48" s="230" t="s">
        <v>109</v>
      </c>
      <c r="B48" s="233">
        <v>7</v>
      </c>
    </row>
    <row r="49" spans="1:2" x14ac:dyDescent="0.25">
      <c r="A49" s="230" t="s">
        <v>110</v>
      </c>
      <c r="B49" s="233">
        <v>6.99</v>
      </c>
    </row>
    <row r="50" spans="1:2" x14ac:dyDescent="0.25">
      <c r="A50" s="230" t="s">
        <v>111</v>
      </c>
      <c r="B50" s="233">
        <v>3.75</v>
      </c>
    </row>
    <row r="51" spans="1:2" x14ac:dyDescent="0.25">
      <c r="A51" s="230" t="s">
        <v>112</v>
      </c>
      <c r="B51" s="233">
        <v>5</v>
      </c>
    </row>
    <row r="52" spans="1:2" x14ac:dyDescent="0.25">
      <c r="A52" s="230" t="s">
        <v>113</v>
      </c>
      <c r="B52" s="233">
        <v>4.75</v>
      </c>
    </row>
    <row r="53" spans="1:2" x14ac:dyDescent="0.25">
      <c r="A53" s="230" t="s">
        <v>114</v>
      </c>
      <c r="B53" s="233">
        <v>3.5</v>
      </c>
    </row>
    <row r="54" spans="1:2" x14ac:dyDescent="0.25">
      <c r="A54" s="230" t="s">
        <v>115</v>
      </c>
      <c r="B54" s="233">
        <v>5.5</v>
      </c>
    </row>
    <row r="55" spans="1:2" x14ac:dyDescent="0.25">
      <c r="A55" s="230" t="s">
        <v>116</v>
      </c>
      <c r="B55" s="233">
        <v>7</v>
      </c>
    </row>
    <row r="56" spans="1:2" x14ac:dyDescent="0.25">
      <c r="A56" s="230" t="s">
        <v>117</v>
      </c>
      <c r="B56" s="233">
        <v>3.5</v>
      </c>
    </row>
    <row r="57" spans="1:2" x14ac:dyDescent="0.25">
      <c r="A57" s="230" t="s">
        <v>118</v>
      </c>
      <c r="B57" s="233">
        <v>7</v>
      </c>
    </row>
    <row r="58" spans="1:2" x14ac:dyDescent="0.25">
      <c r="A58" s="230" t="s">
        <v>119</v>
      </c>
      <c r="B58" s="233">
        <v>5</v>
      </c>
    </row>
    <row r="59" spans="1:2" x14ac:dyDescent="0.25">
      <c r="A59" s="230" t="s">
        <v>120</v>
      </c>
      <c r="B59" s="233">
        <v>5</v>
      </c>
    </row>
    <row r="60" spans="1:2" x14ac:dyDescent="0.25">
      <c r="A60" s="230" t="s">
        <v>121</v>
      </c>
      <c r="B60" s="233">
        <v>5</v>
      </c>
    </row>
    <row r="61" spans="1:2" x14ac:dyDescent="0.25">
      <c r="A61" s="230" t="s">
        <v>122</v>
      </c>
      <c r="B61" s="233">
        <v>5</v>
      </c>
    </row>
    <row r="62" spans="1:2" x14ac:dyDescent="0.25">
      <c r="A62" s="230" t="s">
        <v>123</v>
      </c>
      <c r="B62" s="233">
        <v>6</v>
      </c>
    </row>
    <row r="63" spans="1:2" x14ac:dyDescent="0.25">
      <c r="A63" s="230" t="s">
        <v>124</v>
      </c>
      <c r="B63" s="233">
        <v>7</v>
      </c>
    </row>
    <row r="64" spans="1:2" x14ac:dyDescent="0.25">
      <c r="A64" s="230" t="s">
        <v>125</v>
      </c>
      <c r="B64" s="233">
        <v>4.5</v>
      </c>
    </row>
    <row r="65" spans="1:2" x14ac:dyDescent="0.25">
      <c r="A65" s="230" t="s">
        <v>126</v>
      </c>
      <c r="B65" s="233">
        <v>5</v>
      </c>
    </row>
    <row r="66" spans="1:2" x14ac:dyDescent="0.25">
      <c r="A66" s="230" t="s">
        <v>127</v>
      </c>
      <c r="B66" s="233">
        <v>7</v>
      </c>
    </row>
    <row r="67" spans="1:2" x14ac:dyDescent="0.25">
      <c r="A67" s="230" t="s">
        <v>128</v>
      </c>
      <c r="B67" s="233">
        <v>5</v>
      </c>
    </row>
    <row r="68" spans="1:2" x14ac:dyDescent="0.25">
      <c r="A68" s="230" t="s">
        <v>129</v>
      </c>
      <c r="B68" s="233">
        <v>7</v>
      </c>
    </row>
    <row r="69" spans="1:2" ht="13" thickBot="1" x14ac:dyDescent="0.3">
      <c r="A69" s="231" t="s">
        <v>130</v>
      </c>
      <c r="B69" s="234">
        <v>3</v>
      </c>
    </row>
    <row r="75" spans="1:2" x14ac:dyDescent="0.25">
      <c r="A75" s="228" t="s">
        <v>285</v>
      </c>
    </row>
    <row r="76" spans="1:2" x14ac:dyDescent="0.25">
      <c r="A76" s="228" t="s">
        <v>257</v>
      </c>
    </row>
    <row r="77" spans="1:2" x14ac:dyDescent="0.25">
      <c r="A77" s="228" t="s">
        <v>258</v>
      </c>
    </row>
  </sheetData>
  <mergeCells count="1">
    <mergeCell ref="A3:B3"/>
  </mergeCells>
  <dataValidations count="2">
    <dataValidation type="list" allowBlank="1" showInputMessage="1" showErrorMessage="1" sqref="B5:B6" xr:uid="{00000000-0002-0000-0A00-000000000000}">
      <formula1>$A$76:$A$77</formula1>
    </dataValidation>
    <dataValidation type="list" allowBlank="1" showInputMessage="1" showErrorMessage="1" sqref="B1" xr:uid="{00000000-0002-0000-0A00-000001000000}">
      <formula1>Counties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/>
  <dimension ref="A1:D59"/>
  <sheetViews>
    <sheetView workbookViewId="0">
      <selection activeCell="D2" sqref="D2"/>
    </sheetView>
  </sheetViews>
  <sheetFormatPr defaultRowHeight="14.5" x14ac:dyDescent="0.35"/>
  <cols>
    <col min="4" max="4" width="38" style="37" bestFit="1" customWidth="1"/>
  </cols>
  <sheetData>
    <row r="1" spans="1:4" ht="15" thickBot="1" x14ac:dyDescent="0.4">
      <c r="D1" s="37" t="s">
        <v>133</v>
      </c>
    </row>
    <row r="2" spans="1:4" x14ac:dyDescent="0.35">
      <c r="A2" s="34" t="s">
        <v>73</v>
      </c>
      <c r="B2" s="36" t="s">
        <v>131</v>
      </c>
      <c r="C2" s="36" t="s">
        <v>132</v>
      </c>
      <c r="D2" s="37" t="str">
        <f>CONCATENATE($B$2,A2,$C$2)</f>
        <v>Superior Court of Alameda County</v>
      </c>
    </row>
    <row r="3" spans="1:4" x14ac:dyDescent="0.35">
      <c r="A3" s="35" t="s">
        <v>74</v>
      </c>
      <c r="D3" s="37" t="str">
        <f t="shared" ref="D3:D59" si="0">CONCATENATE($B$2,A3,$C$2)</f>
        <v>Superior Court of Alpine County</v>
      </c>
    </row>
    <row r="4" spans="1:4" x14ac:dyDescent="0.35">
      <c r="A4" s="35" t="s">
        <v>75</v>
      </c>
      <c r="D4" s="37" t="str">
        <f t="shared" si="0"/>
        <v>Superior Court of Amador County</v>
      </c>
    </row>
    <row r="5" spans="1:4" x14ac:dyDescent="0.35">
      <c r="A5" s="35" t="s">
        <v>76</v>
      </c>
      <c r="D5" s="37" t="str">
        <f t="shared" si="0"/>
        <v>Superior Court of Butte County</v>
      </c>
    </row>
    <row r="6" spans="1:4" x14ac:dyDescent="0.35">
      <c r="A6" s="35" t="s">
        <v>77</v>
      </c>
      <c r="D6" s="37" t="str">
        <f t="shared" si="0"/>
        <v>Superior Court of Claveras County</v>
      </c>
    </row>
    <row r="7" spans="1:4" x14ac:dyDescent="0.35">
      <c r="A7" s="35" t="s">
        <v>78</v>
      </c>
      <c r="D7" s="37" t="str">
        <f t="shared" si="0"/>
        <v>Superior Court of Colusa County</v>
      </c>
    </row>
    <row r="8" spans="1:4" x14ac:dyDescent="0.35">
      <c r="A8" s="35" t="s">
        <v>79</v>
      </c>
      <c r="D8" s="37" t="str">
        <f t="shared" si="0"/>
        <v>Superior Court of Contra Costa County</v>
      </c>
    </row>
    <row r="9" spans="1:4" x14ac:dyDescent="0.35">
      <c r="A9" s="35" t="s">
        <v>80</v>
      </c>
      <c r="D9" s="37" t="str">
        <f t="shared" si="0"/>
        <v>Superior Court of Del Norte County</v>
      </c>
    </row>
    <row r="10" spans="1:4" x14ac:dyDescent="0.35">
      <c r="A10" s="35" t="s">
        <v>81</v>
      </c>
      <c r="D10" s="37" t="str">
        <f t="shared" si="0"/>
        <v>Superior Court of El Dorado County</v>
      </c>
    </row>
    <row r="11" spans="1:4" x14ac:dyDescent="0.35">
      <c r="A11" s="35" t="s">
        <v>82</v>
      </c>
      <c r="D11" s="37" t="str">
        <f t="shared" si="0"/>
        <v>Superior Court of Fresno County</v>
      </c>
    </row>
    <row r="12" spans="1:4" x14ac:dyDescent="0.35">
      <c r="A12" s="35" t="s">
        <v>83</v>
      </c>
      <c r="D12" s="37" t="str">
        <f t="shared" si="0"/>
        <v>Superior Court of Glenn County</v>
      </c>
    </row>
    <row r="13" spans="1:4" x14ac:dyDescent="0.35">
      <c r="A13" s="35" t="s">
        <v>84</v>
      </c>
      <c r="D13" s="37" t="str">
        <f t="shared" si="0"/>
        <v>Superior Court of Humboldt County</v>
      </c>
    </row>
    <row r="14" spans="1:4" x14ac:dyDescent="0.35">
      <c r="A14" s="35" t="s">
        <v>85</v>
      </c>
      <c r="D14" s="37" t="str">
        <f t="shared" si="0"/>
        <v>Superior Court of Imperial County</v>
      </c>
    </row>
    <row r="15" spans="1:4" x14ac:dyDescent="0.35">
      <c r="A15" s="35" t="s">
        <v>86</v>
      </c>
      <c r="D15" s="37" t="str">
        <f t="shared" si="0"/>
        <v>Superior Court of Inyo County</v>
      </c>
    </row>
    <row r="16" spans="1:4" x14ac:dyDescent="0.35">
      <c r="A16" s="35" t="s">
        <v>87</v>
      </c>
      <c r="D16" s="37" t="str">
        <f t="shared" si="0"/>
        <v>Superior Court of Kern County</v>
      </c>
    </row>
    <row r="17" spans="1:4" x14ac:dyDescent="0.35">
      <c r="A17" s="35" t="s">
        <v>88</v>
      </c>
      <c r="D17" s="37" t="str">
        <f t="shared" si="0"/>
        <v>Superior Court of Kings County</v>
      </c>
    </row>
    <row r="18" spans="1:4" x14ac:dyDescent="0.35">
      <c r="A18" s="35" t="s">
        <v>89</v>
      </c>
      <c r="D18" s="37" t="str">
        <f t="shared" si="0"/>
        <v>Superior Court of Lake County</v>
      </c>
    </row>
    <row r="19" spans="1:4" x14ac:dyDescent="0.35">
      <c r="A19" s="35" t="s">
        <v>90</v>
      </c>
      <c r="D19" s="37" t="str">
        <f t="shared" si="0"/>
        <v>Superior Court of Lassen County</v>
      </c>
    </row>
    <row r="20" spans="1:4" x14ac:dyDescent="0.35">
      <c r="A20" s="35" t="s">
        <v>91</v>
      </c>
      <c r="D20" s="37" t="str">
        <f t="shared" si="0"/>
        <v>Superior Court of Los Angeles County</v>
      </c>
    </row>
    <row r="21" spans="1:4" x14ac:dyDescent="0.35">
      <c r="A21" s="35" t="s">
        <v>92</v>
      </c>
      <c r="D21" s="37" t="str">
        <f t="shared" si="0"/>
        <v>Superior Court of Madera County</v>
      </c>
    </row>
    <row r="22" spans="1:4" x14ac:dyDescent="0.35">
      <c r="A22" s="35" t="s">
        <v>93</v>
      </c>
      <c r="D22" s="37" t="str">
        <f t="shared" si="0"/>
        <v>Superior Court of Marin County</v>
      </c>
    </row>
    <row r="23" spans="1:4" x14ac:dyDescent="0.35">
      <c r="A23" s="35" t="s">
        <v>94</v>
      </c>
      <c r="D23" s="37" t="str">
        <f t="shared" si="0"/>
        <v>Superior Court of Mariposa County</v>
      </c>
    </row>
    <row r="24" spans="1:4" x14ac:dyDescent="0.35">
      <c r="A24" s="35" t="s">
        <v>95</v>
      </c>
      <c r="D24" s="37" t="str">
        <f t="shared" si="0"/>
        <v>Superior Court of Mendocino County</v>
      </c>
    </row>
    <row r="25" spans="1:4" x14ac:dyDescent="0.35">
      <c r="A25" s="35" t="s">
        <v>96</v>
      </c>
      <c r="D25" s="37" t="str">
        <f t="shared" si="0"/>
        <v>Superior Court of Merced County</v>
      </c>
    </row>
    <row r="26" spans="1:4" x14ac:dyDescent="0.35">
      <c r="A26" s="35" t="s">
        <v>97</v>
      </c>
      <c r="D26" s="37" t="str">
        <f t="shared" si="0"/>
        <v>Superior Court of Modoc County</v>
      </c>
    </row>
    <row r="27" spans="1:4" x14ac:dyDescent="0.35">
      <c r="A27" s="35" t="s">
        <v>98</v>
      </c>
      <c r="D27" s="37" t="str">
        <f t="shared" si="0"/>
        <v>Superior Court of Mono County</v>
      </c>
    </row>
    <row r="28" spans="1:4" x14ac:dyDescent="0.35">
      <c r="A28" s="35" t="s">
        <v>99</v>
      </c>
      <c r="D28" s="37" t="str">
        <f t="shared" si="0"/>
        <v>Superior Court of Monterey County</v>
      </c>
    </row>
    <row r="29" spans="1:4" x14ac:dyDescent="0.35">
      <c r="A29" s="35" t="s">
        <v>100</v>
      </c>
      <c r="D29" s="37" t="str">
        <f t="shared" si="0"/>
        <v>Superior Court of Napa County</v>
      </c>
    </row>
    <row r="30" spans="1:4" x14ac:dyDescent="0.35">
      <c r="A30" s="35" t="s">
        <v>101</v>
      </c>
      <c r="D30" s="37" t="str">
        <f t="shared" si="0"/>
        <v>Superior Court of Nevada County</v>
      </c>
    </row>
    <row r="31" spans="1:4" x14ac:dyDescent="0.35">
      <c r="A31" s="35" t="s">
        <v>102</v>
      </c>
      <c r="D31" s="37" t="str">
        <f t="shared" si="0"/>
        <v>Superior Court of Orange County</v>
      </c>
    </row>
    <row r="32" spans="1:4" x14ac:dyDescent="0.35">
      <c r="A32" s="35" t="s">
        <v>103</v>
      </c>
      <c r="D32" s="37" t="str">
        <f t="shared" si="0"/>
        <v>Superior Court of Plumas County</v>
      </c>
    </row>
    <row r="33" spans="1:4" x14ac:dyDescent="0.35">
      <c r="A33" s="35" t="s">
        <v>104</v>
      </c>
      <c r="D33" s="37" t="str">
        <f t="shared" si="0"/>
        <v>Superior Court of Placer County</v>
      </c>
    </row>
    <row r="34" spans="1:4" x14ac:dyDescent="0.35">
      <c r="A34" s="35" t="s">
        <v>105</v>
      </c>
      <c r="D34" s="37" t="str">
        <f t="shared" si="0"/>
        <v>Superior Court of Riverside County</v>
      </c>
    </row>
    <row r="35" spans="1:4" x14ac:dyDescent="0.35">
      <c r="A35" s="35" t="s">
        <v>106</v>
      </c>
      <c r="D35" s="37" t="str">
        <f t="shared" si="0"/>
        <v>Superior Court of Sacramento County</v>
      </c>
    </row>
    <row r="36" spans="1:4" x14ac:dyDescent="0.35">
      <c r="A36" s="35" t="s">
        <v>107</v>
      </c>
      <c r="D36" s="37" t="str">
        <f t="shared" si="0"/>
        <v>Superior Court of San Benito County</v>
      </c>
    </row>
    <row r="37" spans="1:4" x14ac:dyDescent="0.35">
      <c r="A37" s="35" t="s">
        <v>108</v>
      </c>
      <c r="D37" s="37" t="str">
        <f t="shared" si="0"/>
        <v>Superior Court of San Bernardino County</v>
      </c>
    </row>
    <row r="38" spans="1:4" x14ac:dyDescent="0.35">
      <c r="A38" s="35" t="s">
        <v>109</v>
      </c>
      <c r="D38" s="37" t="str">
        <f t="shared" si="0"/>
        <v>Superior Court of San Diego County</v>
      </c>
    </row>
    <row r="39" spans="1:4" x14ac:dyDescent="0.35">
      <c r="A39" s="35" t="s">
        <v>110</v>
      </c>
      <c r="D39" s="37" t="str">
        <f t="shared" si="0"/>
        <v>Superior Court of San Francisco County</v>
      </c>
    </row>
    <row r="40" spans="1:4" x14ac:dyDescent="0.35">
      <c r="A40" s="35" t="s">
        <v>111</v>
      </c>
      <c r="D40" s="37" t="str">
        <f t="shared" si="0"/>
        <v>Superior Court of San Joaquin County</v>
      </c>
    </row>
    <row r="41" spans="1:4" x14ac:dyDescent="0.35">
      <c r="A41" s="35" t="s">
        <v>112</v>
      </c>
      <c r="D41" s="37" t="str">
        <f t="shared" si="0"/>
        <v>Superior Court of San Luis Obispo County</v>
      </c>
    </row>
    <row r="42" spans="1:4" x14ac:dyDescent="0.35">
      <c r="A42" s="35" t="s">
        <v>113</v>
      </c>
      <c r="D42" s="37" t="str">
        <f t="shared" si="0"/>
        <v>Superior Court of San Mateo County</v>
      </c>
    </row>
    <row r="43" spans="1:4" x14ac:dyDescent="0.35">
      <c r="A43" s="35" t="s">
        <v>114</v>
      </c>
      <c r="D43" s="37" t="str">
        <f t="shared" si="0"/>
        <v>Superior Court of Santa Barbara County</v>
      </c>
    </row>
    <row r="44" spans="1:4" x14ac:dyDescent="0.35">
      <c r="A44" s="35" t="s">
        <v>115</v>
      </c>
      <c r="D44" s="37" t="str">
        <f t="shared" si="0"/>
        <v>Superior Court of Santa Clara County</v>
      </c>
    </row>
    <row r="45" spans="1:4" x14ac:dyDescent="0.35">
      <c r="A45" s="35" t="s">
        <v>116</v>
      </c>
      <c r="D45" s="37" t="str">
        <f t="shared" si="0"/>
        <v>Superior Court of Santa Cruz County</v>
      </c>
    </row>
    <row r="46" spans="1:4" x14ac:dyDescent="0.35">
      <c r="A46" s="35" t="s">
        <v>117</v>
      </c>
      <c r="D46" s="37" t="str">
        <f t="shared" si="0"/>
        <v>Superior Court of Shasta County</v>
      </c>
    </row>
    <row r="47" spans="1:4" x14ac:dyDescent="0.35">
      <c r="A47" s="35" t="s">
        <v>118</v>
      </c>
      <c r="D47" s="37" t="str">
        <f t="shared" si="0"/>
        <v>Superior Court of Sierra County</v>
      </c>
    </row>
    <row r="48" spans="1:4" x14ac:dyDescent="0.35">
      <c r="A48" s="35" t="s">
        <v>119</v>
      </c>
      <c r="D48" s="37" t="str">
        <f t="shared" si="0"/>
        <v>Superior Court of Siskiyou County</v>
      </c>
    </row>
    <row r="49" spans="1:4" x14ac:dyDescent="0.35">
      <c r="A49" s="35" t="s">
        <v>120</v>
      </c>
      <c r="D49" s="37" t="str">
        <f t="shared" si="0"/>
        <v>Superior Court of Solano County</v>
      </c>
    </row>
    <row r="50" spans="1:4" x14ac:dyDescent="0.35">
      <c r="A50" s="35" t="s">
        <v>121</v>
      </c>
      <c r="D50" s="37" t="str">
        <f t="shared" si="0"/>
        <v>Superior Court of Sonoma County</v>
      </c>
    </row>
    <row r="51" spans="1:4" x14ac:dyDescent="0.35">
      <c r="A51" s="35" t="s">
        <v>122</v>
      </c>
      <c r="D51" s="37" t="str">
        <f t="shared" si="0"/>
        <v>Superior Court of Stanislaus County</v>
      </c>
    </row>
    <row r="52" spans="1:4" x14ac:dyDescent="0.35">
      <c r="A52" s="35" t="s">
        <v>123</v>
      </c>
      <c r="D52" s="37" t="str">
        <f t="shared" si="0"/>
        <v>Superior Court of Sutter County</v>
      </c>
    </row>
    <row r="53" spans="1:4" x14ac:dyDescent="0.35">
      <c r="A53" s="35" t="s">
        <v>124</v>
      </c>
      <c r="D53" s="37" t="str">
        <f t="shared" si="0"/>
        <v>Superior Court of Tehama County</v>
      </c>
    </row>
    <row r="54" spans="1:4" x14ac:dyDescent="0.35">
      <c r="A54" s="35" t="s">
        <v>125</v>
      </c>
      <c r="D54" s="37" t="str">
        <f t="shared" si="0"/>
        <v>Superior Court of Trinity County</v>
      </c>
    </row>
    <row r="55" spans="1:4" x14ac:dyDescent="0.35">
      <c r="A55" s="35" t="s">
        <v>126</v>
      </c>
      <c r="D55" s="37" t="str">
        <f t="shared" si="0"/>
        <v>Superior Court of Tulare County</v>
      </c>
    </row>
    <row r="56" spans="1:4" x14ac:dyDescent="0.35">
      <c r="A56" s="35" t="s">
        <v>127</v>
      </c>
      <c r="D56" s="37" t="str">
        <f t="shared" si="0"/>
        <v>Superior Court of Tuolumne County</v>
      </c>
    </row>
    <row r="57" spans="1:4" x14ac:dyDescent="0.35">
      <c r="A57" s="35" t="s">
        <v>128</v>
      </c>
      <c r="D57" s="37" t="str">
        <f t="shared" si="0"/>
        <v>Superior Court of Ventura County</v>
      </c>
    </row>
    <row r="58" spans="1:4" x14ac:dyDescent="0.35">
      <c r="A58" s="35" t="s">
        <v>129</v>
      </c>
      <c r="D58" s="37" t="str">
        <f t="shared" si="0"/>
        <v>Superior Court of Yolo County</v>
      </c>
    </row>
    <row r="59" spans="1:4" x14ac:dyDescent="0.35">
      <c r="A59" s="35" t="s">
        <v>130</v>
      </c>
      <c r="D59" s="37" t="str">
        <f t="shared" si="0"/>
        <v>Superior Court of Yuba County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tabColor indexed="42"/>
  </sheetPr>
  <dimension ref="A2:B7"/>
  <sheetViews>
    <sheetView workbookViewId="0">
      <selection activeCell="E39" sqref="E39"/>
    </sheetView>
  </sheetViews>
  <sheetFormatPr defaultRowHeight="12.5" x14ac:dyDescent="0.25"/>
  <cols>
    <col min="2" max="2" width="30.81640625" bestFit="1" customWidth="1"/>
  </cols>
  <sheetData>
    <row r="2" spans="1:2" s="5" customFormat="1" ht="13" x14ac:dyDescent="0.3">
      <c r="A2" s="6" t="s">
        <v>24</v>
      </c>
      <c r="B2" s="6" t="s">
        <v>40</v>
      </c>
    </row>
    <row r="3" spans="1:2" x14ac:dyDescent="0.25">
      <c r="A3" t="s">
        <v>35</v>
      </c>
      <c r="B3" t="s">
        <v>23</v>
      </c>
    </row>
    <row r="4" spans="1:2" x14ac:dyDescent="0.25">
      <c r="A4" t="s">
        <v>36</v>
      </c>
      <c r="B4" t="s">
        <v>41</v>
      </c>
    </row>
    <row r="5" spans="1:2" x14ac:dyDescent="0.25">
      <c r="A5" t="s">
        <v>37</v>
      </c>
      <c r="B5" t="s">
        <v>42</v>
      </c>
    </row>
    <row r="6" spans="1:2" x14ac:dyDescent="0.25">
      <c r="A6" t="s">
        <v>33</v>
      </c>
      <c r="B6" t="s">
        <v>43</v>
      </c>
    </row>
    <row r="7" spans="1:2" x14ac:dyDescent="0.25">
      <c r="A7" t="s">
        <v>39</v>
      </c>
      <c r="B7" t="s">
        <v>27</v>
      </c>
    </row>
  </sheetData>
  <customSheetViews>
    <customSheetView guid="{07F1F502-9FC7-4878-A746-52E1655BD4FA}" showRuler="0">
      <selection activeCell="E39" sqref="E39"/>
      <pageMargins left="0.75" right="0.75" top="1" bottom="1" header="0.5" footer="0.5"/>
      <pageSetup orientation="portrait" r:id="rId1"/>
      <headerFooter alignWithMargins="0"/>
    </customSheetView>
  </customSheetViews>
  <phoneticPr fontId="3" type="noConversion"/>
  <pageMargins left="0.75" right="0.75" top="1" bottom="1" header="0.5" footer="0.5"/>
  <pageSetup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>
    <tabColor theme="3" tint="0.39997558519241921"/>
  </sheetPr>
  <dimension ref="A1:D21"/>
  <sheetViews>
    <sheetView workbookViewId="0">
      <selection activeCell="C43" sqref="C43:F43"/>
    </sheetView>
  </sheetViews>
  <sheetFormatPr defaultColWidth="9.1796875" defaultRowHeight="12.5" x14ac:dyDescent="0.25"/>
  <cols>
    <col min="1" max="1" width="46.7265625" style="8" bestFit="1" customWidth="1"/>
    <col min="2" max="2" width="45.453125" style="8" bestFit="1" customWidth="1"/>
    <col min="3" max="3" width="30.7265625" style="8" customWidth="1"/>
    <col min="4" max="4" width="26.7265625" style="8" customWidth="1"/>
    <col min="5" max="16384" width="9.1796875" style="8"/>
  </cols>
  <sheetData>
    <row r="1" spans="1:4" s="7" customFormat="1" ht="14.25" customHeight="1" x14ac:dyDescent="0.35">
      <c r="A1" s="17" t="e">
        <f>#REF!</f>
        <v>#REF!</v>
      </c>
    </row>
    <row r="2" spans="1:4" s="7" customFormat="1" ht="14.25" customHeight="1" x14ac:dyDescent="0.35">
      <c r="A2" s="7" t="s">
        <v>50</v>
      </c>
    </row>
    <row r="3" spans="1:4" ht="14.25" customHeight="1" x14ac:dyDescent="0.25"/>
    <row r="4" spans="1:4" ht="14.25" customHeight="1" x14ac:dyDescent="0.25"/>
    <row r="5" spans="1:4" ht="14.25" customHeight="1" x14ac:dyDescent="0.25"/>
    <row r="6" spans="1:4" s="10" customFormat="1" ht="13" x14ac:dyDescent="0.3">
      <c r="A6" s="9" t="s">
        <v>49</v>
      </c>
      <c r="B6" s="9" t="s">
        <v>0</v>
      </c>
      <c r="C6" s="9" t="s">
        <v>250</v>
      </c>
      <c r="D6" s="9" t="s">
        <v>251</v>
      </c>
    </row>
    <row r="7" spans="1:4" ht="13" x14ac:dyDescent="0.25">
      <c r="A7" s="214" t="s">
        <v>268</v>
      </c>
      <c r="B7" s="214" t="s">
        <v>21</v>
      </c>
      <c r="C7" s="12"/>
      <c r="D7" s="13"/>
    </row>
    <row r="8" spans="1:4" ht="13" x14ac:dyDescent="0.25">
      <c r="A8" s="214" t="s">
        <v>269</v>
      </c>
      <c r="B8" s="11" t="s">
        <v>19</v>
      </c>
      <c r="C8" s="12"/>
      <c r="D8" s="13"/>
    </row>
    <row r="9" spans="1:4" x14ac:dyDescent="0.25">
      <c r="A9" s="214" t="s">
        <v>270</v>
      </c>
      <c r="B9" s="214" t="s">
        <v>278</v>
      </c>
      <c r="C9" s="13"/>
      <c r="D9" s="13"/>
    </row>
    <row r="10" spans="1:4" x14ac:dyDescent="0.25">
      <c r="A10" s="214" t="s">
        <v>271</v>
      </c>
      <c r="B10" s="214" t="s">
        <v>279</v>
      </c>
      <c r="C10" s="13"/>
      <c r="D10" s="13"/>
    </row>
    <row r="11" spans="1:4" x14ac:dyDescent="0.25">
      <c r="A11" s="14" t="s">
        <v>55</v>
      </c>
      <c r="B11" s="14" t="s">
        <v>254</v>
      </c>
      <c r="C11" s="13"/>
      <c r="D11" s="13"/>
    </row>
    <row r="12" spans="1:4" x14ac:dyDescent="0.25">
      <c r="A12" s="11" t="s">
        <v>53</v>
      </c>
      <c r="B12" s="11" t="s">
        <v>28</v>
      </c>
      <c r="C12" s="13"/>
      <c r="D12" s="13"/>
    </row>
    <row r="13" spans="1:4" x14ac:dyDescent="0.25">
      <c r="A13" s="13" t="s">
        <v>267</v>
      </c>
      <c r="B13" s="14" t="s">
        <v>29</v>
      </c>
      <c r="C13" s="13"/>
      <c r="D13" s="13"/>
    </row>
    <row r="14" spans="1:4" x14ac:dyDescent="0.25">
      <c r="A14" s="214" t="s">
        <v>266</v>
      </c>
      <c r="B14" s="214" t="s">
        <v>280</v>
      </c>
      <c r="C14" s="13"/>
      <c r="D14" s="15"/>
    </row>
    <row r="15" spans="1:4" x14ac:dyDescent="0.25">
      <c r="A15" s="13" t="s">
        <v>272</v>
      </c>
      <c r="B15" s="13" t="s">
        <v>29</v>
      </c>
      <c r="C15" s="15"/>
      <c r="D15" s="15"/>
    </row>
    <row r="16" spans="1:4" x14ac:dyDescent="0.25">
      <c r="A16" s="214" t="s">
        <v>273</v>
      </c>
      <c r="B16" s="214" t="s">
        <v>277</v>
      </c>
      <c r="C16" s="15"/>
      <c r="D16" s="15"/>
    </row>
    <row r="17" spans="1:4" x14ac:dyDescent="0.25">
      <c r="A17" s="214" t="s">
        <v>274</v>
      </c>
      <c r="B17" s="214" t="s">
        <v>262</v>
      </c>
      <c r="C17" s="15"/>
      <c r="D17" s="15"/>
    </row>
    <row r="18" spans="1:4" x14ac:dyDescent="0.25">
      <c r="A18" s="214" t="s">
        <v>275</v>
      </c>
      <c r="B18" s="11" t="s">
        <v>9</v>
      </c>
      <c r="C18" s="15"/>
      <c r="D18" s="15"/>
    </row>
    <row r="19" spans="1:4" x14ac:dyDescent="0.25">
      <c r="A19" s="214" t="s">
        <v>276</v>
      </c>
      <c r="B19" s="11" t="s">
        <v>32</v>
      </c>
      <c r="C19" s="15"/>
      <c r="D19" s="15"/>
    </row>
    <row r="20" spans="1:4" ht="13" x14ac:dyDescent="0.25">
      <c r="A20" s="13" t="s">
        <v>38</v>
      </c>
      <c r="B20" s="14" t="s">
        <v>34</v>
      </c>
      <c r="C20" s="12"/>
      <c r="D20" s="12"/>
    </row>
    <row r="21" spans="1:4" x14ac:dyDescent="0.25">
      <c r="A21" s="16"/>
      <c r="B21" s="16"/>
      <c r="C21" s="16"/>
      <c r="D21" s="16"/>
    </row>
  </sheetData>
  <customSheetViews>
    <customSheetView guid="{07F1F502-9FC7-4878-A746-52E1655BD4FA}" showRuler="0">
      <selection activeCell="A37" sqref="A37"/>
      <pageMargins left="0.75" right="0.75" top="1" bottom="1" header="0.5" footer="0.5"/>
      <pageSetup orientation="portrait" r:id="rId1"/>
      <headerFooter alignWithMargins="0"/>
    </customSheetView>
  </customSheetViews>
  <phoneticPr fontId="6" type="noConversion"/>
  <pageMargins left="0.75" right="0.75" top="1" bottom="1" header="0.5" footer="0.5"/>
  <pageSetup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theme="5" tint="0.59999389629810485"/>
  </sheetPr>
  <dimension ref="A1:H25"/>
  <sheetViews>
    <sheetView workbookViewId="0">
      <selection activeCell="C43" sqref="C43:F43"/>
    </sheetView>
  </sheetViews>
  <sheetFormatPr defaultColWidth="9.1796875" defaultRowHeight="12.5" x14ac:dyDescent="0.25"/>
  <cols>
    <col min="1" max="1" width="28.26953125" style="18" bestFit="1" customWidth="1"/>
    <col min="2" max="2" width="9.81640625" style="3" bestFit="1" customWidth="1"/>
    <col min="3" max="3" width="10.1796875" style="3" bestFit="1" customWidth="1"/>
    <col min="4" max="6" width="9.1796875" style="3"/>
    <col min="7" max="7" width="10.1796875" style="3" bestFit="1" customWidth="1"/>
    <col min="8" max="16384" width="9.1796875" style="3"/>
  </cols>
  <sheetData>
    <row r="1" spans="1:8" s="26" customFormat="1" ht="15.5" x14ac:dyDescent="0.25">
      <c r="A1" s="25" t="s">
        <v>70</v>
      </c>
    </row>
    <row r="3" spans="1:8" ht="13" x14ac:dyDescent="0.25">
      <c r="A3" s="22" t="s">
        <v>62</v>
      </c>
      <c r="B3" s="32"/>
    </row>
    <row r="4" spans="1:8" ht="13" x14ac:dyDescent="0.25">
      <c r="A4" s="22" t="s">
        <v>63</v>
      </c>
      <c r="B4" s="32"/>
    </row>
    <row r="5" spans="1:8" ht="13" x14ac:dyDescent="0.25">
      <c r="A5" s="22" t="s">
        <v>64</v>
      </c>
      <c r="B5" s="32"/>
    </row>
    <row r="6" spans="1:8" ht="13" x14ac:dyDescent="0.25">
      <c r="A6" s="22" t="s">
        <v>14</v>
      </c>
      <c r="B6" s="33"/>
    </row>
    <row r="7" spans="1:8" ht="13" x14ac:dyDescent="0.25">
      <c r="A7" s="27"/>
      <c r="B7" s="28"/>
    </row>
    <row r="8" spans="1:8" ht="13" x14ac:dyDescent="0.25">
      <c r="C8" s="497" t="s">
        <v>71</v>
      </c>
      <c r="D8" s="497"/>
      <c r="E8" s="497"/>
      <c r="F8" s="497"/>
      <c r="G8" s="497"/>
      <c r="H8" s="497"/>
    </row>
    <row r="9" spans="1:8" ht="13" x14ac:dyDescent="0.25">
      <c r="A9" s="23" t="s">
        <v>72</v>
      </c>
      <c r="B9" s="19" t="s">
        <v>69</v>
      </c>
      <c r="C9" s="20"/>
      <c r="D9" s="20"/>
      <c r="E9" s="20"/>
      <c r="F9" s="20"/>
      <c r="G9" s="20"/>
      <c r="H9" s="20"/>
    </row>
    <row r="10" spans="1:8" x14ac:dyDescent="0.25">
      <c r="A10" s="29"/>
      <c r="B10" s="24">
        <f t="shared" ref="B10:B22" si="0">SUM(C10:H10)</f>
        <v>0</v>
      </c>
      <c r="C10" s="31"/>
      <c r="D10" s="31"/>
      <c r="E10" s="31"/>
      <c r="F10" s="31"/>
      <c r="G10" s="31"/>
      <c r="H10" s="31"/>
    </row>
    <row r="11" spans="1:8" x14ac:dyDescent="0.25">
      <c r="A11" s="29"/>
      <c r="B11" s="24">
        <f t="shared" si="0"/>
        <v>0</v>
      </c>
      <c r="C11" s="31"/>
      <c r="D11" s="31"/>
      <c r="E11" s="31"/>
      <c r="F11" s="31"/>
      <c r="G11" s="31"/>
      <c r="H11" s="31"/>
    </row>
    <row r="12" spans="1:8" x14ac:dyDescent="0.25">
      <c r="A12" s="30"/>
      <c r="B12" s="24">
        <f t="shared" si="0"/>
        <v>0</v>
      </c>
      <c r="C12" s="31"/>
      <c r="D12" s="31"/>
      <c r="E12" s="31"/>
      <c r="F12" s="31"/>
      <c r="G12" s="31"/>
      <c r="H12" s="31"/>
    </row>
    <row r="13" spans="1:8" x14ac:dyDescent="0.25">
      <c r="A13" s="29"/>
      <c r="B13" s="24">
        <f t="shared" si="0"/>
        <v>0</v>
      </c>
      <c r="C13" s="31"/>
      <c r="D13" s="31"/>
      <c r="E13" s="31"/>
      <c r="F13" s="31"/>
      <c r="G13" s="31"/>
      <c r="H13" s="31"/>
    </row>
    <row r="14" spans="1:8" x14ac:dyDescent="0.25">
      <c r="A14" s="30"/>
      <c r="B14" s="24">
        <f t="shared" si="0"/>
        <v>0</v>
      </c>
      <c r="C14" s="31"/>
      <c r="D14" s="31"/>
      <c r="E14" s="31"/>
      <c r="F14" s="31"/>
      <c r="G14" s="31"/>
      <c r="H14" s="31"/>
    </row>
    <row r="15" spans="1:8" x14ac:dyDescent="0.25">
      <c r="A15" s="30"/>
      <c r="B15" s="24">
        <f t="shared" si="0"/>
        <v>0</v>
      </c>
      <c r="C15" s="31"/>
      <c r="D15" s="31"/>
      <c r="E15" s="31"/>
      <c r="F15" s="31"/>
      <c r="G15" s="31"/>
      <c r="H15" s="31"/>
    </row>
    <row r="16" spans="1:8" x14ac:dyDescent="0.25">
      <c r="A16" s="30"/>
      <c r="B16" s="24">
        <f t="shared" si="0"/>
        <v>0</v>
      </c>
      <c r="C16" s="31"/>
      <c r="D16" s="31"/>
      <c r="E16" s="31"/>
      <c r="F16" s="31"/>
      <c r="G16" s="31"/>
      <c r="H16" s="31"/>
    </row>
    <row r="17" spans="1:8" x14ac:dyDescent="0.25">
      <c r="A17" s="30"/>
      <c r="B17" s="24">
        <f t="shared" si="0"/>
        <v>0</v>
      </c>
      <c r="C17" s="31"/>
      <c r="D17" s="31"/>
      <c r="E17" s="31"/>
      <c r="F17" s="31"/>
      <c r="G17" s="31"/>
      <c r="H17" s="31"/>
    </row>
    <row r="18" spans="1:8" x14ac:dyDescent="0.25">
      <c r="A18" s="29"/>
      <c r="B18" s="24">
        <f t="shared" si="0"/>
        <v>0</v>
      </c>
      <c r="C18" s="31"/>
      <c r="D18" s="31"/>
      <c r="E18" s="31"/>
      <c r="F18" s="31"/>
      <c r="G18" s="31"/>
      <c r="H18" s="31"/>
    </row>
    <row r="19" spans="1:8" x14ac:dyDescent="0.25">
      <c r="A19" s="29"/>
      <c r="B19" s="24">
        <f t="shared" si="0"/>
        <v>0</v>
      </c>
      <c r="C19" s="31"/>
      <c r="D19" s="31"/>
      <c r="E19" s="31"/>
      <c r="F19" s="31"/>
      <c r="G19" s="31"/>
      <c r="H19" s="31"/>
    </row>
    <row r="20" spans="1:8" x14ac:dyDescent="0.25">
      <c r="A20" s="29"/>
      <c r="B20" s="24">
        <f t="shared" si="0"/>
        <v>0</v>
      </c>
      <c r="C20" s="31"/>
      <c r="D20" s="31"/>
      <c r="E20" s="31"/>
      <c r="F20" s="31"/>
      <c r="G20" s="31"/>
      <c r="H20" s="31"/>
    </row>
    <row r="21" spans="1:8" x14ac:dyDescent="0.25">
      <c r="A21" s="29"/>
      <c r="B21" s="24">
        <f t="shared" si="0"/>
        <v>0</v>
      </c>
      <c r="C21" s="31"/>
      <c r="D21" s="31"/>
      <c r="E21" s="31"/>
      <c r="F21" s="31"/>
      <c r="G21" s="31"/>
      <c r="H21" s="31"/>
    </row>
    <row r="22" spans="1:8" x14ac:dyDescent="0.25">
      <c r="A22" s="29"/>
      <c r="B22" s="24">
        <f t="shared" si="0"/>
        <v>0</v>
      </c>
      <c r="C22" s="31"/>
      <c r="D22" s="31"/>
      <c r="E22" s="31"/>
      <c r="F22" s="31"/>
      <c r="G22" s="31"/>
      <c r="H22" s="31"/>
    </row>
    <row r="24" spans="1:8" ht="13" x14ac:dyDescent="0.25">
      <c r="A24" s="21" t="s">
        <v>69</v>
      </c>
      <c r="B24" s="4">
        <f t="shared" ref="B24:H24" si="1">SUM(B10:B23)</f>
        <v>0</v>
      </c>
      <c r="C24" s="3">
        <f t="shared" si="1"/>
        <v>0</v>
      </c>
      <c r="D24" s="3">
        <f t="shared" si="1"/>
        <v>0</v>
      </c>
      <c r="E24" s="3">
        <f t="shared" si="1"/>
        <v>0</v>
      </c>
      <c r="F24" s="3">
        <f t="shared" si="1"/>
        <v>0</v>
      </c>
      <c r="G24" s="3">
        <f t="shared" si="1"/>
        <v>0</v>
      </c>
      <c r="H24" s="3">
        <f t="shared" si="1"/>
        <v>0</v>
      </c>
    </row>
    <row r="25" spans="1:8" x14ac:dyDescent="0.25">
      <c r="C25" s="3">
        <f>SUM(C24:H24)</f>
        <v>0</v>
      </c>
    </row>
  </sheetData>
  <customSheetViews>
    <customSheetView guid="{07F1F502-9FC7-4878-A746-52E1655BD4FA}" showRuler="0">
      <selection activeCell="H40" sqref="H40"/>
      <pageMargins left="0.75" right="0.75" top="1" bottom="1" header="0.5" footer="0.5"/>
      <headerFooter alignWithMargins="0"/>
    </customSheetView>
  </customSheetViews>
  <mergeCells count="1">
    <mergeCell ref="C8:H8"/>
  </mergeCells>
  <phoneticPr fontId="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indexed="34"/>
    <pageSetUpPr fitToPage="1"/>
  </sheetPr>
  <dimension ref="A1:X50"/>
  <sheetViews>
    <sheetView zoomScale="90" zoomScaleNormal="90" workbookViewId="0">
      <pane ySplit="1" topLeftCell="A11" activePane="bottomLeft" state="frozen"/>
      <selection activeCell="N29" sqref="N29:O29"/>
      <selection pane="bottomLeft" activeCell="N29" sqref="N29:O29"/>
    </sheetView>
  </sheetViews>
  <sheetFormatPr defaultColWidth="9.1796875" defaultRowHeight="18.5" x14ac:dyDescent="0.25"/>
  <cols>
    <col min="1" max="1" width="4.26953125" style="87" customWidth="1"/>
    <col min="2" max="2" width="4.7265625" style="87" customWidth="1"/>
    <col min="3" max="3" width="15.54296875" style="87" customWidth="1"/>
    <col min="4" max="4" width="12" style="87" customWidth="1"/>
    <col min="5" max="5" width="12.81640625" style="88" customWidth="1"/>
    <col min="6" max="6" width="16" style="121" customWidth="1"/>
    <col min="7" max="7" width="9.1796875" style="46" customWidth="1"/>
    <col min="8" max="8" width="29.453125" style="46" hidden="1" customWidth="1"/>
    <col min="9" max="9" width="14" style="46" customWidth="1"/>
    <col min="10" max="10" width="14.1796875" style="46" customWidth="1"/>
    <col min="11" max="11" width="6" style="46" customWidth="1"/>
    <col min="12" max="12" width="14" style="92" customWidth="1"/>
    <col min="13" max="13" width="1.7265625" style="89" customWidth="1"/>
    <col min="14" max="14" width="17.54296875" style="46" customWidth="1"/>
    <col min="15" max="15" width="1.54296875" style="46" customWidth="1"/>
    <col min="16" max="16" width="14.26953125" style="46" customWidth="1"/>
    <col min="17" max="17" width="2.54296875" style="89" customWidth="1"/>
    <col min="18" max="18" width="12.26953125" style="90" customWidth="1"/>
    <col min="19" max="19" width="20.26953125" style="91" customWidth="1"/>
    <col min="20" max="20" width="2.1796875" style="50" customWidth="1"/>
    <col min="21" max="21" width="11.26953125" style="50" customWidth="1"/>
    <col min="22" max="22" width="13.26953125" style="50" customWidth="1"/>
    <col min="23" max="24" width="9.1796875" style="50"/>
    <col min="25" max="16384" width="9.1796875" style="46"/>
  </cols>
  <sheetData>
    <row r="1" spans="1:24" ht="20.25" customHeight="1" thickBot="1" x14ac:dyDescent="0.3">
      <c r="A1" s="565" t="s">
        <v>215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3" t="s">
        <v>230</v>
      </c>
      <c r="M1" s="563"/>
      <c r="N1" s="563"/>
      <c r="O1" s="563"/>
      <c r="P1" s="563"/>
      <c r="Q1" s="563"/>
      <c r="R1" s="563"/>
      <c r="S1" s="564"/>
    </row>
    <row r="2" spans="1:24" s="50" customFormat="1" ht="11.25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9"/>
      <c r="Q2" s="49"/>
      <c r="R2" s="49"/>
      <c r="S2" s="49"/>
    </row>
    <row r="3" spans="1:24" s="50" customFormat="1" ht="19.5" thickTop="1" thickBot="1" x14ac:dyDescent="0.3">
      <c r="A3" s="578" t="s">
        <v>191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80"/>
      <c r="O3" s="160"/>
      <c r="P3" s="581" t="s">
        <v>218</v>
      </c>
      <c r="Q3" s="582"/>
      <c r="R3" s="582"/>
      <c r="S3" s="583"/>
      <c r="U3" s="159" t="s">
        <v>207</v>
      </c>
    </row>
    <row r="4" spans="1:24" s="53" customFormat="1" ht="15.5" x14ac:dyDescent="0.25">
      <c r="A4" s="575" t="s">
        <v>188</v>
      </c>
      <c r="B4" s="554"/>
      <c r="C4" s="554"/>
      <c r="D4" s="576" t="str">
        <f>L1</f>
        <v>CASE NUMBER</v>
      </c>
      <c r="E4" s="577"/>
      <c r="F4" s="590" t="s">
        <v>22</v>
      </c>
      <c r="G4" s="573"/>
      <c r="H4" s="180"/>
      <c r="I4" s="571" t="s">
        <v>220</v>
      </c>
      <c r="J4" s="572"/>
      <c r="K4" s="573" t="s">
        <v>214</v>
      </c>
      <c r="L4" s="573"/>
      <c r="M4" s="573"/>
      <c r="N4" s="181">
        <v>390</v>
      </c>
      <c r="O4" s="52"/>
      <c r="P4" s="584" t="s">
        <v>193</v>
      </c>
      <c r="Q4" s="585"/>
      <c r="R4" s="585"/>
      <c r="S4" s="586"/>
      <c r="U4" s="157" t="s">
        <v>25</v>
      </c>
      <c r="V4" s="161">
        <f>SUMIF(G16:G43,"STATE",L16:L43)</f>
        <v>860.54000000000008</v>
      </c>
    </row>
    <row r="5" spans="1:24" s="53" customFormat="1" ht="15.5" x14ac:dyDescent="0.25">
      <c r="A5" s="547" t="s">
        <v>3</v>
      </c>
      <c r="B5" s="548"/>
      <c r="C5" s="548"/>
      <c r="D5" s="552"/>
      <c r="E5" s="553"/>
      <c r="F5" s="549" t="s">
        <v>201</v>
      </c>
      <c r="G5" s="546"/>
      <c r="H5" s="167"/>
      <c r="I5" s="557" t="s">
        <v>222</v>
      </c>
      <c r="J5" s="558"/>
      <c r="K5" s="546" t="s">
        <v>17</v>
      </c>
      <c r="L5" s="546"/>
      <c r="M5" s="546"/>
      <c r="N5" s="54"/>
      <c r="O5" s="52"/>
      <c r="P5" s="587" t="s">
        <v>194</v>
      </c>
      <c r="Q5" s="588"/>
      <c r="R5" s="588"/>
      <c r="S5" s="589"/>
      <c r="U5" s="157" t="s">
        <v>26</v>
      </c>
      <c r="V5" s="161">
        <f>SUMIF(G16:G43,"COUNTY",L16:L43)</f>
        <v>1069.46</v>
      </c>
    </row>
    <row r="6" spans="1:24" s="53" customFormat="1" ht="16" thickBot="1" x14ac:dyDescent="0.3">
      <c r="A6" s="547" t="s">
        <v>10</v>
      </c>
      <c r="B6" s="548"/>
      <c r="C6" s="548"/>
      <c r="D6" s="557"/>
      <c r="E6" s="553"/>
      <c r="F6" s="549" t="s">
        <v>15</v>
      </c>
      <c r="G6" s="546"/>
      <c r="H6" s="167"/>
      <c r="I6" s="557" t="s">
        <v>223</v>
      </c>
      <c r="J6" s="558"/>
      <c r="K6" s="544" t="s">
        <v>190</v>
      </c>
      <c r="L6" s="544"/>
      <c r="M6" s="544"/>
      <c r="N6" s="184">
        <f>N4+N5*10</f>
        <v>390</v>
      </c>
      <c r="O6" s="52"/>
      <c r="P6" s="504" t="s">
        <v>195</v>
      </c>
      <c r="Q6" s="505"/>
      <c r="R6" s="505"/>
      <c r="S6" s="506"/>
      <c r="U6" s="157" t="s">
        <v>45</v>
      </c>
      <c r="V6" s="161">
        <f>SUMIF(G16:G43,"CITY",L16:L43)</f>
        <v>0</v>
      </c>
    </row>
    <row r="7" spans="1:24" s="53" customFormat="1" ht="16" thickBot="1" x14ac:dyDescent="0.3">
      <c r="A7" s="547" t="s">
        <v>4</v>
      </c>
      <c r="B7" s="548"/>
      <c r="C7" s="548"/>
      <c r="D7" s="557" t="s">
        <v>221</v>
      </c>
      <c r="E7" s="553"/>
      <c r="F7" s="541" t="s">
        <v>16</v>
      </c>
      <c r="G7" s="542"/>
      <c r="H7" s="168"/>
      <c r="I7" s="559"/>
      <c r="J7" s="560"/>
      <c r="K7" s="555"/>
      <c r="L7" s="556"/>
      <c r="M7" s="556"/>
      <c r="N7" s="185"/>
      <c r="O7" s="52"/>
      <c r="P7" s="507" t="s">
        <v>192</v>
      </c>
      <c r="Q7" s="508"/>
      <c r="R7" s="508"/>
      <c r="S7" s="509"/>
      <c r="U7" s="157" t="s">
        <v>187</v>
      </c>
      <c r="V7" s="161">
        <f>SUMIF(G16:G43,"COURT",L16:L43)</f>
        <v>0</v>
      </c>
    </row>
    <row r="8" spans="1:24" s="53" customFormat="1" ht="15.5" x14ac:dyDescent="0.25">
      <c r="A8" s="545" t="s">
        <v>47</v>
      </c>
      <c r="B8" s="546"/>
      <c r="C8" s="546"/>
      <c r="D8" s="569">
        <v>1</v>
      </c>
      <c r="E8" s="570"/>
      <c r="F8" s="574" t="s">
        <v>210</v>
      </c>
      <c r="G8" s="554"/>
      <c r="H8" s="169"/>
      <c r="I8" s="561"/>
      <c r="J8" s="562"/>
      <c r="K8" s="554" t="s">
        <v>214</v>
      </c>
      <c r="L8" s="554"/>
      <c r="M8" s="554"/>
      <c r="N8" s="51">
        <v>0</v>
      </c>
      <c r="O8" s="52"/>
      <c r="P8" s="523" t="s">
        <v>212</v>
      </c>
      <c r="Q8" s="524"/>
      <c r="R8" s="524"/>
      <c r="S8" s="525"/>
      <c r="U8" s="176" t="s">
        <v>208</v>
      </c>
      <c r="V8" s="161">
        <f>SUMIF(G16:G43,"Crt OR Cty",L16:L43)</f>
        <v>10</v>
      </c>
    </row>
    <row r="9" spans="1:24" s="53" customFormat="1" ht="18" customHeight="1" thickBot="1" x14ac:dyDescent="0.3">
      <c r="A9" s="543" t="s">
        <v>46</v>
      </c>
      <c r="B9" s="544"/>
      <c r="C9" s="544"/>
      <c r="D9" s="567">
        <f>100%-D8</f>
        <v>0</v>
      </c>
      <c r="E9" s="568"/>
      <c r="F9" s="549" t="s">
        <v>201</v>
      </c>
      <c r="G9" s="546"/>
      <c r="H9" s="167"/>
      <c r="I9" s="557"/>
      <c r="J9" s="558"/>
      <c r="K9" s="546" t="s">
        <v>17</v>
      </c>
      <c r="L9" s="546"/>
      <c r="M9" s="546"/>
      <c r="N9" s="54"/>
      <c r="P9" s="526"/>
      <c r="Q9" s="527"/>
      <c r="R9" s="527"/>
      <c r="S9" s="528"/>
      <c r="U9" s="158" t="s">
        <v>203</v>
      </c>
      <c r="V9" s="134">
        <f>SUM(V4:V8)</f>
        <v>1940</v>
      </c>
      <c r="W9" s="59"/>
    </row>
    <row r="10" spans="1:24" s="53" customFormat="1" ht="16.5" customHeight="1" thickBot="1" x14ac:dyDescent="0.3">
      <c r="A10" s="599" t="s">
        <v>224</v>
      </c>
      <c r="B10" s="600"/>
      <c r="C10" s="600"/>
      <c r="D10" s="595">
        <f>N6+N10</f>
        <v>390</v>
      </c>
      <c r="E10" s="596"/>
      <c r="F10" s="549" t="s">
        <v>15</v>
      </c>
      <c r="G10" s="546"/>
      <c r="H10" s="167"/>
      <c r="I10" s="557"/>
      <c r="J10" s="558"/>
      <c r="K10" s="544" t="s">
        <v>190</v>
      </c>
      <c r="L10" s="544"/>
      <c r="M10" s="544"/>
      <c r="N10" s="184">
        <f>N8+N9*10</f>
        <v>0</v>
      </c>
      <c r="P10" s="520" t="s">
        <v>196</v>
      </c>
      <c r="Q10" s="521"/>
      <c r="R10" s="521"/>
      <c r="S10" s="522"/>
      <c r="V10" s="162">
        <f>V9-L45</f>
        <v>0</v>
      </c>
      <c r="W10" s="59"/>
    </row>
    <row r="11" spans="1:24" s="53" customFormat="1" ht="16.5" customHeight="1" thickBot="1" x14ac:dyDescent="0.3">
      <c r="A11" s="597" t="s">
        <v>225</v>
      </c>
      <c r="B11" s="598"/>
      <c r="C11" s="598"/>
      <c r="D11" s="593">
        <f>ROUNDUP(D10/10,0)</f>
        <v>39</v>
      </c>
      <c r="E11" s="594"/>
      <c r="F11" s="541" t="s">
        <v>16</v>
      </c>
      <c r="G11" s="542"/>
      <c r="H11" s="168"/>
      <c r="I11" s="559"/>
      <c r="J11" s="560"/>
      <c r="K11" s="620"/>
      <c r="L11" s="621"/>
      <c r="M11" s="621"/>
      <c r="N11" s="186"/>
      <c r="P11" s="498" t="s">
        <v>202</v>
      </c>
      <c r="Q11" s="499"/>
      <c r="R11" s="499"/>
      <c r="S11" s="500"/>
      <c r="W11" s="59"/>
    </row>
    <row r="12" spans="1:24" s="53" customFormat="1" ht="1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M12" s="57"/>
      <c r="P12" s="52"/>
      <c r="Q12" s="52"/>
      <c r="R12" s="58"/>
      <c r="S12" s="56"/>
      <c r="W12" s="59"/>
    </row>
    <row r="13" spans="1:24" s="98" customFormat="1" ht="15.75" customHeight="1" thickBot="1" x14ac:dyDescent="0.3">
      <c r="A13" s="174"/>
      <c r="B13" s="174"/>
      <c r="C13" s="174"/>
      <c r="D13" s="174"/>
      <c r="E13" s="174"/>
      <c r="F13" s="96"/>
      <c r="G13" s="97"/>
      <c r="I13" s="615" t="s">
        <v>185</v>
      </c>
      <c r="J13" s="616"/>
      <c r="K13" s="616"/>
      <c r="L13" s="617"/>
      <c r="M13" s="99"/>
      <c r="N13" s="501" t="s">
        <v>186</v>
      </c>
      <c r="O13" s="502"/>
      <c r="P13" s="503"/>
      <c r="Q13" s="100"/>
      <c r="R13" s="143"/>
      <c r="S13" s="144"/>
      <c r="T13" s="97"/>
      <c r="U13" s="97"/>
      <c r="V13" s="97"/>
      <c r="W13" s="97"/>
      <c r="X13" s="97"/>
    </row>
    <row r="14" spans="1:24" ht="44.25" customHeight="1" thickBot="1" x14ac:dyDescent="0.3">
      <c r="A14" s="101">
        <v>0.02</v>
      </c>
      <c r="B14" s="101" t="s">
        <v>51</v>
      </c>
      <c r="C14" s="603" t="s">
        <v>183</v>
      </c>
      <c r="D14" s="604"/>
      <c r="E14" s="604"/>
      <c r="F14" s="605"/>
      <c r="G14" s="102" t="s">
        <v>206</v>
      </c>
      <c r="H14" s="103" t="s">
        <v>0</v>
      </c>
      <c r="I14" s="170" t="s">
        <v>204</v>
      </c>
      <c r="J14" s="109" t="s">
        <v>209</v>
      </c>
      <c r="K14" s="107" t="s">
        <v>5</v>
      </c>
      <c r="L14" s="108" t="s">
        <v>197</v>
      </c>
      <c r="M14" s="61"/>
      <c r="N14" s="514" t="s">
        <v>217</v>
      </c>
      <c r="O14" s="515"/>
      <c r="P14" s="109" t="s">
        <v>205</v>
      </c>
      <c r="Q14" s="110"/>
      <c r="R14" s="518" t="s">
        <v>213</v>
      </c>
      <c r="S14" s="516" t="s">
        <v>54</v>
      </c>
    </row>
    <row r="15" spans="1:24" ht="19.5" customHeight="1" thickBot="1" x14ac:dyDescent="0.3">
      <c r="A15" s="104"/>
      <c r="B15" s="104"/>
      <c r="C15" s="606"/>
      <c r="D15" s="607"/>
      <c r="E15" s="607"/>
      <c r="F15" s="608"/>
      <c r="G15" s="105"/>
      <c r="H15" s="105"/>
      <c r="I15" s="106"/>
      <c r="J15" s="146">
        <f>J33/I33</f>
        <v>0.71794871794871795</v>
      </c>
      <c r="K15" s="550" t="s">
        <v>184</v>
      </c>
      <c r="L15" s="551"/>
      <c r="M15" s="62"/>
      <c r="N15" s="512"/>
      <c r="O15" s="513"/>
      <c r="P15" s="171"/>
      <c r="Q15" s="110"/>
      <c r="R15" s="519"/>
      <c r="S15" s="517"/>
    </row>
    <row r="16" spans="1:24" s="68" customFormat="1" ht="15.75" customHeight="1" thickTop="1" x14ac:dyDescent="0.25">
      <c r="A16" s="63" t="s">
        <v>7</v>
      </c>
      <c r="B16" s="618" t="s">
        <v>198</v>
      </c>
      <c r="C16" s="540" t="s">
        <v>199</v>
      </c>
      <c r="D16" s="540"/>
      <c r="E16" s="540"/>
      <c r="F16" s="540"/>
      <c r="G16" s="64" t="s">
        <v>26</v>
      </c>
      <c r="H16" s="65" t="s">
        <v>12</v>
      </c>
      <c r="I16" s="139">
        <v>50</v>
      </c>
      <c r="J16" s="145">
        <f>I16</f>
        <v>50</v>
      </c>
      <c r="K16" s="147">
        <f>IF(A16="Y", IF($K$15="BASE-UP",I16*2%, IF($K$15="TOP-DOWN", J16*2%,0)),0)</f>
        <v>1</v>
      </c>
      <c r="L16" s="151">
        <f t="shared" ref="L16:L32" si="0">IF($K$15="BASE-UP", I16-K16, IF($K$15="TOP-DOWN", J16-K16,0))</f>
        <v>49</v>
      </c>
      <c r="M16" s="149"/>
      <c r="N16" s="529"/>
      <c r="O16" s="530"/>
      <c r="P16" s="172">
        <v>50</v>
      </c>
      <c r="Q16" s="66"/>
      <c r="R16" s="145">
        <f>P16-L16</f>
        <v>1</v>
      </c>
      <c r="S16" s="94"/>
      <c r="T16" s="114"/>
      <c r="U16" s="114"/>
      <c r="V16" s="114"/>
      <c r="W16" s="114"/>
      <c r="X16" s="114"/>
    </row>
    <row r="17" spans="1:24" s="68" customFormat="1" ht="15.75" customHeight="1" x14ac:dyDescent="0.25">
      <c r="A17" s="63" t="s">
        <v>7</v>
      </c>
      <c r="B17" s="618"/>
      <c r="C17" s="533" t="s">
        <v>231</v>
      </c>
      <c r="D17" s="533"/>
      <c r="E17" s="533"/>
      <c r="F17" s="533"/>
      <c r="G17" s="70" t="s">
        <v>26</v>
      </c>
      <c r="H17" s="71" t="s">
        <v>12</v>
      </c>
      <c r="I17" s="141">
        <v>50</v>
      </c>
      <c r="J17" s="140">
        <f>I17</f>
        <v>50</v>
      </c>
      <c r="K17" s="147">
        <f t="shared" ref="K17:K42" si="1">IF(A17="Y", IF($K$15="BASE-UP",I17*2%, IF($K$15="TOP-DOWN", J17*2%,0)),0)</f>
        <v>1</v>
      </c>
      <c r="L17" s="152">
        <f t="shared" si="0"/>
        <v>49</v>
      </c>
      <c r="M17" s="149"/>
      <c r="N17" s="510"/>
      <c r="O17" s="511"/>
      <c r="P17" s="72"/>
      <c r="Q17" s="66"/>
      <c r="R17" s="140">
        <f t="shared" ref="R17:R43" si="2">P17-L17</f>
        <v>-49</v>
      </c>
      <c r="S17" s="67"/>
      <c r="T17" s="114"/>
      <c r="U17" s="114"/>
      <c r="V17" s="114"/>
      <c r="W17" s="114"/>
      <c r="X17" s="114"/>
    </row>
    <row r="18" spans="1:24" s="68" customFormat="1" ht="15.75" customHeight="1" x14ac:dyDescent="0.25">
      <c r="A18" s="63" t="s">
        <v>7</v>
      </c>
      <c r="B18" s="618"/>
      <c r="C18" s="533" t="s">
        <v>200</v>
      </c>
      <c r="D18" s="533"/>
      <c r="E18" s="533"/>
      <c r="F18" s="533"/>
      <c r="G18" s="70" t="s">
        <v>25</v>
      </c>
      <c r="H18" s="71" t="s">
        <v>44</v>
      </c>
      <c r="I18" s="141">
        <v>20</v>
      </c>
      <c r="J18" s="140">
        <f>I18</f>
        <v>20</v>
      </c>
      <c r="K18" s="147">
        <f t="shared" si="1"/>
        <v>0.4</v>
      </c>
      <c r="L18" s="152">
        <f t="shared" si="0"/>
        <v>19.600000000000001</v>
      </c>
      <c r="M18" s="149"/>
      <c r="N18" s="510"/>
      <c r="O18" s="511"/>
      <c r="P18" s="72"/>
      <c r="Q18" s="66"/>
      <c r="R18" s="140">
        <f t="shared" si="2"/>
        <v>-19.600000000000001</v>
      </c>
      <c r="S18" s="67"/>
      <c r="T18" s="114"/>
      <c r="U18" s="114"/>
      <c r="V18" s="114"/>
      <c r="W18" s="114"/>
      <c r="X18" s="114"/>
    </row>
    <row r="19" spans="1:24" s="68" customFormat="1" ht="15.75" customHeight="1" x14ac:dyDescent="0.25">
      <c r="A19" s="63" t="s">
        <v>7</v>
      </c>
      <c r="B19" s="618"/>
      <c r="C19" s="533" t="s">
        <v>169</v>
      </c>
      <c r="D19" s="533"/>
      <c r="E19" s="533"/>
      <c r="F19" s="533"/>
      <c r="G19" s="70" t="s">
        <v>26</v>
      </c>
      <c r="H19" s="71" t="s">
        <v>21</v>
      </c>
      <c r="I19" s="140">
        <f>(D10-SUM(I16:I18))*D8</f>
        <v>270</v>
      </c>
      <c r="J19" s="140">
        <f>((SUM(I16:I20)*J15)-SUM(J16:J18))*D8</f>
        <v>160</v>
      </c>
      <c r="K19" s="147">
        <f t="shared" si="1"/>
        <v>5.4</v>
      </c>
      <c r="L19" s="152">
        <f t="shared" si="0"/>
        <v>264.60000000000002</v>
      </c>
      <c r="M19" s="149"/>
      <c r="N19" s="510"/>
      <c r="O19" s="511"/>
      <c r="P19" s="72"/>
      <c r="Q19" s="66"/>
      <c r="R19" s="140">
        <f t="shared" si="2"/>
        <v>-264.60000000000002</v>
      </c>
      <c r="S19" s="67"/>
      <c r="T19" s="114"/>
      <c r="U19" s="114"/>
      <c r="V19" s="114"/>
      <c r="W19" s="114"/>
      <c r="X19" s="114"/>
    </row>
    <row r="20" spans="1:24" s="68" customFormat="1" ht="15.75" customHeight="1" x14ac:dyDescent="0.25">
      <c r="A20" s="63" t="s">
        <v>7</v>
      </c>
      <c r="B20" s="619"/>
      <c r="C20" s="533" t="s">
        <v>170</v>
      </c>
      <c r="D20" s="533"/>
      <c r="E20" s="533"/>
      <c r="F20" s="533"/>
      <c r="G20" s="70" t="s">
        <v>45</v>
      </c>
      <c r="H20" s="71" t="s">
        <v>19</v>
      </c>
      <c r="I20" s="140">
        <f>(D10-SUM(I16:I18))*D9</f>
        <v>0</v>
      </c>
      <c r="J20" s="140">
        <f>((SUM(I16:I20)*J15)-SUM(J16:J18))*D9</f>
        <v>0</v>
      </c>
      <c r="K20" s="147">
        <f t="shared" si="1"/>
        <v>0</v>
      </c>
      <c r="L20" s="152">
        <f t="shared" si="0"/>
        <v>0</v>
      </c>
      <c r="M20" s="149"/>
      <c r="N20" s="510"/>
      <c r="O20" s="511"/>
      <c r="P20" s="72"/>
      <c r="Q20" s="66"/>
      <c r="R20" s="140">
        <f t="shared" si="2"/>
        <v>0</v>
      </c>
      <c r="S20" s="67"/>
      <c r="T20" s="114"/>
      <c r="U20" s="114"/>
      <c r="V20" s="114"/>
      <c r="W20" s="114"/>
      <c r="X20" s="114"/>
    </row>
    <row r="21" spans="1:24" s="68" customFormat="1" ht="15.75" customHeight="1" x14ac:dyDescent="0.25">
      <c r="A21" s="63" t="s">
        <v>7</v>
      </c>
      <c r="B21" s="69">
        <v>7</v>
      </c>
      <c r="C21" s="533" t="s">
        <v>171</v>
      </c>
      <c r="D21" s="533"/>
      <c r="E21" s="533"/>
      <c r="F21" s="533"/>
      <c r="G21" s="70" t="s">
        <v>25</v>
      </c>
      <c r="H21" s="71" t="s">
        <v>20</v>
      </c>
      <c r="I21" s="140">
        <f>$D$11*B21</f>
        <v>273</v>
      </c>
      <c r="J21" s="140">
        <f>$J$15*I21</f>
        <v>196</v>
      </c>
      <c r="K21" s="147">
        <f t="shared" si="1"/>
        <v>5.46</v>
      </c>
      <c r="L21" s="152">
        <f t="shared" si="0"/>
        <v>267.54000000000002</v>
      </c>
      <c r="M21" s="149"/>
      <c r="N21" s="510"/>
      <c r="O21" s="511"/>
      <c r="P21" s="74"/>
      <c r="Q21" s="75"/>
      <c r="R21" s="140">
        <f t="shared" si="2"/>
        <v>-267.54000000000002</v>
      </c>
      <c r="S21" s="67"/>
      <c r="T21" s="114"/>
      <c r="U21" s="114"/>
      <c r="V21" s="114"/>
      <c r="W21" s="114"/>
      <c r="X21" s="114"/>
    </row>
    <row r="22" spans="1:24" s="68" customFormat="1" ht="15.75" customHeight="1" x14ac:dyDescent="0.25">
      <c r="A22" s="63" t="s">
        <v>7</v>
      </c>
      <c r="B22" s="69">
        <v>3</v>
      </c>
      <c r="C22" s="510" t="s">
        <v>172</v>
      </c>
      <c r="D22" s="531"/>
      <c r="E22" s="531"/>
      <c r="F22" s="532"/>
      <c r="G22" s="70" t="s">
        <v>26</v>
      </c>
      <c r="H22" s="71" t="s">
        <v>21</v>
      </c>
      <c r="I22" s="140">
        <f t="shared" ref="I22:I31" si="3">$D$11*B22</f>
        <v>117</v>
      </c>
      <c r="J22" s="140">
        <f t="shared" ref="J22:J32" si="4">$J$15*I22</f>
        <v>84</v>
      </c>
      <c r="K22" s="147">
        <f t="shared" si="1"/>
        <v>2.34</v>
      </c>
      <c r="L22" s="152">
        <f t="shared" si="0"/>
        <v>114.66</v>
      </c>
      <c r="M22" s="149"/>
      <c r="N22" s="510"/>
      <c r="O22" s="511"/>
      <c r="P22" s="72"/>
      <c r="Q22" s="66"/>
      <c r="R22" s="140">
        <f t="shared" si="2"/>
        <v>-114.66</v>
      </c>
      <c r="S22" s="67"/>
      <c r="T22" s="114"/>
      <c r="U22" s="114"/>
      <c r="V22" s="114"/>
      <c r="W22" s="114"/>
      <c r="X22" s="114"/>
    </row>
    <row r="23" spans="1:24" s="68" customFormat="1" ht="15.75" customHeight="1" x14ac:dyDescent="0.25">
      <c r="A23" s="63" t="s">
        <v>7</v>
      </c>
      <c r="B23" s="69">
        <v>1</v>
      </c>
      <c r="C23" s="510" t="s">
        <v>173</v>
      </c>
      <c r="D23" s="531"/>
      <c r="E23" s="531"/>
      <c r="F23" s="532"/>
      <c r="G23" s="70" t="s">
        <v>26</v>
      </c>
      <c r="H23" s="71" t="s">
        <v>48</v>
      </c>
      <c r="I23" s="140">
        <f t="shared" si="3"/>
        <v>39</v>
      </c>
      <c r="J23" s="140">
        <f t="shared" si="4"/>
        <v>28</v>
      </c>
      <c r="K23" s="147">
        <f t="shared" si="1"/>
        <v>0.78</v>
      </c>
      <c r="L23" s="152">
        <f t="shared" si="0"/>
        <v>38.22</v>
      </c>
      <c r="M23" s="149"/>
      <c r="N23" s="510"/>
      <c r="O23" s="511"/>
      <c r="P23" s="72"/>
      <c r="Q23" s="66"/>
      <c r="R23" s="140">
        <f t="shared" si="2"/>
        <v>-38.22</v>
      </c>
      <c r="S23" s="67"/>
      <c r="T23" s="114"/>
      <c r="U23" s="114"/>
      <c r="V23" s="114"/>
      <c r="W23" s="114"/>
      <c r="X23" s="114"/>
    </row>
    <row r="24" spans="1:24" s="68" customFormat="1" ht="15.75" customHeight="1" x14ac:dyDescent="0.25">
      <c r="A24" s="63" t="s">
        <v>7</v>
      </c>
      <c r="B24" s="69">
        <v>3</v>
      </c>
      <c r="C24" s="510" t="s">
        <v>226</v>
      </c>
      <c r="D24" s="531"/>
      <c r="E24" s="531"/>
      <c r="F24" s="532"/>
      <c r="G24" s="70" t="s">
        <v>25</v>
      </c>
      <c r="H24" s="71" t="s">
        <v>60</v>
      </c>
      <c r="I24" s="140">
        <f t="shared" si="3"/>
        <v>117</v>
      </c>
      <c r="J24" s="140">
        <f t="shared" si="4"/>
        <v>84</v>
      </c>
      <c r="K24" s="147">
        <f t="shared" si="1"/>
        <v>2.34</v>
      </c>
      <c r="L24" s="152">
        <f t="shared" si="0"/>
        <v>114.66</v>
      </c>
      <c r="M24" s="149"/>
      <c r="N24" s="510"/>
      <c r="O24" s="511"/>
      <c r="P24" s="72"/>
      <c r="Q24" s="66"/>
      <c r="R24" s="140">
        <f t="shared" si="2"/>
        <v>-114.66</v>
      </c>
      <c r="S24" s="67"/>
      <c r="T24" s="114"/>
      <c r="U24" s="114"/>
      <c r="V24" s="114"/>
      <c r="W24" s="114"/>
      <c r="X24" s="114"/>
    </row>
    <row r="25" spans="1:24" s="68" customFormat="1" ht="15.75" customHeight="1" x14ac:dyDescent="0.25">
      <c r="A25" s="63" t="s">
        <v>7</v>
      </c>
      <c r="B25" s="163">
        <v>2</v>
      </c>
      <c r="C25" s="533" t="s">
        <v>174</v>
      </c>
      <c r="D25" s="533"/>
      <c r="E25" s="609" t="str">
        <f>IF(SUM(B25:B28)=7,"GC 76000 PA ($7 for every 10) breakdown per local board of supervisor resolution (BOS).","ERROR! GC 76000 PA total is not $7. Check Court's board resolution.")</f>
        <v>GC 76000 PA ($7 for every 10) breakdown per local board of supervisor resolution (BOS).</v>
      </c>
      <c r="F25" s="610"/>
      <c r="G25" s="70" t="s">
        <v>26</v>
      </c>
      <c r="H25" s="71" t="s">
        <v>56</v>
      </c>
      <c r="I25" s="140">
        <f t="shared" si="3"/>
        <v>78</v>
      </c>
      <c r="J25" s="140">
        <f t="shared" si="4"/>
        <v>56</v>
      </c>
      <c r="K25" s="147">
        <f t="shared" si="1"/>
        <v>1.56</v>
      </c>
      <c r="L25" s="152">
        <f t="shared" si="0"/>
        <v>76.44</v>
      </c>
      <c r="M25" s="149"/>
      <c r="N25" s="510"/>
      <c r="O25" s="511"/>
      <c r="P25" s="72"/>
      <c r="Q25" s="66"/>
      <c r="R25" s="140">
        <f t="shared" si="2"/>
        <v>-76.44</v>
      </c>
      <c r="S25" s="67"/>
      <c r="T25" s="114"/>
      <c r="U25" s="114"/>
      <c r="V25" s="114"/>
      <c r="W25" s="114"/>
      <c r="X25" s="114"/>
    </row>
    <row r="26" spans="1:24" s="68" customFormat="1" ht="15.75" customHeight="1" x14ac:dyDescent="0.25">
      <c r="A26" s="63" t="s">
        <v>7</v>
      </c>
      <c r="B26" s="163">
        <v>3</v>
      </c>
      <c r="C26" s="533" t="s">
        <v>175</v>
      </c>
      <c r="D26" s="533"/>
      <c r="E26" s="611"/>
      <c r="F26" s="612"/>
      <c r="G26" s="70" t="s">
        <v>26</v>
      </c>
      <c r="H26" s="71" t="s">
        <v>28</v>
      </c>
      <c r="I26" s="140">
        <f t="shared" si="3"/>
        <v>117</v>
      </c>
      <c r="J26" s="140">
        <f t="shared" si="4"/>
        <v>84</v>
      </c>
      <c r="K26" s="147">
        <f t="shared" si="1"/>
        <v>2.34</v>
      </c>
      <c r="L26" s="152">
        <f t="shared" si="0"/>
        <v>114.66</v>
      </c>
      <c r="M26" s="149"/>
      <c r="N26" s="510"/>
      <c r="O26" s="511"/>
      <c r="P26" s="72"/>
      <c r="Q26" s="66"/>
      <c r="R26" s="140">
        <f t="shared" si="2"/>
        <v>-114.66</v>
      </c>
      <c r="S26" s="67"/>
      <c r="T26" s="114"/>
      <c r="U26" s="114"/>
      <c r="V26" s="114"/>
      <c r="W26" s="114"/>
      <c r="X26" s="114"/>
    </row>
    <row r="27" spans="1:24" s="68" customFormat="1" ht="15.75" customHeight="1" x14ac:dyDescent="0.25">
      <c r="A27" s="63" t="s">
        <v>7</v>
      </c>
      <c r="B27" s="163">
        <v>2</v>
      </c>
      <c r="C27" s="533" t="s">
        <v>176</v>
      </c>
      <c r="D27" s="533"/>
      <c r="E27" s="611"/>
      <c r="F27" s="612"/>
      <c r="G27" s="70" t="s">
        <v>26</v>
      </c>
      <c r="H27" s="71" t="s">
        <v>57</v>
      </c>
      <c r="I27" s="140">
        <f t="shared" si="3"/>
        <v>78</v>
      </c>
      <c r="J27" s="140">
        <f t="shared" si="4"/>
        <v>56</v>
      </c>
      <c r="K27" s="147">
        <f t="shared" si="1"/>
        <v>1.56</v>
      </c>
      <c r="L27" s="152">
        <f t="shared" si="0"/>
        <v>76.44</v>
      </c>
      <c r="M27" s="149"/>
      <c r="N27" s="510"/>
      <c r="O27" s="511"/>
      <c r="P27" s="72"/>
      <c r="Q27" s="66"/>
      <c r="R27" s="140">
        <f t="shared" si="2"/>
        <v>-76.44</v>
      </c>
      <c r="S27" s="67"/>
      <c r="T27" s="114"/>
      <c r="U27" s="114"/>
      <c r="V27" s="114"/>
      <c r="W27" s="114"/>
      <c r="X27" s="114"/>
    </row>
    <row r="28" spans="1:24" s="68" customFormat="1" ht="15.75" customHeight="1" x14ac:dyDescent="0.25">
      <c r="A28" s="63" t="s">
        <v>7</v>
      </c>
      <c r="B28" s="163"/>
      <c r="C28" s="533" t="s">
        <v>211</v>
      </c>
      <c r="D28" s="533"/>
      <c r="E28" s="613"/>
      <c r="F28" s="614"/>
      <c r="G28" s="70" t="s">
        <v>26</v>
      </c>
      <c r="H28" s="71"/>
      <c r="I28" s="140">
        <f t="shared" si="3"/>
        <v>0</v>
      </c>
      <c r="J28" s="140">
        <f t="shared" si="4"/>
        <v>0</v>
      </c>
      <c r="K28" s="147">
        <f t="shared" si="1"/>
        <v>0</v>
      </c>
      <c r="L28" s="152">
        <f t="shared" si="0"/>
        <v>0</v>
      </c>
      <c r="M28" s="149"/>
      <c r="N28" s="510"/>
      <c r="O28" s="511"/>
      <c r="P28" s="72"/>
      <c r="Q28" s="66"/>
      <c r="R28" s="140">
        <f t="shared" si="2"/>
        <v>0</v>
      </c>
      <c r="S28" s="67"/>
      <c r="T28" s="114"/>
      <c r="U28" s="114"/>
      <c r="V28" s="114"/>
      <c r="W28" s="114"/>
      <c r="X28" s="114"/>
    </row>
    <row r="29" spans="1:24" s="68" customFormat="1" ht="15.75" customHeight="1" x14ac:dyDescent="0.25">
      <c r="A29" s="63" t="s">
        <v>7</v>
      </c>
      <c r="B29" s="73">
        <v>2</v>
      </c>
      <c r="C29" s="510" t="s">
        <v>234</v>
      </c>
      <c r="D29" s="531"/>
      <c r="E29" s="531"/>
      <c r="F29" s="532"/>
      <c r="G29" s="70" t="s">
        <v>26</v>
      </c>
      <c r="H29" s="71" t="s">
        <v>29</v>
      </c>
      <c r="I29" s="140">
        <f t="shared" si="3"/>
        <v>78</v>
      </c>
      <c r="J29" s="140">
        <f t="shared" si="4"/>
        <v>56</v>
      </c>
      <c r="K29" s="147">
        <f t="shared" si="1"/>
        <v>1.56</v>
      </c>
      <c r="L29" s="152">
        <f t="shared" si="0"/>
        <v>76.44</v>
      </c>
      <c r="M29" s="149"/>
      <c r="N29" s="510"/>
      <c r="O29" s="511"/>
      <c r="P29" s="72"/>
      <c r="Q29" s="66"/>
      <c r="R29" s="140">
        <f>P29-L29</f>
        <v>-76.44</v>
      </c>
      <c r="S29" s="67"/>
      <c r="T29" s="114"/>
      <c r="U29" s="114"/>
      <c r="V29" s="114"/>
      <c r="W29" s="114"/>
      <c r="X29" s="114"/>
    </row>
    <row r="30" spans="1:24" s="68" customFormat="1" ht="15.75" customHeight="1" x14ac:dyDescent="0.25">
      <c r="A30" s="63" t="s">
        <v>7</v>
      </c>
      <c r="B30" s="164">
        <f>5-B25</f>
        <v>3</v>
      </c>
      <c r="C30" s="510" t="s">
        <v>228</v>
      </c>
      <c r="D30" s="531"/>
      <c r="E30" s="531"/>
      <c r="F30" s="601" t="s">
        <v>229</v>
      </c>
      <c r="G30" s="70" t="s">
        <v>25</v>
      </c>
      <c r="H30" s="71" t="s">
        <v>30</v>
      </c>
      <c r="I30" s="140">
        <f t="shared" si="3"/>
        <v>117</v>
      </c>
      <c r="J30" s="140">
        <f t="shared" si="4"/>
        <v>84</v>
      </c>
      <c r="K30" s="147">
        <f t="shared" si="1"/>
        <v>2.34</v>
      </c>
      <c r="L30" s="152">
        <f t="shared" si="0"/>
        <v>114.66</v>
      </c>
      <c r="M30" s="149"/>
      <c r="N30" s="510"/>
      <c r="O30" s="511"/>
      <c r="P30" s="72"/>
      <c r="Q30" s="66"/>
      <c r="R30" s="140">
        <f t="shared" si="2"/>
        <v>-114.66</v>
      </c>
      <c r="S30" s="67"/>
      <c r="T30" s="114"/>
      <c r="U30" s="114"/>
      <c r="V30" s="114"/>
      <c r="W30" s="114"/>
      <c r="X30" s="114"/>
    </row>
    <row r="31" spans="1:24" s="68" customFormat="1" ht="15.75" customHeight="1" x14ac:dyDescent="0.25">
      <c r="A31" s="63" t="s">
        <v>7</v>
      </c>
      <c r="B31" s="164">
        <f>B25</f>
        <v>2</v>
      </c>
      <c r="C31" s="510" t="s">
        <v>227</v>
      </c>
      <c r="D31" s="531"/>
      <c r="E31" s="531"/>
      <c r="F31" s="602"/>
      <c r="G31" s="70" t="s">
        <v>25</v>
      </c>
      <c r="H31" s="71" t="s">
        <v>158</v>
      </c>
      <c r="I31" s="140">
        <f t="shared" si="3"/>
        <v>78</v>
      </c>
      <c r="J31" s="140">
        <f t="shared" si="4"/>
        <v>56</v>
      </c>
      <c r="K31" s="147">
        <f t="shared" si="1"/>
        <v>1.56</v>
      </c>
      <c r="L31" s="152">
        <f t="shared" si="0"/>
        <v>76.44</v>
      </c>
      <c r="M31" s="149"/>
      <c r="N31" s="510"/>
      <c r="O31" s="511"/>
      <c r="P31" s="72"/>
      <c r="Q31" s="66"/>
      <c r="R31" s="140">
        <f t="shared" si="2"/>
        <v>-76.44</v>
      </c>
      <c r="S31" s="67"/>
      <c r="T31" s="114"/>
      <c r="U31" s="114"/>
      <c r="V31" s="114"/>
      <c r="W31" s="114"/>
      <c r="X31" s="114"/>
    </row>
    <row r="32" spans="1:24" s="68" customFormat="1" ht="15.75" customHeight="1" x14ac:dyDescent="0.25">
      <c r="A32" s="63"/>
      <c r="B32" s="69"/>
      <c r="C32" s="510" t="s">
        <v>177</v>
      </c>
      <c r="D32" s="531"/>
      <c r="E32" s="531"/>
      <c r="F32" s="532"/>
      <c r="G32" s="70" t="s">
        <v>25</v>
      </c>
      <c r="H32" s="71" t="s">
        <v>9</v>
      </c>
      <c r="I32" s="140">
        <f>$D$10*20%</f>
        <v>78</v>
      </c>
      <c r="J32" s="140">
        <f t="shared" si="4"/>
        <v>56</v>
      </c>
      <c r="K32" s="147"/>
      <c r="L32" s="152">
        <f t="shared" si="0"/>
        <v>78</v>
      </c>
      <c r="M32" s="149"/>
      <c r="N32" s="510"/>
      <c r="O32" s="511"/>
      <c r="P32" s="72"/>
      <c r="Q32" s="66"/>
      <c r="R32" s="140">
        <f t="shared" si="2"/>
        <v>-78</v>
      </c>
      <c r="S32" s="67"/>
      <c r="T32" s="114"/>
      <c r="U32" s="114"/>
      <c r="V32" s="114"/>
      <c r="W32" s="114"/>
      <c r="X32" s="114"/>
    </row>
    <row r="33" spans="1:24" s="80" customFormat="1" ht="15.75" customHeight="1" x14ac:dyDescent="0.25">
      <c r="A33" s="63"/>
      <c r="B33" s="76"/>
      <c r="C33" s="534" t="s">
        <v>178</v>
      </c>
      <c r="D33" s="535"/>
      <c r="E33" s="535"/>
      <c r="F33" s="536"/>
      <c r="G33" s="77"/>
      <c r="H33" s="78"/>
      <c r="I33" s="142">
        <f>SUM(I16:I32)</f>
        <v>1560</v>
      </c>
      <c r="J33" s="142">
        <f>J45-SUM(J34:J42)</f>
        <v>1120</v>
      </c>
      <c r="K33" s="147"/>
      <c r="L33" s="153">
        <f>SUM(L16:L32)</f>
        <v>1530.3600000000004</v>
      </c>
      <c r="M33" s="150"/>
      <c r="N33" s="510"/>
      <c r="O33" s="511"/>
      <c r="P33" s="166">
        <f>SUM(P16:P32)</f>
        <v>50</v>
      </c>
      <c r="Q33" s="111"/>
      <c r="R33" s="142">
        <f t="shared" si="2"/>
        <v>-1480.3600000000004</v>
      </c>
      <c r="S33" s="79"/>
      <c r="T33" s="129"/>
      <c r="U33" s="129"/>
      <c r="V33" s="129"/>
      <c r="W33" s="129"/>
      <c r="X33" s="129"/>
    </row>
    <row r="34" spans="1:24" s="68" customFormat="1" ht="15.75" customHeight="1" x14ac:dyDescent="0.25">
      <c r="A34" s="63" t="s">
        <v>6</v>
      </c>
      <c r="B34" s="69"/>
      <c r="C34" s="510" t="s">
        <v>235</v>
      </c>
      <c r="D34" s="531"/>
      <c r="E34" s="531"/>
      <c r="F34" s="532"/>
      <c r="G34" s="70" t="s">
        <v>25</v>
      </c>
      <c r="H34" s="81" t="s">
        <v>32</v>
      </c>
      <c r="I34" s="177">
        <v>30</v>
      </c>
      <c r="J34" s="140">
        <f>I34</f>
        <v>30</v>
      </c>
      <c r="K34" s="147">
        <f t="shared" si="1"/>
        <v>0</v>
      </c>
      <c r="L34" s="152">
        <f t="shared" ref="L34:L42" si="5">IF($K$15="BASE-UP", I34-K34, IF($K$15="TOP-DOWN", J34-K34,0))</f>
        <v>30</v>
      </c>
      <c r="M34" s="149"/>
      <c r="N34" s="510"/>
      <c r="O34" s="511"/>
      <c r="P34" s="72"/>
      <c r="Q34" s="66"/>
      <c r="R34" s="140">
        <f t="shared" si="2"/>
        <v>-30</v>
      </c>
      <c r="S34" s="67"/>
      <c r="T34" s="114"/>
      <c r="U34" s="114"/>
      <c r="V34" s="114"/>
      <c r="W34" s="114"/>
      <c r="X34" s="114"/>
    </row>
    <row r="35" spans="1:24" s="68" customFormat="1" ht="15.75" customHeight="1" x14ac:dyDescent="0.25">
      <c r="A35" s="63" t="s">
        <v>6</v>
      </c>
      <c r="B35" s="69"/>
      <c r="C35" s="537" t="s">
        <v>216</v>
      </c>
      <c r="D35" s="538"/>
      <c r="E35" s="538"/>
      <c r="F35" s="539"/>
      <c r="G35" s="84" t="s">
        <v>25</v>
      </c>
      <c r="H35" s="82" t="s">
        <v>158</v>
      </c>
      <c r="I35" s="177">
        <v>30</v>
      </c>
      <c r="J35" s="140">
        <f t="shared" ref="J35:J42" si="6">I35</f>
        <v>30</v>
      </c>
      <c r="K35" s="147">
        <f t="shared" si="1"/>
        <v>0</v>
      </c>
      <c r="L35" s="152">
        <f t="shared" si="5"/>
        <v>30</v>
      </c>
      <c r="M35" s="149"/>
      <c r="N35" s="510"/>
      <c r="O35" s="511"/>
      <c r="P35" s="72"/>
      <c r="Q35" s="66"/>
      <c r="R35" s="140">
        <f t="shared" si="2"/>
        <v>-30</v>
      </c>
      <c r="S35" s="67"/>
      <c r="T35" s="114"/>
      <c r="U35" s="114"/>
      <c r="V35" s="114"/>
      <c r="W35" s="114"/>
      <c r="X35" s="114"/>
    </row>
    <row r="36" spans="1:24" s="68" customFormat="1" ht="15.75" customHeight="1" x14ac:dyDescent="0.25">
      <c r="A36" s="63" t="s">
        <v>6</v>
      </c>
      <c r="B36" s="83"/>
      <c r="C36" s="537" t="s">
        <v>189</v>
      </c>
      <c r="D36" s="538"/>
      <c r="E36" s="538"/>
      <c r="F36" s="539"/>
      <c r="G36" s="84" t="s">
        <v>208</v>
      </c>
      <c r="H36" s="82" t="s">
        <v>18</v>
      </c>
      <c r="I36" s="177">
        <v>10</v>
      </c>
      <c r="J36" s="140">
        <f t="shared" si="6"/>
        <v>10</v>
      </c>
      <c r="K36" s="147">
        <f t="shared" si="1"/>
        <v>0</v>
      </c>
      <c r="L36" s="152">
        <f t="shared" si="5"/>
        <v>10</v>
      </c>
      <c r="M36" s="149"/>
      <c r="N36" s="510"/>
      <c r="O36" s="511"/>
      <c r="P36" s="72"/>
      <c r="Q36" s="66"/>
      <c r="R36" s="140">
        <f t="shared" si="2"/>
        <v>-10</v>
      </c>
      <c r="S36" s="71"/>
      <c r="T36" s="114"/>
      <c r="U36" s="114"/>
      <c r="V36" s="114"/>
      <c r="W36" s="114"/>
      <c r="X36" s="114"/>
    </row>
    <row r="37" spans="1:24" s="68" customFormat="1" ht="15.75" customHeight="1" x14ac:dyDescent="0.25">
      <c r="A37" s="63" t="s">
        <v>6</v>
      </c>
      <c r="B37" s="83"/>
      <c r="C37" s="537" t="s">
        <v>179</v>
      </c>
      <c r="D37" s="538"/>
      <c r="E37" s="538"/>
      <c r="F37" s="539"/>
      <c r="G37" s="84" t="s">
        <v>26</v>
      </c>
      <c r="H37" s="82" t="s">
        <v>13</v>
      </c>
      <c r="I37" s="177">
        <v>50</v>
      </c>
      <c r="J37" s="140">
        <f t="shared" si="6"/>
        <v>50</v>
      </c>
      <c r="K37" s="147">
        <f t="shared" si="1"/>
        <v>0</v>
      </c>
      <c r="L37" s="152">
        <f t="shared" si="5"/>
        <v>50</v>
      </c>
      <c r="M37" s="149"/>
      <c r="N37" s="510"/>
      <c r="O37" s="511"/>
      <c r="P37" s="72"/>
      <c r="Q37" s="66"/>
      <c r="R37" s="140">
        <f t="shared" si="2"/>
        <v>-50</v>
      </c>
      <c r="S37" s="71"/>
      <c r="T37" s="114"/>
      <c r="U37" s="114"/>
      <c r="V37" s="114"/>
      <c r="W37" s="114"/>
      <c r="X37" s="114"/>
    </row>
    <row r="38" spans="1:24" s="68" customFormat="1" ht="15.75" customHeight="1" x14ac:dyDescent="0.25">
      <c r="A38" s="63" t="s">
        <v>6</v>
      </c>
      <c r="B38" s="83"/>
      <c r="C38" s="537" t="s">
        <v>232</v>
      </c>
      <c r="D38" s="538"/>
      <c r="E38" s="538"/>
      <c r="F38" s="539"/>
      <c r="G38" s="84" t="s">
        <v>26</v>
      </c>
      <c r="H38" s="82" t="s">
        <v>21</v>
      </c>
      <c r="I38" s="177">
        <v>150</v>
      </c>
      <c r="J38" s="140">
        <f t="shared" si="6"/>
        <v>150</v>
      </c>
      <c r="K38" s="147">
        <f t="shared" si="1"/>
        <v>0</v>
      </c>
      <c r="L38" s="152">
        <f t="shared" si="5"/>
        <v>150</v>
      </c>
      <c r="M38" s="149"/>
      <c r="N38" s="510"/>
      <c r="O38" s="511"/>
      <c r="P38" s="72"/>
      <c r="Q38" s="66"/>
      <c r="R38" s="140">
        <f t="shared" si="2"/>
        <v>-150</v>
      </c>
      <c r="S38" s="71"/>
      <c r="T38" s="114"/>
      <c r="U38" s="114"/>
      <c r="V38" s="114"/>
      <c r="W38" s="114"/>
      <c r="X38" s="114"/>
    </row>
    <row r="39" spans="1:24" s="68" customFormat="1" ht="15.75" customHeight="1" x14ac:dyDescent="0.25">
      <c r="A39" s="63" t="s">
        <v>7</v>
      </c>
      <c r="B39" s="83"/>
      <c r="C39" s="537" t="s">
        <v>180</v>
      </c>
      <c r="D39" s="538"/>
      <c r="E39" s="538"/>
      <c r="F39" s="539"/>
      <c r="G39" s="84" t="s">
        <v>25</v>
      </c>
      <c r="H39" s="82" t="s">
        <v>11</v>
      </c>
      <c r="I39" s="177">
        <v>100</v>
      </c>
      <c r="J39" s="140">
        <f t="shared" si="6"/>
        <v>100</v>
      </c>
      <c r="K39" s="147">
        <f t="shared" si="1"/>
        <v>2</v>
      </c>
      <c r="L39" s="152">
        <f t="shared" si="5"/>
        <v>98</v>
      </c>
      <c r="M39" s="149"/>
      <c r="N39" s="510"/>
      <c r="O39" s="511"/>
      <c r="P39" s="72"/>
      <c r="Q39" s="66"/>
      <c r="R39" s="140">
        <f t="shared" si="2"/>
        <v>-98</v>
      </c>
      <c r="S39" s="71"/>
      <c r="T39" s="114"/>
      <c r="U39" s="114"/>
      <c r="V39" s="114"/>
      <c r="W39" s="114"/>
      <c r="X39" s="114"/>
    </row>
    <row r="40" spans="1:24" s="68" customFormat="1" ht="15.75" customHeight="1" x14ac:dyDescent="0.25">
      <c r="A40" s="63" t="s">
        <v>6</v>
      </c>
      <c r="B40" s="83"/>
      <c r="C40" s="537" t="s">
        <v>219</v>
      </c>
      <c r="D40" s="538"/>
      <c r="E40" s="538"/>
      <c r="F40" s="539"/>
      <c r="G40" s="84" t="s">
        <v>26</v>
      </c>
      <c r="H40" s="82" t="s">
        <v>21</v>
      </c>
      <c r="I40" s="177">
        <v>10</v>
      </c>
      <c r="J40" s="140">
        <f t="shared" si="6"/>
        <v>10</v>
      </c>
      <c r="K40" s="147">
        <f t="shared" si="1"/>
        <v>0</v>
      </c>
      <c r="L40" s="152">
        <f t="shared" si="5"/>
        <v>10</v>
      </c>
      <c r="M40" s="149"/>
      <c r="N40" s="510"/>
      <c r="O40" s="511"/>
      <c r="P40" s="72"/>
      <c r="Q40" s="66"/>
      <c r="R40" s="140">
        <f t="shared" si="2"/>
        <v>-10</v>
      </c>
      <c r="S40" s="71"/>
      <c r="T40" s="114"/>
      <c r="U40" s="114"/>
      <c r="V40" s="114"/>
      <c r="W40" s="114"/>
      <c r="X40" s="114"/>
    </row>
    <row r="41" spans="1:24" s="68" customFormat="1" ht="15.75" customHeight="1" x14ac:dyDescent="0.25">
      <c r="A41" s="63" t="s">
        <v>6</v>
      </c>
      <c r="B41" s="83"/>
      <c r="C41" s="537" t="s">
        <v>233</v>
      </c>
      <c r="D41" s="538"/>
      <c r="E41" s="538"/>
      <c r="F41" s="539"/>
      <c r="G41" s="84" t="s">
        <v>187</v>
      </c>
      <c r="H41" s="82" t="s">
        <v>68</v>
      </c>
      <c r="I41" s="177">
        <v>0</v>
      </c>
      <c r="J41" s="140">
        <f t="shared" si="6"/>
        <v>0</v>
      </c>
      <c r="K41" s="147">
        <f t="shared" si="1"/>
        <v>0</v>
      </c>
      <c r="L41" s="152">
        <f t="shared" si="5"/>
        <v>0</v>
      </c>
      <c r="M41" s="149"/>
      <c r="N41" s="510"/>
      <c r="O41" s="511"/>
      <c r="P41" s="72"/>
      <c r="Q41" s="66"/>
      <c r="R41" s="140">
        <f t="shared" si="2"/>
        <v>0</v>
      </c>
      <c r="S41" s="71"/>
      <c r="T41" s="114"/>
      <c r="U41" s="114"/>
      <c r="V41" s="114"/>
      <c r="W41" s="114"/>
      <c r="X41" s="114"/>
    </row>
    <row r="42" spans="1:24" s="68" customFormat="1" ht="15.75" customHeight="1" x14ac:dyDescent="0.25">
      <c r="A42" s="63" t="s">
        <v>6</v>
      </c>
      <c r="B42" s="83"/>
      <c r="C42" s="537" t="s">
        <v>182</v>
      </c>
      <c r="D42" s="538"/>
      <c r="E42" s="538"/>
      <c r="F42" s="539"/>
      <c r="G42" s="84" t="s">
        <v>25</v>
      </c>
      <c r="H42" s="82" t="s">
        <v>66</v>
      </c>
      <c r="I42" s="178"/>
      <c r="J42" s="140">
        <f t="shared" si="6"/>
        <v>0</v>
      </c>
      <c r="K42" s="147">
        <f t="shared" si="1"/>
        <v>0</v>
      </c>
      <c r="L42" s="152">
        <f t="shared" si="5"/>
        <v>0</v>
      </c>
      <c r="M42" s="149"/>
      <c r="N42" s="510"/>
      <c r="O42" s="511"/>
      <c r="P42" s="72"/>
      <c r="Q42" s="66"/>
      <c r="R42" s="140">
        <f t="shared" si="2"/>
        <v>0</v>
      </c>
      <c r="S42" s="71"/>
      <c r="T42" s="114"/>
      <c r="U42" s="114"/>
      <c r="V42" s="114"/>
      <c r="W42" s="114"/>
      <c r="X42" s="114"/>
    </row>
    <row r="43" spans="1:24" s="68" customFormat="1" ht="15.75" customHeight="1" x14ac:dyDescent="0.25">
      <c r="A43" s="83" t="s">
        <v>6</v>
      </c>
      <c r="B43" s="83"/>
      <c r="C43" s="537" t="s">
        <v>181</v>
      </c>
      <c r="D43" s="538"/>
      <c r="E43" s="538"/>
      <c r="F43" s="539"/>
      <c r="G43" s="84" t="s">
        <v>25</v>
      </c>
      <c r="H43" s="85" t="s">
        <v>34</v>
      </c>
      <c r="I43" s="86"/>
      <c r="J43" s="93"/>
      <c r="K43" s="148"/>
      <c r="L43" s="154">
        <f>K44</f>
        <v>31.639999999999997</v>
      </c>
      <c r="M43" s="149"/>
      <c r="N43" s="510"/>
      <c r="O43" s="511"/>
      <c r="P43" s="72"/>
      <c r="Q43" s="66"/>
      <c r="R43" s="140">
        <f t="shared" si="2"/>
        <v>-31.639999999999997</v>
      </c>
      <c r="S43" s="71"/>
      <c r="T43" s="114"/>
      <c r="U43" s="114"/>
      <c r="V43" s="114"/>
      <c r="W43" s="114"/>
      <c r="X43" s="114"/>
    </row>
    <row r="44" spans="1:24" s="114" customFormat="1" ht="14.5" x14ac:dyDescent="0.25">
      <c r="A44" s="112"/>
      <c r="B44" s="112"/>
      <c r="C44" s="112"/>
      <c r="D44" s="112"/>
      <c r="E44" s="113"/>
      <c r="F44" s="113"/>
      <c r="K44" s="115">
        <f>SUM(K16:K43)</f>
        <v>31.639999999999997</v>
      </c>
      <c r="L44" s="155"/>
      <c r="P44" s="116"/>
      <c r="Q44" s="117"/>
      <c r="R44" s="165"/>
      <c r="S44" s="118"/>
    </row>
    <row r="45" spans="1:24" s="95" customFormat="1" ht="16" thickBot="1" x14ac:dyDescent="0.3">
      <c r="A45" s="130"/>
      <c r="B45" s="130"/>
      <c r="C45" s="130"/>
      <c r="D45" s="130"/>
      <c r="E45" s="119"/>
      <c r="F45" s="131" t="s">
        <v>67</v>
      </c>
      <c r="G45" s="132"/>
      <c r="H45" s="133" t="s">
        <v>1</v>
      </c>
      <c r="I45" s="134">
        <f>SUM(I33:I44)</f>
        <v>1940</v>
      </c>
      <c r="J45" s="179">
        <v>1500</v>
      </c>
      <c r="K45" s="135"/>
      <c r="L45" s="156">
        <f>SUM(L33:L44)</f>
        <v>1940.0000000000005</v>
      </c>
      <c r="M45" s="136"/>
      <c r="N45" s="130" t="s">
        <v>1</v>
      </c>
      <c r="O45" s="130"/>
      <c r="P45" s="137">
        <f>SUM(P33:P44)</f>
        <v>50</v>
      </c>
      <c r="Q45" s="136"/>
      <c r="R45" s="175">
        <f>SUM(R33:R44)</f>
        <v>-1890.0000000000005</v>
      </c>
      <c r="S45" s="138"/>
    </row>
    <row r="46" spans="1:24" s="50" customFormat="1" ht="15.75" customHeight="1" thickTop="1" x14ac:dyDescent="0.25">
      <c r="A46" s="591" t="s">
        <v>54</v>
      </c>
      <c r="B46" s="591"/>
      <c r="C46" s="591"/>
      <c r="D46" s="182"/>
      <c r="E46" s="121"/>
      <c r="F46" s="121"/>
      <c r="J46" s="122"/>
      <c r="L46" s="123"/>
      <c r="M46" s="122"/>
      <c r="R46" s="124"/>
      <c r="S46" s="125"/>
    </row>
    <row r="47" spans="1:24" s="127" customFormat="1" ht="18" customHeight="1" x14ac:dyDescent="0.25">
      <c r="A47" s="126">
        <v>1</v>
      </c>
      <c r="B47" s="592"/>
      <c r="C47" s="592"/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</row>
    <row r="48" spans="1:24" s="127" customFormat="1" ht="18" customHeight="1" x14ac:dyDescent="0.25">
      <c r="A48" s="126">
        <v>2</v>
      </c>
      <c r="B48" s="592"/>
      <c r="C48" s="592"/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</row>
    <row r="49" spans="1:19" s="127" customFormat="1" ht="18" customHeight="1" x14ac:dyDescent="0.25">
      <c r="A49" s="126">
        <v>3</v>
      </c>
      <c r="B49" s="592"/>
      <c r="C49" s="592"/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</row>
    <row r="50" spans="1:19" s="50" customFormat="1" x14ac:dyDescent="0.25">
      <c r="A50" s="120"/>
      <c r="B50" s="120"/>
      <c r="C50" s="120"/>
      <c r="D50" s="120"/>
      <c r="E50" s="121"/>
      <c r="F50" s="121"/>
      <c r="L50" s="128"/>
      <c r="R50" s="124"/>
      <c r="S50" s="125"/>
    </row>
  </sheetData>
  <sheetProtection insertRows="0"/>
  <customSheetViews>
    <customSheetView guid="{07F1F502-9FC7-4878-A746-52E1655BD4FA}" scale="75" fitToPage="1" hiddenColumns="1" showRuler="0">
      <selection activeCell="U19" sqref="U19"/>
      <pageMargins left="0.25" right="0.25" top="0.75" bottom="0.5" header="0.25" footer="0.25"/>
      <printOptions horizontalCentered="1"/>
      <pageSetup scale="59" orientation="landscape" r:id="rId1"/>
      <headerFooter alignWithMargins="0">
        <oddHeader>&amp;CSUPERIOR OF COURT OF _________ COUNTY
Revenue Calculation and Distribution Worksheet</oddHeader>
        <oddFooter>&amp;L&amp;F&amp;R&amp;P of &amp;N</oddFooter>
      </headerFooter>
    </customSheetView>
  </customSheetViews>
  <mergeCells count="122">
    <mergeCell ref="A46:C46"/>
    <mergeCell ref="B49:S49"/>
    <mergeCell ref="B48:S48"/>
    <mergeCell ref="B47:S47"/>
    <mergeCell ref="D11:E11"/>
    <mergeCell ref="D10:E10"/>
    <mergeCell ref="A11:C11"/>
    <mergeCell ref="A10:C10"/>
    <mergeCell ref="F30:F31"/>
    <mergeCell ref="C31:E31"/>
    <mergeCell ref="I11:J11"/>
    <mergeCell ref="I10:J10"/>
    <mergeCell ref="C14:F15"/>
    <mergeCell ref="E25:F28"/>
    <mergeCell ref="C25:D25"/>
    <mergeCell ref="F11:G11"/>
    <mergeCell ref="I13:L13"/>
    <mergeCell ref="B16:B20"/>
    <mergeCell ref="C28:D28"/>
    <mergeCell ref="C27:D27"/>
    <mergeCell ref="C26:D26"/>
    <mergeCell ref="K11:M11"/>
    <mergeCell ref="K10:M10"/>
    <mergeCell ref="N18:O18"/>
    <mergeCell ref="L1:S1"/>
    <mergeCell ref="A1:K1"/>
    <mergeCell ref="D9:E9"/>
    <mergeCell ref="D8:E8"/>
    <mergeCell ref="D7:E7"/>
    <mergeCell ref="I4:J4"/>
    <mergeCell ref="K5:M5"/>
    <mergeCell ref="K4:M4"/>
    <mergeCell ref="I9:J9"/>
    <mergeCell ref="F8:G8"/>
    <mergeCell ref="A6:C6"/>
    <mergeCell ref="A5:C5"/>
    <mergeCell ref="A4:C4"/>
    <mergeCell ref="D4:E4"/>
    <mergeCell ref="A3:N3"/>
    <mergeCell ref="P3:S3"/>
    <mergeCell ref="P4:S4"/>
    <mergeCell ref="P5:S5"/>
    <mergeCell ref="F4:G4"/>
    <mergeCell ref="K15:L15"/>
    <mergeCell ref="F6:G6"/>
    <mergeCell ref="D5:E5"/>
    <mergeCell ref="K9:M9"/>
    <mergeCell ref="K8:M8"/>
    <mergeCell ref="K7:M7"/>
    <mergeCell ref="K6:M6"/>
    <mergeCell ref="F5:G5"/>
    <mergeCell ref="I6:J6"/>
    <mergeCell ref="I5:J5"/>
    <mergeCell ref="D6:E6"/>
    <mergeCell ref="I7:J7"/>
    <mergeCell ref="I8:J8"/>
    <mergeCell ref="C18:F18"/>
    <mergeCell ref="C17:F17"/>
    <mergeCell ref="C16:F16"/>
    <mergeCell ref="F7:G7"/>
    <mergeCell ref="A9:C9"/>
    <mergeCell ref="A8:C8"/>
    <mergeCell ref="A7:C7"/>
    <mergeCell ref="F10:G10"/>
    <mergeCell ref="F9:G9"/>
    <mergeCell ref="N40:O40"/>
    <mergeCell ref="N41:O41"/>
    <mergeCell ref="C33:F33"/>
    <mergeCell ref="C32:F32"/>
    <mergeCell ref="C37:F37"/>
    <mergeCell ref="C36:F36"/>
    <mergeCell ref="N43:O43"/>
    <mergeCell ref="N35:O35"/>
    <mergeCell ref="N36:O36"/>
    <mergeCell ref="N37:O37"/>
    <mergeCell ref="N38:O38"/>
    <mergeCell ref="N39:O39"/>
    <mergeCell ref="N42:O42"/>
    <mergeCell ref="C43:F43"/>
    <mergeCell ref="C42:F42"/>
    <mergeCell ref="C41:F41"/>
    <mergeCell ref="C40:F40"/>
    <mergeCell ref="C39:F39"/>
    <mergeCell ref="C38:F38"/>
    <mergeCell ref="C35:F35"/>
    <mergeCell ref="N26:O26"/>
    <mergeCell ref="N27:O27"/>
    <mergeCell ref="N30:O30"/>
    <mergeCell ref="N29:O29"/>
    <mergeCell ref="N28:O28"/>
    <mergeCell ref="C34:F34"/>
    <mergeCell ref="N31:O31"/>
    <mergeCell ref="C30:E30"/>
    <mergeCell ref="C29:F29"/>
    <mergeCell ref="N32:O32"/>
    <mergeCell ref="N33:O33"/>
    <mergeCell ref="N34:O34"/>
    <mergeCell ref="N25:O25"/>
    <mergeCell ref="C24:F24"/>
    <mergeCell ref="C23:F23"/>
    <mergeCell ref="C22:F22"/>
    <mergeCell ref="C21:F21"/>
    <mergeCell ref="N20:O20"/>
    <mergeCell ref="N21:O21"/>
    <mergeCell ref="N22:O22"/>
    <mergeCell ref="N19:O19"/>
    <mergeCell ref="C20:F20"/>
    <mergeCell ref="C19:F19"/>
    <mergeCell ref="P11:S11"/>
    <mergeCell ref="N13:P13"/>
    <mergeCell ref="P6:S6"/>
    <mergeCell ref="P7:S7"/>
    <mergeCell ref="N23:O23"/>
    <mergeCell ref="N24:O24"/>
    <mergeCell ref="N15:O15"/>
    <mergeCell ref="N14:O14"/>
    <mergeCell ref="S14:S15"/>
    <mergeCell ref="R14:R15"/>
    <mergeCell ref="P10:S10"/>
    <mergeCell ref="P8:S9"/>
    <mergeCell ref="N17:O17"/>
    <mergeCell ref="N16:O16"/>
  </mergeCells>
  <phoneticPr fontId="3" type="noConversion"/>
  <conditionalFormatting sqref="E25">
    <cfRule type="cellIs" dxfId="50" priority="2" operator="notEqual">
      <formula>"GC 76000 PA ($7 for every 10) breakdown per local board of supervisor resolution (BOS)."</formula>
    </cfRule>
  </conditionalFormatting>
  <conditionalFormatting sqref="H16:H24 H29:H32">
    <cfRule type="expression" dxfId="49" priority="12" stopIfTrue="1">
      <formula>MOD(ROW(),2)=0</formula>
    </cfRule>
  </conditionalFormatting>
  <conditionalFormatting sqref="H25:H29">
    <cfRule type="expression" dxfId="48" priority="14" stopIfTrue="1">
      <formula>MOD(ROW(), 2)=0</formula>
    </cfRule>
  </conditionalFormatting>
  <conditionalFormatting sqref="I16:I18">
    <cfRule type="cellIs" dxfId="47" priority="15" stopIfTrue="1" operator="equal">
      <formula>0</formula>
    </cfRule>
  </conditionalFormatting>
  <conditionalFormatting sqref="J16:L32 K17:K42 I19:I32 I29:L29 J34:L43">
    <cfRule type="cellIs" dxfId="46" priority="11" stopIfTrue="1" operator="equal">
      <formula>0</formula>
    </cfRule>
  </conditionalFormatting>
  <conditionalFormatting sqref="R12:R13 R46 R50:R65536">
    <cfRule type="cellIs" dxfId="45" priority="13" stopIfTrue="1" operator="notEqual">
      <formula>0</formula>
    </cfRule>
  </conditionalFormatting>
  <dataValidations count="1">
    <dataValidation type="list" allowBlank="1" showInputMessage="1" showErrorMessage="1" sqref="K15:L15" xr:uid="{00000000-0002-0000-0F00-000000000000}">
      <formula1>Distribution_Method</formula1>
    </dataValidation>
  </dataValidations>
  <printOptions horizontalCentered="1"/>
  <pageMargins left="0.25" right="0.25" top="0.75" bottom="0.5" header="0.25" footer="0.25"/>
  <pageSetup scale="64" orientation="landscape" r:id="rId2"/>
  <headerFooter alignWithMargins="0">
    <oddHeader>&amp;CSUPERIOR OF COURT OF _________ COUNTY
Revenue Calculation and Distribution Worksheet</oddHeader>
    <oddFooter>&amp;L&amp;F&amp;R&amp;P of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8" r:id="rId5" name="Button 6">
              <controlPr defaultSize="0" print="0" autoFill="0" autoPict="0" macro="[0]!mcrGoToSummary">
                <anchor moveWithCells="1">
                  <from>
                    <xdr:col>0</xdr:col>
                    <xdr:colOff>31750</xdr:colOff>
                    <xdr:row>0</xdr:row>
                    <xdr:rowOff>0</xdr:rowOff>
                  </from>
                  <to>
                    <xdr:col>2</xdr:col>
                    <xdr:colOff>965200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6" name="Button 23">
              <controlPr defaultSize="0" print="0" autoFill="0" autoPict="0" macro="[0]!mcrDisableTwoPercentUnprotect">
                <anchor moveWithCells="1">
                  <from>
                    <xdr:col>0</xdr:col>
                    <xdr:colOff>12700</xdr:colOff>
                    <xdr:row>13</xdr:row>
                    <xdr:rowOff>527050</xdr:rowOff>
                  </from>
                  <to>
                    <xdr:col>0</xdr:col>
                    <xdr:colOff>279400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7" name="Button 24">
              <controlPr defaultSize="0" print="0" autoFill="0" autoPict="0" macro="[0]!mcrEnableTwoPercentUnprotect">
                <anchor moveWithCells="1">
                  <from>
                    <xdr:col>0</xdr:col>
                    <xdr:colOff>0</xdr:colOff>
                    <xdr:row>13</xdr:row>
                    <xdr:rowOff>222250</xdr:rowOff>
                  </from>
                  <to>
                    <xdr:col>0</xdr:col>
                    <xdr:colOff>260350</xdr:colOff>
                    <xdr:row>13</xdr:row>
                    <xdr:rowOff>546100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351C-8332-4E1D-AF1F-10CEC6A739A7}">
  <sheetPr>
    <tabColor theme="6"/>
    <pageSetUpPr fitToPage="1"/>
  </sheetPr>
  <dimension ref="A1:AF39"/>
  <sheetViews>
    <sheetView zoomScale="75" zoomScaleNormal="75" workbookViewId="0">
      <pane ySplit="1" topLeftCell="A2" activePane="bottomLeft" state="frozen"/>
      <selection pane="bottomLeft" activeCell="B29" sqref="B29"/>
    </sheetView>
  </sheetViews>
  <sheetFormatPr defaultColWidth="9.1796875" defaultRowHeight="18.5" x14ac:dyDescent="0.25"/>
  <cols>
    <col min="1" max="1" width="4.26953125" style="87" customWidth="1"/>
    <col min="2" max="2" width="5.90625" style="87" customWidth="1"/>
    <col min="3" max="3" width="13.54296875" style="87" customWidth="1"/>
    <col min="4" max="4" width="12" style="87" customWidth="1"/>
    <col min="5" max="5" width="11.26953125" style="88" customWidth="1"/>
    <col min="6" max="6" width="17.453125" style="121" customWidth="1"/>
    <col min="7" max="7" width="9.90625" style="46" customWidth="1"/>
    <col min="8" max="8" width="51.36328125" style="46" hidden="1" customWidth="1"/>
    <col min="9" max="9" width="10.6328125" style="46" customWidth="1"/>
    <col min="10" max="10" width="6.7265625" style="46" customWidth="1"/>
    <col min="11" max="11" width="11.1796875" style="92" customWidth="1"/>
    <col min="12" max="12" width="1.7265625" style="89" customWidth="1"/>
    <col min="13" max="13" width="15.26953125" style="46" customWidth="1"/>
    <col min="14" max="14" width="1.54296875" style="46" customWidth="1"/>
    <col min="15" max="15" width="11" style="46" customWidth="1"/>
    <col min="16" max="16" width="1.81640625" style="89" customWidth="1"/>
    <col min="17" max="17" width="10.81640625" style="89" customWidth="1"/>
    <col min="18" max="18" width="7.90625" style="89" customWidth="1"/>
    <col min="19" max="19" width="10.7265625" style="89" customWidth="1"/>
    <col min="20" max="20" width="1.81640625" style="50" customWidth="1"/>
    <col min="21" max="21" width="12.453125" style="90" customWidth="1"/>
    <col min="22" max="22" width="7.7265625" style="90" customWidth="1"/>
    <col min="23" max="23" width="18.7265625" style="91" customWidth="1"/>
    <col min="24" max="24" width="2.1796875" style="50" customWidth="1"/>
    <col min="25" max="25" width="12.7265625" style="50" customWidth="1"/>
    <col min="26" max="26" width="11.1796875" style="50" customWidth="1"/>
    <col min="27" max="27" width="12.36328125" style="50" customWidth="1"/>
    <col min="28" max="28" width="9.1796875" style="50"/>
    <col min="29" max="16384" width="9.1796875" style="46"/>
  </cols>
  <sheetData>
    <row r="1" spans="1:32" ht="20.25" customHeight="1" thickBot="1" x14ac:dyDescent="0.3">
      <c r="A1" s="565" t="s">
        <v>306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622"/>
      <c r="M1" s="622"/>
      <c r="N1" s="622"/>
      <c r="O1" s="622"/>
      <c r="P1" s="622"/>
      <c r="Q1" s="622"/>
      <c r="R1" s="622"/>
      <c r="S1" s="622"/>
      <c r="T1" s="622"/>
      <c r="U1" s="622"/>
      <c r="V1" s="215" t="s">
        <v>264</v>
      </c>
      <c r="W1" s="484">
        <v>45292</v>
      </c>
    </row>
    <row r="2" spans="1:32" s="50" customFormat="1" ht="6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49"/>
      <c r="V2" s="49"/>
      <c r="W2" s="49"/>
    </row>
    <row r="3" spans="1:32" s="50" customFormat="1" ht="19" thickBot="1" x14ac:dyDescent="0.3">
      <c r="A3" s="216" t="s">
        <v>191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623"/>
      <c r="N3" s="624"/>
      <c r="O3" s="284"/>
      <c r="P3" s="159"/>
      <c r="Q3" s="625" t="s">
        <v>218</v>
      </c>
      <c r="R3" s="626"/>
      <c r="S3" s="626"/>
      <c r="T3" s="626"/>
      <c r="U3" s="626"/>
      <c r="V3" s="626"/>
      <c r="W3" s="627"/>
      <c r="Y3" s="159" t="s">
        <v>207</v>
      </c>
      <c r="Z3" s="120"/>
    </row>
    <row r="4" spans="1:32" s="53" customFormat="1" ht="15.5" x14ac:dyDescent="0.25">
      <c r="A4" s="575" t="s">
        <v>188</v>
      </c>
      <c r="B4" s="554"/>
      <c r="C4" s="554"/>
      <c r="D4" s="576"/>
      <c r="E4" s="577"/>
      <c r="F4" s="628" t="s">
        <v>22</v>
      </c>
      <c r="G4" s="574"/>
      <c r="H4" s="169"/>
      <c r="I4" s="629" t="s">
        <v>297</v>
      </c>
      <c r="J4" s="629"/>
      <c r="K4" s="629"/>
      <c r="L4" s="562"/>
      <c r="M4" s="630" t="s">
        <v>214</v>
      </c>
      <c r="N4" s="630"/>
      <c r="O4" s="181"/>
      <c r="P4" s="95"/>
      <c r="Q4" s="631" t="s">
        <v>193</v>
      </c>
      <c r="R4" s="632"/>
      <c r="S4" s="632"/>
      <c r="T4" s="632"/>
      <c r="U4" s="632"/>
      <c r="V4" s="632"/>
      <c r="W4" s="633"/>
      <c r="Y4" s="192" t="s">
        <v>242</v>
      </c>
      <c r="Z4" s="285" t="s">
        <v>243</v>
      </c>
      <c r="AA4" s="285" t="s">
        <v>300</v>
      </c>
      <c r="AB4" s="285" t="s">
        <v>301</v>
      </c>
    </row>
    <row r="5" spans="1:32" s="53" customFormat="1" ht="15.5" x14ac:dyDescent="0.25">
      <c r="A5" s="547" t="s">
        <v>3</v>
      </c>
      <c r="B5" s="548"/>
      <c r="C5" s="548"/>
      <c r="D5" s="552">
        <v>45185</v>
      </c>
      <c r="E5" s="553"/>
      <c r="F5" s="635" t="s">
        <v>201</v>
      </c>
      <c r="G5" s="549"/>
      <c r="H5" s="167"/>
      <c r="I5" s="636" t="s">
        <v>298</v>
      </c>
      <c r="J5" s="636"/>
      <c r="K5" s="636"/>
      <c r="L5" s="558"/>
      <c r="M5" s="641" t="s">
        <v>17</v>
      </c>
      <c r="N5" s="641"/>
      <c r="O5" s="54">
        <v>0</v>
      </c>
      <c r="P5" s="95"/>
      <c r="Q5" s="642" t="s">
        <v>241</v>
      </c>
      <c r="R5" s="643"/>
      <c r="S5" s="643"/>
      <c r="T5" s="643"/>
      <c r="U5" s="643"/>
      <c r="V5" s="643"/>
      <c r="W5" s="644"/>
      <c r="Y5" s="157" t="s">
        <v>25</v>
      </c>
      <c r="Z5" s="161">
        <f>SUMIF($G$16:$G$36,"STATE",$K$16:$K$36)</f>
        <v>0</v>
      </c>
      <c r="AA5" s="161">
        <f>SUMIF($G$16:$G$36,"STATE",$S$16:$S$36)</f>
        <v>0</v>
      </c>
      <c r="AB5" s="161">
        <f>SUMIF($G$16:$G$36,"STATE",$W$16:$W$36)</f>
        <v>0</v>
      </c>
    </row>
    <row r="6" spans="1:32" s="53" customFormat="1" ht="16" thickBot="1" x14ac:dyDescent="0.3">
      <c r="A6" s="547" t="s">
        <v>10</v>
      </c>
      <c r="B6" s="548"/>
      <c r="C6" s="548"/>
      <c r="D6" s="552">
        <v>45251</v>
      </c>
      <c r="E6" s="634"/>
      <c r="F6" s="635" t="s">
        <v>15</v>
      </c>
      <c r="G6" s="549"/>
      <c r="H6" s="167"/>
      <c r="I6" s="636" t="s">
        <v>244</v>
      </c>
      <c r="J6" s="636"/>
      <c r="K6" s="636"/>
      <c r="L6" s="558"/>
      <c r="M6" s="637" t="s">
        <v>190</v>
      </c>
      <c r="N6" s="637"/>
      <c r="O6" s="184">
        <f>O4+O5*10</f>
        <v>0</v>
      </c>
      <c r="P6" s="95"/>
      <c r="Q6" s="638" t="s">
        <v>295</v>
      </c>
      <c r="R6" s="639"/>
      <c r="S6" s="639"/>
      <c r="T6" s="639"/>
      <c r="U6" s="639"/>
      <c r="V6" s="639"/>
      <c r="W6" s="640"/>
      <c r="Y6" s="157" t="s">
        <v>26</v>
      </c>
      <c r="Z6" s="161">
        <f>SUMIF($G$16:$G$36,"COUNTY",$K$16:$K$36)</f>
        <v>0</v>
      </c>
      <c r="AA6" s="161">
        <f>SUMIF($G$16:$G$36,"COUNTY",$S$16:$S$36)</f>
        <v>0</v>
      </c>
      <c r="AB6" s="161">
        <f>SUMIF($G$16:$G$36,"COUNTY",$W$16:$W$36)</f>
        <v>0</v>
      </c>
    </row>
    <row r="7" spans="1:32" s="53" customFormat="1" ht="16" thickBot="1" x14ac:dyDescent="0.3">
      <c r="A7" s="547" t="s">
        <v>4</v>
      </c>
      <c r="B7" s="548"/>
      <c r="C7" s="548"/>
      <c r="D7" s="557" t="s">
        <v>296</v>
      </c>
      <c r="E7" s="553"/>
      <c r="F7" s="653" t="s">
        <v>16</v>
      </c>
      <c r="G7" s="541"/>
      <c r="H7" s="168"/>
      <c r="I7" s="560" t="s">
        <v>2</v>
      </c>
      <c r="J7" s="560"/>
      <c r="K7" s="560"/>
      <c r="L7" s="654"/>
      <c r="M7" s="188"/>
      <c r="N7" s="190"/>
      <c r="O7" s="189"/>
      <c r="P7" s="95"/>
      <c r="Q7" s="655" t="s">
        <v>192</v>
      </c>
      <c r="R7" s="656"/>
      <c r="S7" s="656"/>
      <c r="T7" s="656"/>
      <c r="U7" s="656"/>
      <c r="V7" s="656"/>
      <c r="W7" s="657"/>
      <c r="Y7" s="157" t="s">
        <v>45</v>
      </c>
      <c r="Z7" s="161">
        <f>SUMIF($G$16:$G$36,"CITY",$K$16:$K$36)</f>
        <v>0</v>
      </c>
      <c r="AA7" s="161">
        <f>SUMIF($G$16:$G$36,"CITY",$S$16:$S$36)</f>
        <v>0</v>
      </c>
      <c r="AB7" s="161">
        <f>SUMIF($G$16:$G$36,"CITY",$W$16:$W$36)</f>
        <v>0</v>
      </c>
    </row>
    <row r="8" spans="1:32" s="53" customFormat="1" ht="15.75" customHeight="1" x14ac:dyDescent="0.25">
      <c r="A8" s="658" t="s">
        <v>47</v>
      </c>
      <c r="B8" s="659"/>
      <c r="C8" s="659"/>
      <c r="D8" s="660"/>
      <c r="E8" s="661"/>
      <c r="F8" s="628" t="s">
        <v>210</v>
      </c>
      <c r="G8" s="574"/>
      <c r="H8" s="169"/>
      <c r="I8" s="662"/>
      <c r="J8" s="662"/>
      <c r="K8" s="662"/>
      <c r="L8" s="663"/>
      <c r="M8" s="664" t="s">
        <v>214</v>
      </c>
      <c r="N8" s="664"/>
      <c r="O8" s="51">
        <v>0</v>
      </c>
      <c r="P8" s="138"/>
      <c r="Q8" s="645" t="s">
        <v>302</v>
      </c>
      <c r="R8" s="524"/>
      <c r="S8" s="524"/>
      <c r="T8" s="524"/>
      <c r="U8" s="524"/>
      <c r="V8" s="524"/>
      <c r="W8" s="646"/>
      <c r="Y8" s="157" t="s">
        <v>187</v>
      </c>
      <c r="Z8" s="161">
        <f>SUMIF($G$16:$G$36,"COURT",$K$16:$K$36)</f>
        <v>0</v>
      </c>
      <c r="AA8" s="161">
        <f>SUMIF($G$16:$G$36,"COURT",$S$16:$S$36)</f>
        <v>0</v>
      </c>
      <c r="AB8" s="161">
        <f>SUMIF($G$16:$G$36,"COURT",$W$16:$W$36)</f>
        <v>0</v>
      </c>
    </row>
    <row r="9" spans="1:32" s="53" customFormat="1" ht="18" customHeight="1" thickBot="1" x14ac:dyDescent="0.3">
      <c r="A9" s="649" t="s">
        <v>46</v>
      </c>
      <c r="B9" s="650"/>
      <c r="C9" s="650"/>
      <c r="D9" s="567">
        <f>100%-D8</f>
        <v>1</v>
      </c>
      <c r="E9" s="568"/>
      <c r="F9" s="635" t="s">
        <v>201</v>
      </c>
      <c r="G9" s="549"/>
      <c r="H9" s="167"/>
      <c r="I9" s="651"/>
      <c r="J9" s="651"/>
      <c r="K9" s="651"/>
      <c r="L9" s="652"/>
      <c r="M9" s="641" t="s">
        <v>17</v>
      </c>
      <c r="N9" s="641"/>
      <c r="O9" s="54"/>
      <c r="P9" s="138"/>
      <c r="Q9" s="647"/>
      <c r="R9" s="527"/>
      <c r="S9" s="527"/>
      <c r="T9" s="527"/>
      <c r="U9" s="527"/>
      <c r="V9" s="527"/>
      <c r="W9" s="648"/>
      <c r="Y9" s="84" t="s">
        <v>261</v>
      </c>
      <c r="Z9" s="161">
        <f>SUMIF($G$16:$G$36,"CNTY or CTY",$K$16:$K$36)</f>
        <v>0</v>
      </c>
      <c r="AA9" s="161">
        <f>SUMIF($G$16:$G$36,"CNTY or CTY",$S$16:$S$36)</f>
        <v>0</v>
      </c>
      <c r="AB9" s="161">
        <f>SUMIF($G$16:$G$36,"CNTY or CTY",$W$16:$W$36)</f>
        <v>0</v>
      </c>
    </row>
    <row r="10" spans="1:32" s="53" customFormat="1" ht="16.5" customHeight="1" thickBot="1" x14ac:dyDescent="0.3">
      <c r="A10" s="599" t="s">
        <v>224</v>
      </c>
      <c r="B10" s="600"/>
      <c r="C10" s="600"/>
      <c r="D10" s="672">
        <f>O6+O10</f>
        <v>0</v>
      </c>
      <c r="E10" s="673"/>
      <c r="F10" s="635" t="s">
        <v>15</v>
      </c>
      <c r="G10" s="549"/>
      <c r="H10" s="167"/>
      <c r="I10" s="651"/>
      <c r="J10" s="651"/>
      <c r="K10" s="651"/>
      <c r="L10" s="652"/>
      <c r="M10" s="637" t="s">
        <v>190</v>
      </c>
      <c r="N10" s="637"/>
      <c r="O10" s="184">
        <f>O8+O9*10</f>
        <v>0</v>
      </c>
      <c r="P10" s="286"/>
      <c r="Q10" s="674" t="s">
        <v>196</v>
      </c>
      <c r="R10" s="675"/>
      <c r="S10" s="675"/>
      <c r="T10" s="675"/>
      <c r="U10" s="675"/>
      <c r="V10" s="675"/>
      <c r="W10" s="676"/>
      <c r="Y10" s="158" t="s">
        <v>203</v>
      </c>
      <c r="Z10" s="134">
        <f>SUM(Z5:Z9)</f>
        <v>0</v>
      </c>
      <c r="AA10" s="134">
        <f>SUM(AA5:AA9)</f>
        <v>0</v>
      </c>
      <c r="AB10" s="134">
        <f>SUM(AB5:AB9)</f>
        <v>0</v>
      </c>
    </row>
    <row r="11" spans="1:32" s="53" customFormat="1" ht="16.5" customHeight="1" thickBot="1" x14ac:dyDescent="0.3">
      <c r="A11" s="597" t="s">
        <v>225</v>
      </c>
      <c r="B11" s="598"/>
      <c r="C11" s="598"/>
      <c r="D11" s="593">
        <f>ROUNDUP(D10/10,0)</f>
        <v>0</v>
      </c>
      <c r="E11" s="594"/>
      <c r="F11" s="653" t="s">
        <v>16</v>
      </c>
      <c r="G11" s="541"/>
      <c r="H11" s="168"/>
      <c r="I11" s="665"/>
      <c r="J11" s="665"/>
      <c r="K11" s="665"/>
      <c r="L11" s="666"/>
      <c r="M11" s="667" t="s">
        <v>287</v>
      </c>
      <c r="N11" s="668"/>
      <c r="O11" s="448">
        <f>'Local Penalties'!B8</f>
        <v>5</v>
      </c>
      <c r="P11" s="286"/>
      <c r="Q11" s="669" t="s">
        <v>256</v>
      </c>
      <c r="R11" s="670"/>
      <c r="S11" s="670"/>
      <c r="T11" s="670"/>
      <c r="U11" s="670"/>
      <c r="V11" s="670"/>
      <c r="W11" s="671"/>
      <c r="Z11" s="287">
        <f>Z10-K38</f>
        <v>0</v>
      </c>
      <c r="AA11" s="287">
        <f>AA10-S38</f>
        <v>0</v>
      </c>
      <c r="AB11" s="287">
        <f>AB10-W38</f>
        <v>0</v>
      </c>
    </row>
    <row r="12" spans="1:32" s="53" customFormat="1" ht="15.7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O12" s="52"/>
      <c r="P12" s="52"/>
      <c r="Q12" s="52"/>
      <c r="R12" s="52"/>
      <c r="S12" s="52"/>
      <c r="T12" s="52"/>
      <c r="U12" s="58"/>
      <c r="V12" s="58"/>
      <c r="W12" s="56"/>
      <c r="AA12" s="59"/>
    </row>
    <row r="13" spans="1:32" s="98" customFormat="1" ht="18.75" customHeight="1" thickBot="1" x14ac:dyDescent="0.3">
      <c r="A13" s="174"/>
      <c r="B13" s="174"/>
      <c r="C13" s="174"/>
      <c r="D13" s="174"/>
      <c r="E13" s="174"/>
      <c r="F13" s="96"/>
      <c r="G13" s="97"/>
      <c r="I13" s="680" t="s">
        <v>236</v>
      </c>
      <c r="J13" s="681"/>
      <c r="K13" s="682"/>
      <c r="L13" s="99"/>
      <c r="M13" s="683" t="s">
        <v>186</v>
      </c>
      <c r="N13" s="684"/>
      <c r="O13" s="685"/>
      <c r="P13" s="100"/>
      <c r="Q13" s="686" t="s">
        <v>303</v>
      </c>
      <c r="R13" s="687"/>
      <c r="S13" s="688"/>
      <c r="T13" s="100"/>
      <c r="U13" s="686" t="s">
        <v>304</v>
      </c>
      <c r="V13" s="687"/>
      <c r="W13" s="688"/>
      <c r="X13" s="288"/>
      <c r="Y13" s="143"/>
      <c r="Z13" s="143"/>
      <c r="AA13" s="144"/>
      <c r="AB13" s="97"/>
      <c r="AC13" s="97"/>
      <c r="AD13" s="97"/>
      <c r="AE13" s="97"/>
      <c r="AF13" s="97"/>
    </row>
    <row r="14" spans="1:32" ht="44.25" customHeight="1" thickBot="1" x14ac:dyDescent="0.3">
      <c r="A14" s="101">
        <v>0.02</v>
      </c>
      <c r="B14" s="101" t="s">
        <v>51</v>
      </c>
      <c r="C14" s="603" t="s">
        <v>183</v>
      </c>
      <c r="D14" s="604"/>
      <c r="E14" s="604"/>
      <c r="F14" s="605"/>
      <c r="G14" s="102" t="s">
        <v>206</v>
      </c>
      <c r="H14" s="103" t="s">
        <v>0</v>
      </c>
      <c r="I14" s="689" t="s">
        <v>237</v>
      </c>
      <c r="J14" s="691" t="s">
        <v>5</v>
      </c>
      <c r="K14" s="289" t="s">
        <v>238</v>
      </c>
      <c r="L14" s="61"/>
      <c r="M14" s="514" t="s">
        <v>217</v>
      </c>
      <c r="N14" s="515"/>
      <c r="O14" s="109" t="s">
        <v>205</v>
      </c>
      <c r="P14" s="110"/>
      <c r="Q14" s="290" t="s">
        <v>255</v>
      </c>
      <c r="R14" s="691" t="s">
        <v>5</v>
      </c>
      <c r="S14" s="289" t="s">
        <v>238</v>
      </c>
      <c r="T14" s="110"/>
      <c r="U14" s="290" t="s">
        <v>305</v>
      </c>
      <c r="V14" s="691" t="s">
        <v>5</v>
      </c>
      <c r="W14" s="289" t="s">
        <v>238</v>
      </c>
      <c r="X14" s="291"/>
      <c r="Y14" s="292" t="s">
        <v>213</v>
      </c>
      <c r="Z14" s="693" t="s">
        <v>54</v>
      </c>
      <c r="AA14" s="695" t="s">
        <v>249</v>
      </c>
      <c r="AC14" s="50"/>
      <c r="AD14" s="50"/>
      <c r="AE14" s="50"/>
      <c r="AF14" s="50"/>
    </row>
    <row r="15" spans="1:32" ht="38.5" customHeight="1" thickBot="1" x14ac:dyDescent="0.3">
      <c r="A15" s="104"/>
      <c r="B15" s="104"/>
      <c r="C15" s="606"/>
      <c r="D15" s="607"/>
      <c r="E15" s="607"/>
      <c r="F15" s="608"/>
      <c r="G15" s="105"/>
      <c r="H15" s="105"/>
      <c r="I15" s="690"/>
      <c r="J15" s="692"/>
      <c r="K15" s="293" t="s">
        <v>35</v>
      </c>
      <c r="L15" s="62"/>
      <c r="M15" s="512"/>
      <c r="N15" s="513"/>
      <c r="O15" s="294" t="s">
        <v>36</v>
      </c>
      <c r="P15" s="110"/>
      <c r="Q15" s="200">
        <f>IFERROR(Q31/I31,0)</f>
        <v>0</v>
      </c>
      <c r="R15" s="692"/>
      <c r="S15" s="293" t="s">
        <v>37</v>
      </c>
      <c r="T15" s="110"/>
      <c r="U15" s="200" t="e">
        <f>(U38)/(I38)</f>
        <v>#DIV/0!</v>
      </c>
      <c r="V15" s="692"/>
      <c r="W15" s="293" t="s">
        <v>37</v>
      </c>
      <c r="X15" s="291"/>
      <c r="Y15" s="193" t="s">
        <v>240</v>
      </c>
      <c r="Z15" s="694"/>
      <c r="AA15" s="696"/>
      <c r="AC15" s="50"/>
      <c r="AD15" s="50"/>
      <c r="AE15" s="50"/>
      <c r="AF15" s="50"/>
    </row>
    <row r="16" spans="1:32" s="68" customFormat="1" ht="15.75" customHeight="1" x14ac:dyDescent="0.25">
      <c r="A16" s="63" t="s">
        <v>7</v>
      </c>
      <c r="B16" s="677" t="s">
        <v>198</v>
      </c>
      <c r="C16" s="679" t="s">
        <v>169</v>
      </c>
      <c r="D16" s="679"/>
      <c r="E16" s="679"/>
      <c r="F16" s="679"/>
      <c r="G16" s="467" t="s">
        <v>26</v>
      </c>
      <c r="H16" s="468" t="s">
        <v>21</v>
      </c>
      <c r="I16" s="469">
        <f>D10*D8</f>
        <v>0</v>
      </c>
      <c r="J16" s="470">
        <f>IF(A16="Y",I16* 2%,0)</f>
        <v>0</v>
      </c>
      <c r="K16" s="471">
        <f>I16-J16</f>
        <v>0</v>
      </c>
      <c r="L16" s="149"/>
      <c r="M16" s="510"/>
      <c r="N16" s="511"/>
      <c r="O16" s="72"/>
      <c r="P16" s="66"/>
      <c r="Q16" s="145">
        <f t="shared" ref="Q16:Q30" si="0">IF($Q$38=0,,I16*$Q$15)</f>
        <v>0</v>
      </c>
      <c r="R16" s="147">
        <f t="shared" ref="R16:R30" si="1">IF(A16="Y", Q16*2%,)</f>
        <v>0</v>
      </c>
      <c r="S16" s="152">
        <f t="shared" ref="S16:S35" si="2">Q16-R16</f>
        <v>0</v>
      </c>
      <c r="T16" s="66"/>
      <c r="U16" s="145">
        <f t="shared" ref="U16:U30" si="3">IF($U$38=0,,I16*$U$15)</f>
        <v>0</v>
      </c>
      <c r="V16" s="147">
        <f t="shared" ref="V16:V30" si="4">IF(A16="Y", U16*2%,)</f>
        <v>0</v>
      </c>
      <c r="W16" s="152">
        <f t="shared" ref="W16:W25" si="5">U16-V16</f>
        <v>0</v>
      </c>
      <c r="X16" s="295"/>
      <c r="Y16" s="145">
        <f>IF($Y$15="BASE-UP (B-A)", O16-K16,
(IF($Y$15="TOP-DOWN 1 (B-C)",O16-S16,O16-W16)))</f>
        <v>0</v>
      </c>
      <c r="Z16" s="296"/>
      <c r="AA16" s="67"/>
      <c r="AB16" s="114"/>
      <c r="AC16" s="114"/>
      <c r="AD16" s="114"/>
      <c r="AE16" s="114"/>
      <c r="AF16" s="114"/>
    </row>
    <row r="17" spans="1:32" s="68" customFormat="1" ht="15.75" customHeight="1" x14ac:dyDescent="0.25">
      <c r="A17" s="63" t="s">
        <v>7</v>
      </c>
      <c r="B17" s="678"/>
      <c r="C17" s="679" t="s">
        <v>170</v>
      </c>
      <c r="D17" s="679"/>
      <c r="E17" s="679"/>
      <c r="F17" s="679"/>
      <c r="G17" s="467" t="s">
        <v>45</v>
      </c>
      <c r="H17" s="468" t="s">
        <v>19</v>
      </c>
      <c r="I17" s="469">
        <f>D10*D9</f>
        <v>0</v>
      </c>
      <c r="J17" s="470">
        <f t="shared" ref="J17:J30" si="6">IF(A17="Y",I17* 2%,0)</f>
        <v>0</v>
      </c>
      <c r="K17" s="471">
        <f t="shared" ref="K17:K29" si="7">I17-J17</f>
        <v>0</v>
      </c>
      <c r="L17" s="149"/>
      <c r="M17" s="510"/>
      <c r="N17" s="511"/>
      <c r="O17" s="72"/>
      <c r="P17" s="66"/>
      <c r="Q17" s="145">
        <f t="shared" si="0"/>
        <v>0</v>
      </c>
      <c r="R17" s="147">
        <f t="shared" si="1"/>
        <v>0</v>
      </c>
      <c r="S17" s="152">
        <f t="shared" si="2"/>
        <v>0</v>
      </c>
      <c r="T17" s="66"/>
      <c r="U17" s="145">
        <f t="shared" si="3"/>
        <v>0</v>
      </c>
      <c r="V17" s="147">
        <f t="shared" si="4"/>
        <v>0</v>
      </c>
      <c r="W17" s="152">
        <f t="shared" si="5"/>
        <v>0</v>
      </c>
      <c r="X17" s="295"/>
      <c r="Y17" s="145">
        <f t="shared" ref="Y17:Y36" si="8">IF($Y$15="BASE-UP (B-A)", O17-K17,
(IF($Y$15="TOP-DOWN 1 (B-C)",O17-S17,O17-W17)))</f>
        <v>0</v>
      </c>
      <c r="Z17" s="296"/>
      <c r="AA17" s="67"/>
      <c r="AB17" s="114"/>
      <c r="AC17" s="114"/>
      <c r="AD17" s="114"/>
      <c r="AE17" s="114"/>
      <c r="AF17" s="114"/>
    </row>
    <row r="18" spans="1:32" s="68" customFormat="1" ht="15.75" customHeight="1" x14ac:dyDescent="0.25">
      <c r="A18" s="63" t="s">
        <v>7</v>
      </c>
      <c r="B18" s="69">
        <v>7</v>
      </c>
      <c r="C18" s="533" t="s">
        <v>281</v>
      </c>
      <c r="D18" s="533"/>
      <c r="E18" s="533"/>
      <c r="F18" s="533"/>
      <c r="G18" s="278" t="s">
        <v>25</v>
      </c>
      <c r="H18" s="71" t="s">
        <v>20</v>
      </c>
      <c r="I18" s="140">
        <f>$D$11*B18</f>
        <v>0</v>
      </c>
      <c r="J18" s="147">
        <f t="shared" si="6"/>
        <v>0</v>
      </c>
      <c r="K18" s="152">
        <f t="shared" si="7"/>
        <v>0</v>
      </c>
      <c r="L18" s="149"/>
      <c r="M18" s="510"/>
      <c r="N18" s="511"/>
      <c r="O18" s="74"/>
      <c r="P18" s="75"/>
      <c r="Q18" s="145">
        <f t="shared" si="0"/>
        <v>0</v>
      </c>
      <c r="R18" s="147">
        <f t="shared" si="1"/>
        <v>0</v>
      </c>
      <c r="S18" s="152">
        <f t="shared" si="2"/>
        <v>0</v>
      </c>
      <c r="T18" s="75"/>
      <c r="U18" s="145">
        <f t="shared" si="3"/>
        <v>0</v>
      </c>
      <c r="V18" s="147">
        <f t="shared" si="4"/>
        <v>0</v>
      </c>
      <c r="W18" s="152">
        <f t="shared" si="5"/>
        <v>0</v>
      </c>
      <c r="X18" s="295"/>
      <c r="Y18" s="145">
        <f t="shared" si="8"/>
        <v>0</v>
      </c>
      <c r="Z18" s="296"/>
      <c r="AA18" s="67"/>
      <c r="AB18" s="114"/>
      <c r="AC18" s="114"/>
      <c r="AD18" s="114"/>
      <c r="AE18" s="114"/>
      <c r="AF18" s="114"/>
    </row>
    <row r="19" spans="1:32" s="68" customFormat="1" ht="15.75" customHeight="1" x14ac:dyDescent="0.25">
      <c r="A19" s="63" t="s">
        <v>7</v>
      </c>
      <c r="B19" s="69">
        <v>3</v>
      </c>
      <c r="C19" s="533" t="s">
        <v>282</v>
      </c>
      <c r="D19" s="533"/>
      <c r="E19" s="533"/>
      <c r="F19" s="533"/>
      <c r="G19" s="278" t="s">
        <v>26</v>
      </c>
      <c r="H19" s="71" t="s">
        <v>21</v>
      </c>
      <c r="I19" s="140">
        <f t="shared" ref="I19:I28" si="9">$D$11*B19</f>
        <v>0</v>
      </c>
      <c r="J19" s="147">
        <f t="shared" si="6"/>
        <v>0</v>
      </c>
      <c r="K19" s="152">
        <f t="shared" si="7"/>
        <v>0</v>
      </c>
      <c r="L19" s="149"/>
      <c r="M19" s="510"/>
      <c r="N19" s="511"/>
      <c r="O19" s="72"/>
      <c r="P19" s="66"/>
      <c r="Q19" s="145">
        <f t="shared" si="0"/>
        <v>0</v>
      </c>
      <c r="R19" s="147">
        <f t="shared" si="1"/>
        <v>0</v>
      </c>
      <c r="S19" s="152">
        <f t="shared" si="2"/>
        <v>0</v>
      </c>
      <c r="T19" s="66"/>
      <c r="U19" s="145">
        <f t="shared" si="3"/>
        <v>0</v>
      </c>
      <c r="V19" s="147">
        <f t="shared" si="4"/>
        <v>0</v>
      </c>
      <c r="W19" s="152">
        <f t="shared" si="5"/>
        <v>0</v>
      </c>
      <c r="X19" s="295"/>
      <c r="Y19" s="145">
        <f t="shared" si="8"/>
        <v>0</v>
      </c>
      <c r="Z19" s="296"/>
      <c r="AA19" s="67"/>
      <c r="AB19" s="114"/>
      <c r="AC19" s="114"/>
      <c r="AD19" s="114"/>
      <c r="AE19" s="114"/>
      <c r="AF19" s="114"/>
    </row>
    <row r="20" spans="1:32" s="68" customFormat="1" ht="15.75" customHeight="1" x14ac:dyDescent="0.25">
      <c r="A20" s="63" t="s">
        <v>7</v>
      </c>
      <c r="B20" s="297">
        <v>0.75</v>
      </c>
      <c r="C20" s="510" t="s">
        <v>293</v>
      </c>
      <c r="D20" s="531"/>
      <c r="E20" s="531"/>
      <c r="F20" s="532"/>
      <c r="G20" s="278" t="s">
        <v>26</v>
      </c>
      <c r="H20" s="71" t="s">
        <v>48</v>
      </c>
      <c r="I20" s="140">
        <f t="shared" si="9"/>
        <v>0</v>
      </c>
      <c r="J20" s="147">
        <f t="shared" si="6"/>
        <v>0</v>
      </c>
      <c r="K20" s="152">
        <f t="shared" si="7"/>
        <v>0</v>
      </c>
      <c r="L20" s="149"/>
      <c r="M20" s="510"/>
      <c r="N20" s="511"/>
      <c r="O20" s="72"/>
      <c r="P20" s="66"/>
      <c r="Q20" s="145">
        <f t="shared" si="0"/>
        <v>0</v>
      </c>
      <c r="R20" s="147">
        <f t="shared" si="1"/>
        <v>0</v>
      </c>
      <c r="S20" s="152">
        <f t="shared" si="2"/>
        <v>0</v>
      </c>
      <c r="T20" s="66"/>
      <c r="U20" s="145">
        <f t="shared" si="3"/>
        <v>0</v>
      </c>
      <c r="V20" s="147">
        <f t="shared" si="4"/>
        <v>0</v>
      </c>
      <c r="W20" s="152">
        <f t="shared" si="5"/>
        <v>0</v>
      </c>
      <c r="X20" s="295"/>
      <c r="Y20" s="145">
        <f t="shared" si="8"/>
        <v>0</v>
      </c>
      <c r="Z20" s="296"/>
      <c r="AA20" s="67"/>
      <c r="AB20" s="114"/>
      <c r="AC20" s="114"/>
      <c r="AD20" s="114"/>
      <c r="AE20" s="114"/>
      <c r="AF20" s="114"/>
    </row>
    <row r="21" spans="1:32" s="68" customFormat="1" ht="15.75" customHeight="1" x14ac:dyDescent="0.25">
      <c r="A21" s="63" t="s">
        <v>7</v>
      </c>
      <c r="B21" s="297">
        <v>0.25</v>
      </c>
      <c r="C21" s="510" t="s">
        <v>292</v>
      </c>
      <c r="D21" s="531"/>
      <c r="E21" s="531"/>
      <c r="F21" s="532"/>
      <c r="G21" s="278" t="s">
        <v>25</v>
      </c>
      <c r="H21" s="71" t="s">
        <v>48</v>
      </c>
      <c r="I21" s="140">
        <f t="shared" si="9"/>
        <v>0</v>
      </c>
      <c r="J21" s="147">
        <f t="shared" si="6"/>
        <v>0</v>
      </c>
      <c r="K21" s="152">
        <f t="shared" si="7"/>
        <v>0</v>
      </c>
      <c r="L21" s="149"/>
      <c r="M21" s="510"/>
      <c r="N21" s="511"/>
      <c r="O21" s="72"/>
      <c r="P21" s="66"/>
      <c r="Q21" s="145">
        <f t="shared" si="0"/>
        <v>0</v>
      </c>
      <c r="R21" s="147">
        <f t="shared" si="1"/>
        <v>0</v>
      </c>
      <c r="S21" s="152">
        <f t="shared" si="2"/>
        <v>0</v>
      </c>
      <c r="T21" s="66"/>
      <c r="U21" s="145">
        <f t="shared" si="3"/>
        <v>0</v>
      </c>
      <c r="V21" s="147">
        <f t="shared" si="4"/>
        <v>0</v>
      </c>
      <c r="W21" s="152">
        <f t="shared" si="5"/>
        <v>0</v>
      </c>
      <c r="X21" s="295"/>
      <c r="Y21" s="145">
        <f t="shared" si="8"/>
        <v>0</v>
      </c>
      <c r="Z21" s="296"/>
      <c r="AA21" s="67"/>
      <c r="AB21" s="114"/>
      <c r="AC21" s="114"/>
      <c r="AD21" s="114"/>
      <c r="AE21" s="114"/>
      <c r="AF21" s="114"/>
    </row>
    <row r="22" spans="1:32" s="68" customFormat="1" ht="14.5" x14ac:dyDescent="0.25">
      <c r="A22" s="63" t="s">
        <v>7</v>
      </c>
      <c r="B22" s="69">
        <v>4</v>
      </c>
      <c r="C22" s="510" t="s">
        <v>263</v>
      </c>
      <c r="D22" s="531"/>
      <c r="E22" s="531"/>
      <c r="F22" s="532"/>
      <c r="G22" s="278" t="s">
        <v>25</v>
      </c>
      <c r="H22" s="71" t="s">
        <v>344</v>
      </c>
      <c r="I22" s="140">
        <f t="shared" si="9"/>
        <v>0</v>
      </c>
      <c r="J22" s="147">
        <f t="shared" si="6"/>
        <v>0</v>
      </c>
      <c r="K22" s="152">
        <f t="shared" si="7"/>
        <v>0</v>
      </c>
      <c r="L22" s="149"/>
      <c r="M22" s="510"/>
      <c r="N22" s="511"/>
      <c r="O22" s="72"/>
      <c r="P22" s="66"/>
      <c r="Q22" s="145">
        <f t="shared" si="0"/>
        <v>0</v>
      </c>
      <c r="R22" s="147">
        <f t="shared" si="1"/>
        <v>0</v>
      </c>
      <c r="S22" s="152">
        <f t="shared" si="2"/>
        <v>0</v>
      </c>
      <c r="T22" s="66"/>
      <c r="U22" s="145">
        <f t="shared" si="3"/>
        <v>0</v>
      </c>
      <c r="V22" s="147">
        <f t="shared" si="4"/>
        <v>0</v>
      </c>
      <c r="W22" s="152">
        <f t="shared" si="5"/>
        <v>0</v>
      </c>
      <c r="X22" s="295"/>
      <c r="Y22" s="145">
        <f t="shared" si="8"/>
        <v>0</v>
      </c>
      <c r="Z22" s="298"/>
      <c r="AA22" s="212"/>
      <c r="AB22" s="114"/>
      <c r="AC22" s="114"/>
      <c r="AD22" s="114"/>
      <c r="AE22" s="114"/>
      <c r="AF22" s="114"/>
    </row>
    <row r="23" spans="1:32" s="68" customFormat="1" ht="15.75" customHeight="1" x14ac:dyDescent="0.25">
      <c r="A23" s="63" t="s">
        <v>7</v>
      </c>
      <c r="B23" s="299"/>
      <c r="C23" s="533" t="s">
        <v>174</v>
      </c>
      <c r="D23" s="533"/>
      <c r="E23" s="697" t="str">
        <f>IF(SUM(B23:B27)=O11,"GC 76000 PA ($" &amp;O11 &amp; " for every 10) breakdown per local board of supervisor resolution (BOS).","ERROR! GC 76000 PA total is not $" &amp;O11&amp; ". Check Court's board resolution.")</f>
        <v>ERROR! GC 76000 PA total is not $5. Check Court's board resolution.</v>
      </c>
      <c r="F23" s="698"/>
      <c r="G23" s="278" t="s">
        <v>26</v>
      </c>
      <c r="H23" s="71" t="s">
        <v>56</v>
      </c>
      <c r="I23" s="140">
        <f t="shared" si="9"/>
        <v>0</v>
      </c>
      <c r="J23" s="147">
        <f t="shared" si="6"/>
        <v>0</v>
      </c>
      <c r="K23" s="152">
        <f t="shared" si="7"/>
        <v>0</v>
      </c>
      <c r="L23" s="149"/>
      <c r="M23" s="510"/>
      <c r="N23" s="511"/>
      <c r="O23" s="72"/>
      <c r="P23" s="66"/>
      <c r="Q23" s="145">
        <f t="shared" si="0"/>
        <v>0</v>
      </c>
      <c r="R23" s="147">
        <f t="shared" si="1"/>
        <v>0</v>
      </c>
      <c r="S23" s="152">
        <f t="shared" si="2"/>
        <v>0</v>
      </c>
      <c r="T23" s="66"/>
      <c r="U23" s="145">
        <f t="shared" si="3"/>
        <v>0</v>
      </c>
      <c r="V23" s="147">
        <f t="shared" si="4"/>
        <v>0</v>
      </c>
      <c r="W23" s="152">
        <f t="shared" si="5"/>
        <v>0</v>
      </c>
      <c r="X23" s="295"/>
      <c r="Y23" s="145">
        <f t="shared" si="8"/>
        <v>0</v>
      </c>
      <c r="Z23" s="300"/>
      <c r="AA23" s="67"/>
      <c r="AB23" s="114"/>
      <c r="AC23" s="114"/>
      <c r="AD23" s="114"/>
      <c r="AE23" s="114"/>
      <c r="AF23" s="114"/>
    </row>
    <row r="24" spans="1:32" s="68" customFormat="1" ht="15.75" customHeight="1" x14ac:dyDescent="0.25">
      <c r="A24" s="63" t="s">
        <v>7</v>
      </c>
      <c r="B24" s="299"/>
      <c r="C24" s="533" t="s">
        <v>175</v>
      </c>
      <c r="D24" s="533"/>
      <c r="E24" s="699"/>
      <c r="F24" s="700"/>
      <c r="G24" s="278" t="s">
        <v>26</v>
      </c>
      <c r="H24" s="71" t="s">
        <v>28</v>
      </c>
      <c r="I24" s="140">
        <f t="shared" si="9"/>
        <v>0</v>
      </c>
      <c r="J24" s="147">
        <f t="shared" si="6"/>
        <v>0</v>
      </c>
      <c r="K24" s="152">
        <f t="shared" si="7"/>
        <v>0</v>
      </c>
      <c r="L24" s="149"/>
      <c r="M24" s="510"/>
      <c r="N24" s="511"/>
      <c r="O24" s="72"/>
      <c r="P24" s="66"/>
      <c r="Q24" s="145">
        <f t="shared" si="0"/>
        <v>0</v>
      </c>
      <c r="R24" s="147">
        <f t="shared" si="1"/>
        <v>0</v>
      </c>
      <c r="S24" s="152">
        <f t="shared" si="2"/>
        <v>0</v>
      </c>
      <c r="T24" s="66"/>
      <c r="U24" s="145">
        <f t="shared" si="3"/>
        <v>0</v>
      </c>
      <c r="V24" s="147">
        <f t="shared" si="4"/>
        <v>0</v>
      </c>
      <c r="W24" s="152">
        <f t="shared" si="5"/>
        <v>0</v>
      </c>
      <c r="X24" s="295"/>
      <c r="Y24" s="145">
        <f t="shared" si="8"/>
        <v>0</v>
      </c>
      <c r="Z24" s="296"/>
      <c r="AA24" s="67"/>
      <c r="AB24" s="114"/>
      <c r="AC24" s="114"/>
      <c r="AD24" s="114"/>
      <c r="AE24" s="114"/>
      <c r="AF24" s="114"/>
    </row>
    <row r="25" spans="1:32" s="68" customFormat="1" ht="15.75" customHeight="1" x14ac:dyDescent="0.25">
      <c r="A25" s="63" t="s">
        <v>7</v>
      </c>
      <c r="B25" s="299"/>
      <c r="C25" s="533" t="s">
        <v>176</v>
      </c>
      <c r="D25" s="533"/>
      <c r="E25" s="699"/>
      <c r="F25" s="700"/>
      <c r="G25" s="278" t="s">
        <v>26</v>
      </c>
      <c r="H25" s="71" t="s">
        <v>57</v>
      </c>
      <c r="I25" s="140">
        <f t="shared" si="9"/>
        <v>0</v>
      </c>
      <c r="J25" s="147">
        <f t="shared" si="6"/>
        <v>0</v>
      </c>
      <c r="K25" s="152">
        <f t="shared" si="7"/>
        <v>0</v>
      </c>
      <c r="L25" s="149"/>
      <c r="M25" s="510"/>
      <c r="N25" s="511"/>
      <c r="O25" s="72"/>
      <c r="P25" s="66"/>
      <c r="Q25" s="145">
        <f t="shared" si="0"/>
        <v>0</v>
      </c>
      <c r="R25" s="147">
        <f t="shared" si="1"/>
        <v>0</v>
      </c>
      <c r="S25" s="152">
        <f t="shared" si="2"/>
        <v>0</v>
      </c>
      <c r="T25" s="66"/>
      <c r="U25" s="145">
        <f t="shared" si="3"/>
        <v>0</v>
      </c>
      <c r="V25" s="147">
        <f t="shared" si="4"/>
        <v>0</v>
      </c>
      <c r="W25" s="152">
        <f t="shared" si="5"/>
        <v>0</v>
      </c>
      <c r="X25" s="295"/>
      <c r="Y25" s="145">
        <f t="shared" si="8"/>
        <v>0</v>
      </c>
      <c r="Z25" s="296"/>
      <c r="AA25" s="67"/>
      <c r="AB25" s="114"/>
      <c r="AC25" s="114"/>
      <c r="AD25" s="114"/>
      <c r="AE25" s="114"/>
      <c r="AF25" s="114"/>
    </row>
    <row r="26" spans="1:32" s="68" customFormat="1" ht="15.75" customHeight="1" x14ac:dyDescent="0.25">
      <c r="A26" s="63" t="s">
        <v>7</v>
      </c>
      <c r="B26" s="299"/>
      <c r="C26" s="533" t="s">
        <v>252</v>
      </c>
      <c r="D26" s="533"/>
      <c r="E26" s="699"/>
      <c r="F26" s="700"/>
      <c r="G26" s="278" t="s">
        <v>26</v>
      </c>
      <c r="H26" s="71" t="s">
        <v>57</v>
      </c>
      <c r="I26" s="140">
        <f>$D$11*B26</f>
        <v>0</v>
      </c>
      <c r="J26" s="147">
        <f>IF(A26="Y",I26* 2%,0)</f>
        <v>0</v>
      </c>
      <c r="K26" s="152">
        <f>I26-J26</f>
        <v>0</v>
      </c>
      <c r="L26" s="149"/>
      <c r="M26" s="510"/>
      <c r="N26" s="511"/>
      <c r="O26" s="72"/>
      <c r="P26" s="66"/>
      <c r="Q26" s="145">
        <f t="shared" si="0"/>
        <v>0</v>
      </c>
      <c r="R26" s="147">
        <f>IF(A26="Y", Q26*2%,)</f>
        <v>0</v>
      </c>
      <c r="S26" s="152">
        <f>Q26-R26</f>
        <v>0</v>
      </c>
      <c r="T26" s="66"/>
      <c r="U26" s="145">
        <f t="shared" si="3"/>
        <v>0</v>
      </c>
      <c r="V26" s="147">
        <f t="shared" si="4"/>
        <v>0</v>
      </c>
      <c r="W26" s="152">
        <f>U26-V26</f>
        <v>0</v>
      </c>
      <c r="X26" s="295"/>
      <c r="Y26" s="145">
        <f t="shared" si="8"/>
        <v>0</v>
      </c>
      <c r="Z26" s="296"/>
      <c r="AA26" s="67"/>
      <c r="AB26" s="114"/>
      <c r="AC26" s="114"/>
      <c r="AD26" s="114"/>
      <c r="AE26" s="114"/>
      <c r="AF26" s="114"/>
    </row>
    <row r="27" spans="1:32" s="68" customFormat="1" ht="15.75" customHeight="1" x14ac:dyDescent="0.25">
      <c r="A27" s="63" t="s">
        <v>7</v>
      </c>
      <c r="B27" s="299"/>
      <c r="C27" s="533" t="s">
        <v>211</v>
      </c>
      <c r="D27" s="533"/>
      <c r="E27" s="701"/>
      <c r="F27" s="702"/>
      <c r="G27" s="278" t="s">
        <v>26</v>
      </c>
      <c r="H27" s="71" t="s">
        <v>343</v>
      </c>
      <c r="I27" s="140">
        <f t="shared" si="9"/>
        <v>0</v>
      </c>
      <c r="J27" s="147">
        <f t="shared" si="6"/>
        <v>0</v>
      </c>
      <c r="K27" s="152">
        <f t="shared" si="7"/>
        <v>0</v>
      </c>
      <c r="L27" s="149"/>
      <c r="M27" s="510"/>
      <c r="N27" s="511"/>
      <c r="O27" s="72"/>
      <c r="P27" s="66"/>
      <c r="Q27" s="145">
        <f t="shared" si="0"/>
        <v>0</v>
      </c>
      <c r="R27" s="147">
        <f t="shared" si="1"/>
        <v>0</v>
      </c>
      <c r="S27" s="152">
        <f t="shared" si="2"/>
        <v>0</v>
      </c>
      <c r="T27" s="66"/>
      <c r="U27" s="145">
        <f t="shared" si="3"/>
        <v>0</v>
      </c>
      <c r="V27" s="147">
        <f t="shared" si="4"/>
        <v>0</v>
      </c>
      <c r="W27" s="152">
        <f t="shared" ref="W27:W28" si="10">U27-V27</f>
        <v>0</v>
      </c>
      <c r="X27" s="295"/>
      <c r="Y27" s="145">
        <f t="shared" si="8"/>
        <v>0</v>
      </c>
      <c r="Z27" s="296"/>
      <c r="AA27" s="67"/>
      <c r="AB27" s="114"/>
      <c r="AC27" s="114"/>
      <c r="AD27" s="114"/>
      <c r="AE27" s="114"/>
      <c r="AF27" s="114"/>
    </row>
    <row r="28" spans="1:32" s="68" customFormat="1" ht="15.75" customHeight="1" x14ac:dyDescent="0.25">
      <c r="A28" s="63" t="s">
        <v>7</v>
      </c>
      <c r="B28" s="299"/>
      <c r="C28" s="510" t="s">
        <v>234</v>
      </c>
      <c r="D28" s="531"/>
      <c r="E28" s="531"/>
      <c r="F28" s="532"/>
      <c r="G28" s="278" t="s">
        <v>26</v>
      </c>
      <c r="H28" s="71" t="s">
        <v>29</v>
      </c>
      <c r="I28" s="140">
        <f t="shared" si="9"/>
        <v>0</v>
      </c>
      <c r="J28" s="147">
        <f t="shared" si="6"/>
        <v>0</v>
      </c>
      <c r="K28" s="152">
        <f t="shared" si="7"/>
        <v>0</v>
      </c>
      <c r="L28" s="149"/>
      <c r="M28" s="510"/>
      <c r="N28" s="511"/>
      <c r="O28" s="72"/>
      <c r="P28" s="66"/>
      <c r="Q28" s="145">
        <f t="shared" si="0"/>
        <v>0</v>
      </c>
      <c r="R28" s="147">
        <f t="shared" si="1"/>
        <v>0</v>
      </c>
      <c r="S28" s="152">
        <f t="shared" si="2"/>
        <v>0</v>
      </c>
      <c r="T28" s="66"/>
      <c r="U28" s="145">
        <f t="shared" si="3"/>
        <v>0</v>
      </c>
      <c r="V28" s="147">
        <f t="shared" si="4"/>
        <v>0</v>
      </c>
      <c r="W28" s="152">
        <f t="shared" si="10"/>
        <v>0</v>
      </c>
      <c r="X28" s="295"/>
      <c r="Y28" s="145">
        <f t="shared" si="8"/>
        <v>0</v>
      </c>
      <c r="Z28" s="296"/>
      <c r="AA28" s="67"/>
      <c r="AB28" s="114"/>
      <c r="AC28" s="114"/>
      <c r="AD28" s="114"/>
      <c r="AE28" s="114"/>
      <c r="AF28" s="114"/>
    </row>
    <row r="29" spans="1:32" s="68" customFormat="1" ht="15.75" customHeight="1" x14ac:dyDescent="0.25">
      <c r="A29" s="63" t="s">
        <v>7</v>
      </c>
      <c r="B29" s="164">
        <v>5</v>
      </c>
      <c r="C29" s="703" t="s">
        <v>294</v>
      </c>
      <c r="D29" s="704"/>
      <c r="E29" s="704"/>
      <c r="F29" s="705"/>
      <c r="G29" s="278" t="s">
        <v>25</v>
      </c>
      <c r="H29" s="464" t="s">
        <v>30</v>
      </c>
      <c r="I29" s="140">
        <f>$D$11*B29</f>
        <v>0</v>
      </c>
      <c r="J29" s="147">
        <f t="shared" si="6"/>
        <v>0</v>
      </c>
      <c r="K29" s="152">
        <f t="shared" si="7"/>
        <v>0</v>
      </c>
      <c r="L29" s="149"/>
      <c r="M29" s="510"/>
      <c r="N29" s="511"/>
      <c r="O29" s="72"/>
      <c r="P29" s="66"/>
      <c r="Q29" s="145">
        <f t="shared" si="0"/>
        <v>0</v>
      </c>
      <c r="R29" s="147">
        <f t="shared" si="1"/>
        <v>0</v>
      </c>
      <c r="S29" s="152">
        <f t="shared" si="2"/>
        <v>0</v>
      </c>
      <c r="T29" s="66"/>
      <c r="U29" s="145">
        <f t="shared" si="3"/>
        <v>0</v>
      </c>
      <c r="V29" s="147">
        <f t="shared" si="4"/>
        <v>0</v>
      </c>
      <c r="W29" s="152">
        <f t="shared" ref="W29:W30" si="11">U29-V29</f>
        <v>0</v>
      </c>
      <c r="X29" s="295"/>
      <c r="Y29" s="145">
        <f t="shared" si="8"/>
        <v>0</v>
      </c>
      <c r="Z29" s="300"/>
      <c r="AA29" s="67"/>
      <c r="AB29" s="114"/>
      <c r="AC29" s="114"/>
      <c r="AD29" s="114"/>
      <c r="AE29" s="114"/>
      <c r="AF29" s="114"/>
    </row>
    <row r="30" spans="1:32" s="68" customFormat="1" ht="15.75" customHeight="1" x14ac:dyDescent="0.25">
      <c r="A30" s="63" t="s">
        <v>6</v>
      </c>
      <c r="B30" s="69"/>
      <c r="C30" s="510" t="s">
        <v>177</v>
      </c>
      <c r="D30" s="531"/>
      <c r="E30" s="531"/>
      <c r="F30" s="532"/>
      <c r="G30" s="278" t="s">
        <v>25</v>
      </c>
      <c r="H30" s="464" t="s">
        <v>9</v>
      </c>
      <c r="I30" s="140">
        <f>$D$10*20%</f>
        <v>0</v>
      </c>
      <c r="J30" s="147">
        <f t="shared" si="6"/>
        <v>0</v>
      </c>
      <c r="K30" s="152">
        <f>I30-J30</f>
        <v>0</v>
      </c>
      <c r="L30" s="149"/>
      <c r="M30" s="510"/>
      <c r="N30" s="511"/>
      <c r="O30" s="72"/>
      <c r="P30" s="66"/>
      <c r="Q30" s="145">
        <f t="shared" si="0"/>
        <v>0</v>
      </c>
      <c r="R30" s="147">
        <f t="shared" si="1"/>
        <v>0</v>
      </c>
      <c r="S30" s="152">
        <f t="shared" si="2"/>
        <v>0</v>
      </c>
      <c r="T30" s="66"/>
      <c r="U30" s="145">
        <f t="shared" si="3"/>
        <v>0</v>
      </c>
      <c r="V30" s="147">
        <f t="shared" si="4"/>
        <v>0</v>
      </c>
      <c r="W30" s="152">
        <f t="shared" si="11"/>
        <v>0</v>
      </c>
      <c r="X30" s="295"/>
      <c r="Y30" s="145">
        <f t="shared" si="8"/>
        <v>0</v>
      </c>
      <c r="Z30" s="296"/>
      <c r="AA30" s="67"/>
      <c r="AB30" s="114"/>
      <c r="AC30" s="114"/>
      <c r="AD30" s="114"/>
      <c r="AE30" s="114"/>
      <c r="AF30" s="114"/>
    </row>
    <row r="31" spans="1:32" s="80" customFormat="1" ht="15.75" customHeight="1" x14ac:dyDescent="0.25">
      <c r="A31" s="63"/>
      <c r="B31" s="76"/>
      <c r="C31" s="534" t="s">
        <v>178</v>
      </c>
      <c r="D31" s="535"/>
      <c r="E31" s="535"/>
      <c r="F31" s="536"/>
      <c r="G31" s="301"/>
      <c r="H31" s="465"/>
      <c r="I31" s="142">
        <f>SUM(I16:I30)</f>
        <v>0</v>
      </c>
      <c r="J31" s="147"/>
      <c r="K31" s="153">
        <f>SUM(K16:K30)</f>
        <v>0</v>
      </c>
      <c r="L31" s="150"/>
      <c r="M31" s="510"/>
      <c r="N31" s="511"/>
      <c r="O31" s="166">
        <f>SUM(O16:O30)</f>
        <v>0</v>
      </c>
      <c r="P31" s="111"/>
      <c r="Q31" s="142">
        <f>IF($Q$38=0,,Q38-SUM(Q32:Q35))</f>
        <v>0</v>
      </c>
      <c r="R31" s="147"/>
      <c r="S31" s="153">
        <f>SUM(S16:S30)</f>
        <v>0</v>
      </c>
      <c r="T31" s="111"/>
      <c r="U31" s="142">
        <f>IF($U$38=0,,U38-SUM(U32:U35))</f>
        <v>0</v>
      </c>
      <c r="V31" s="147"/>
      <c r="W31" s="153">
        <f>SUM(W16:W30)</f>
        <v>0</v>
      </c>
      <c r="X31" s="302"/>
      <c r="Y31" s="145">
        <f t="shared" si="8"/>
        <v>0</v>
      </c>
      <c r="Z31" s="296"/>
      <c r="AA31" s="79"/>
      <c r="AB31" s="129"/>
      <c r="AC31" s="129"/>
      <c r="AD31" s="129"/>
      <c r="AE31" s="129"/>
      <c r="AF31" s="129"/>
    </row>
    <row r="32" spans="1:32" s="68" customFormat="1" ht="15" customHeight="1" x14ac:dyDescent="0.25">
      <c r="A32" s="63" t="s">
        <v>6</v>
      </c>
      <c r="B32" s="69"/>
      <c r="C32" s="510" t="s">
        <v>253</v>
      </c>
      <c r="D32" s="531"/>
      <c r="E32" s="531"/>
      <c r="F32" s="532"/>
      <c r="G32" s="278" t="s">
        <v>25</v>
      </c>
      <c r="H32" s="464" t="s">
        <v>32</v>
      </c>
      <c r="I32" s="141">
        <v>0</v>
      </c>
      <c r="J32" s="147">
        <f>IF(A32="Y", I32*2%,0)</f>
        <v>0</v>
      </c>
      <c r="K32" s="152">
        <f>I32-J32</f>
        <v>0</v>
      </c>
      <c r="L32" s="149"/>
      <c r="M32" s="279"/>
      <c r="N32" s="280"/>
      <c r="O32" s="72"/>
      <c r="P32" s="66"/>
      <c r="Q32" s="140">
        <f>IF($Q$38=0,,I32)</f>
        <v>0</v>
      </c>
      <c r="R32" s="147">
        <f t="shared" ref="R32:R35" si="12">IF(A32="Y", Q32*2%,)</f>
        <v>0</v>
      </c>
      <c r="S32" s="152">
        <f t="shared" ref="S32" si="13">Q32-R32</f>
        <v>0</v>
      </c>
      <c r="T32" s="66"/>
      <c r="U32" s="140">
        <f>IF($U$38=0,,I32*$U$15)</f>
        <v>0</v>
      </c>
      <c r="V32" s="147">
        <f>IF(A32="Y", U32*2%,)</f>
        <v>0</v>
      </c>
      <c r="W32" s="152">
        <f t="shared" ref="W32:W35" si="14">U32-V32</f>
        <v>0</v>
      </c>
      <c r="X32" s="295"/>
      <c r="Y32" s="145">
        <f t="shared" si="8"/>
        <v>0</v>
      </c>
      <c r="Z32" s="296"/>
      <c r="AA32" s="67"/>
      <c r="AB32" s="114"/>
      <c r="AC32" s="114"/>
      <c r="AD32" s="114"/>
      <c r="AE32" s="114"/>
      <c r="AF32" s="114"/>
    </row>
    <row r="33" spans="1:32" s="68" customFormat="1" ht="15.75" customHeight="1" x14ac:dyDescent="0.25">
      <c r="A33" s="63" t="s">
        <v>6</v>
      </c>
      <c r="B33" s="69"/>
      <c r="C33" s="537" t="s">
        <v>216</v>
      </c>
      <c r="D33" s="538"/>
      <c r="E33" s="538"/>
      <c r="F33" s="539"/>
      <c r="G33" s="213" t="s">
        <v>25</v>
      </c>
      <c r="H33" s="466" t="s">
        <v>30</v>
      </c>
      <c r="I33" s="141">
        <v>0</v>
      </c>
      <c r="J33" s="147">
        <f t="shared" ref="J33:J35" si="15">IF(A33="Y", I33*2%,0)</f>
        <v>0</v>
      </c>
      <c r="K33" s="152">
        <f t="shared" ref="K33:K35" si="16">I33-J33</f>
        <v>0</v>
      </c>
      <c r="L33" s="149"/>
      <c r="M33" s="510"/>
      <c r="N33" s="511"/>
      <c r="O33" s="72"/>
      <c r="P33" s="66"/>
      <c r="Q33" s="140">
        <f>IF($Q$38=0,,I33)</f>
        <v>0</v>
      </c>
      <c r="R33" s="147">
        <f t="shared" si="12"/>
        <v>0</v>
      </c>
      <c r="S33" s="152">
        <f t="shared" si="2"/>
        <v>0</v>
      </c>
      <c r="T33" s="66"/>
      <c r="U33" s="140">
        <f>IF($U$38=0,,I33*$U$15)</f>
        <v>0</v>
      </c>
      <c r="V33" s="147">
        <f>IF(A33="Y", U33*2%,)</f>
        <v>0</v>
      </c>
      <c r="W33" s="152">
        <f t="shared" si="14"/>
        <v>0</v>
      </c>
      <c r="X33" s="295"/>
      <c r="Y33" s="145">
        <f t="shared" si="8"/>
        <v>0</v>
      </c>
      <c r="Z33" s="296"/>
      <c r="AA33" s="67"/>
      <c r="AB33" s="114"/>
      <c r="AC33" s="114"/>
      <c r="AD33" s="114"/>
      <c r="AE33" s="114"/>
      <c r="AF33" s="114"/>
    </row>
    <row r="34" spans="1:32" s="68" customFormat="1" ht="15.75" customHeight="1" x14ac:dyDescent="0.25">
      <c r="A34" s="63" t="s">
        <v>6</v>
      </c>
      <c r="B34" s="83"/>
      <c r="C34" s="537" t="s">
        <v>189</v>
      </c>
      <c r="D34" s="538"/>
      <c r="E34" s="538"/>
      <c r="F34" s="539"/>
      <c r="G34" s="213" t="s">
        <v>187</v>
      </c>
      <c r="H34" s="466" t="s">
        <v>18</v>
      </c>
      <c r="I34" s="141">
        <v>0</v>
      </c>
      <c r="J34" s="147">
        <f t="shared" si="15"/>
        <v>0</v>
      </c>
      <c r="K34" s="152">
        <f t="shared" si="16"/>
        <v>0</v>
      </c>
      <c r="L34" s="149"/>
      <c r="M34" s="510"/>
      <c r="N34" s="511"/>
      <c r="O34" s="72"/>
      <c r="P34" s="66"/>
      <c r="Q34" s="140">
        <f>IF($Q$38=0,,I34)</f>
        <v>0</v>
      </c>
      <c r="R34" s="147">
        <f t="shared" si="12"/>
        <v>0</v>
      </c>
      <c r="S34" s="152">
        <f t="shared" si="2"/>
        <v>0</v>
      </c>
      <c r="T34" s="66"/>
      <c r="U34" s="140">
        <f>IF($U$38=0,,I34*$U$15)</f>
        <v>0</v>
      </c>
      <c r="V34" s="147">
        <f>IF(A34="Y", U34*2%,)</f>
        <v>0</v>
      </c>
      <c r="W34" s="152">
        <f t="shared" si="14"/>
        <v>0</v>
      </c>
      <c r="X34" s="295"/>
      <c r="Y34" s="145">
        <f t="shared" si="8"/>
        <v>0</v>
      </c>
      <c r="Z34" s="296"/>
      <c r="AA34" s="71"/>
      <c r="AB34" s="114"/>
      <c r="AC34" s="114"/>
      <c r="AD34" s="114"/>
      <c r="AE34" s="114"/>
      <c r="AF34" s="114"/>
    </row>
    <row r="35" spans="1:32" s="68" customFormat="1" ht="15.75" customHeight="1" x14ac:dyDescent="0.25">
      <c r="A35" s="63" t="s">
        <v>6</v>
      </c>
      <c r="B35" s="83"/>
      <c r="C35" s="537" t="s">
        <v>182</v>
      </c>
      <c r="D35" s="538"/>
      <c r="E35" s="538"/>
      <c r="F35" s="539"/>
      <c r="G35" s="213" t="s">
        <v>25</v>
      </c>
      <c r="H35" s="466" t="s">
        <v>342</v>
      </c>
      <c r="I35" s="141">
        <v>0</v>
      </c>
      <c r="J35" s="147">
        <f t="shared" si="15"/>
        <v>0</v>
      </c>
      <c r="K35" s="152">
        <f t="shared" si="16"/>
        <v>0</v>
      </c>
      <c r="L35" s="149"/>
      <c r="M35" s="510"/>
      <c r="N35" s="511"/>
      <c r="O35" s="72"/>
      <c r="P35" s="66"/>
      <c r="Q35" s="140">
        <f>IF($Q$38=0,,I35)</f>
        <v>0</v>
      </c>
      <c r="R35" s="147">
        <f t="shared" si="12"/>
        <v>0</v>
      </c>
      <c r="S35" s="152">
        <f t="shared" si="2"/>
        <v>0</v>
      </c>
      <c r="T35" s="66"/>
      <c r="U35" s="140">
        <f>IF($U$38=0,,I35*$U$15)</f>
        <v>0</v>
      </c>
      <c r="V35" s="147">
        <f>IF(A35="Y", U35*2%,)</f>
        <v>0</v>
      </c>
      <c r="W35" s="152">
        <f t="shared" si="14"/>
        <v>0</v>
      </c>
      <c r="X35" s="295"/>
      <c r="Y35" s="145">
        <f t="shared" si="8"/>
        <v>0</v>
      </c>
      <c r="Z35" s="296"/>
      <c r="AA35" s="71"/>
      <c r="AB35" s="114"/>
      <c r="AC35" s="114"/>
      <c r="AD35" s="114"/>
      <c r="AE35" s="114"/>
      <c r="AF35" s="114"/>
    </row>
    <row r="36" spans="1:32" s="68" customFormat="1" ht="31.5" customHeight="1" x14ac:dyDescent="0.25">
      <c r="A36" s="83" t="s">
        <v>6</v>
      </c>
      <c r="B36" s="83"/>
      <c r="C36" s="510" t="s">
        <v>265</v>
      </c>
      <c r="D36" s="531"/>
      <c r="E36" s="531"/>
      <c r="F36" s="532"/>
      <c r="G36" s="213" t="s">
        <v>25</v>
      </c>
      <c r="H36" s="466" t="s">
        <v>345</v>
      </c>
      <c r="I36" s="86"/>
      <c r="J36" s="148"/>
      <c r="K36" s="154">
        <f>J37</f>
        <v>0</v>
      </c>
      <c r="L36" s="149"/>
      <c r="M36" s="510"/>
      <c r="N36" s="511"/>
      <c r="O36" s="72"/>
      <c r="P36" s="66"/>
      <c r="Q36" s="93"/>
      <c r="R36" s="148"/>
      <c r="S36" s="154">
        <f>R37</f>
        <v>0</v>
      </c>
      <c r="T36" s="66"/>
      <c r="U36" s="93"/>
      <c r="V36" s="148"/>
      <c r="W36" s="154">
        <f>V37</f>
        <v>0</v>
      </c>
      <c r="X36" s="303"/>
      <c r="Y36" s="145">
        <f t="shared" si="8"/>
        <v>0</v>
      </c>
      <c r="Z36" s="296"/>
      <c r="AA36" s="71"/>
      <c r="AB36" s="114"/>
      <c r="AC36" s="114"/>
      <c r="AD36" s="114"/>
      <c r="AE36" s="114"/>
      <c r="AF36" s="114"/>
    </row>
    <row r="37" spans="1:32" s="114" customFormat="1" ht="14.5" x14ac:dyDescent="0.25">
      <c r="A37" s="112"/>
      <c r="B37" s="112"/>
      <c r="C37" s="112"/>
      <c r="D37" s="112"/>
      <c r="E37" s="113"/>
      <c r="F37" s="113"/>
      <c r="J37" s="115">
        <f>SUM(J16:J36)</f>
        <v>0</v>
      </c>
      <c r="K37" s="155"/>
      <c r="O37" s="116"/>
      <c r="P37" s="117"/>
      <c r="R37" s="115">
        <f>SUM(R16:R36)</f>
        <v>0</v>
      </c>
      <c r="S37" s="155"/>
      <c r="T37" s="117"/>
      <c r="V37" s="115">
        <f>SUM(V16:V36)</f>
        <v>0</v>
      </c>
      <c r="W37" s="155"/>
      <c r="X37" s="187"/>
      <c r="Y37" s="165"/>
      <c r="Z37" s="165"/>
      <c r="AA37" s="118"/>
    </row>
    <row r="38" spans="1:32" s="95" customFormat="1" ht="16" thickBot="1" x14ac:dyDescent="0.3">
      <c r="A38" s="130"/>
      <c r="B38" s="130"/>
      <c r="C38" s="130"/>
      <c r="D38" s="130"/>
      <c r="E38" s="119"/>
      <c r="F38" s="131" t="s">
        <v>67</v>
      </c>
      <c r="G38" s="132"/>
      <c r="H38" s="133" t="s">
        <v>1</v>
      </c>
      <c r="I38" s="134">
        <f>SUM(I31:I37)</f>
        <v>0</v>
      </c>
      <c r="J38" s="135"/>
      <c r="K38" s="156">
        <f>SUM(K31:K37)</f>
        <v>0</v>
      </c>
      <c r="L38" s="136"/>
      <c r="M38" s="130" t="s">
        <v>1</v>
      </c>
      <c r="N38" s="130"/>
      <c r="O38" s="137">
        <f>SUM(O31:O37)</f>
        <v>0</v>
      </c>
      <c r="P38" s="136"/>
      <c r="Q38" s="179">
        <v>0</v>
      </c>
      <c r="R38" s="135"/>
      <c r="S38" s="156">
        <f>SUM(S31:S37)</f>
        <v>0</v>
      </c>
      <c r="T38" s="136"/>
      <c r="U38" s="179">
        <v>0</v>
      </c>
      <c r="V38" s="135"/>
      <c r="W38" s="156">
        <f>SUM(W31:W37)</f>
        <v>0</v>
      </c>
      <c r="X38" s="304"/>
      <c r="Y38" s="175">
        <f>SUM(Y31:Y37)</f>
        <v>0</v>
      </c>
      <c r="Z38" s="305"/>
      <c r="AA38" s="138"/>
    </row>
    <row r="39" spans="1:32" s="95" customFormat="1" ht="16" thickTop="1" x14ac:dyDescent="0.25">
      <c r="A39" s="449"/>
      <c r="B39" s="449"/>
      <c r="C39" s="449"/>
      <c r="D39" s="449"/>
      <c r="E39" s="450"/>
      <c r="F39" s="451"/>
      <c r="G39" s="452"/>
      <c r="H39" s="453"/>
      <c r="I39" s="454"/>
      <c r="J39" s="454"/>
      <c r="K39" s="454"/>
      <c r="L39" s="455"/>
      <c r="M39" s="449"/>
      <c r="N39" s="449"/>
      <c r="O39" s="454"/>
      <c r="P39" s="455"/>
      <c r="Q39" s="455"/>
      <c r="R39" s="454"/>
      <c r="S39" s="454"/>
      <c r="T39" s="455"/>
      <c r="U39" s="455"/>
      <c r="V39" s="135"/>
      <c r="W39" s="135"/>
      <c r="X39" s="135"/>
      <c r="Y39" s="305"/>
      <c r="Z39" s="305"/>
      <c r="AA39" s="138"/>
    </row>
  </sheetData>
  <sheetProtection insertRows="0"/>
  <mergeCells count="106">
    <mergeCell ref="C35:F35"/>
    <mergeCell ref="M35:N35"/>
    <mergeCell ref="C36:F36"/>
    <mergeCell ref="M36:N36"/>
    <mergeCell ref="C31:F31"/>
    <mergeCell ref="M31:N31"/>
    <mergeCell ref="C32:F32"/>
    <mergeCell ref="C33:F33"/>
    <mergeCell ref="M33:N33"/>
    <mergeCell ref="C34:F34"/>
    <mergeCell ref="M34:N34"/>
    <mergeCell ref="C29:F29"/>
    <mergeCell ref="M29:N29"/>
    <mergeCell ref="C30:F30"/>
    <mergeCell ref="M30:N30"/>
    <mergeCell ref="M25:N25"/>
    <mergeCell ref="C26:D26"/>
    <mergeCell ref="M26:N26"/>
    <mergeCell ref="C27:D27"/>
    <mergeCell ref="M27:N27"/>
    <mergeCell ref="C28:F28"/>
    <mergeCell ref="M28:N28"/>
    <mergeCell ref="C21:F21"/>
    <mergeCell ref="M21:N21"/>
    <mergeCell ref="C22:F22"/>
    <mergeCell ref="M22:N22"/>
    <mergeCell ref="C23:D23"/>
    <mergeCell ref="E23:F27"/>
    <mergeCell ref="M23:N23"/>
    <mergeCell ref="C24:D24"/>
    <mergeCell ref="M24:N24"/>
    <mergeCell ref="C25:D25"/>
    <mergeCell ref="C18:F18"/>
    <mergeCell ref="M18:N18"/>
    <mergeCell ref="C19:F19"/>
    <mergeCell ref="M19:N19"/>
    <mergeCell ref="C20:F20"/>
    <mergeCell ref="M20:N20"/>
    <mergeCell ref="Z14:Z15"/>
    <mergeCell ref="AA14:AA15"/>
    <mergeCell ref="M15:N15"/>
    <mergeCell ref="B16:B17"/>
    <mergeCell ref="C16:F16"/>
    <mergeCell ref="M16:N16"/>
    <mergeCell ref="C17:F17"/>
    <mergeCell ref="M17:N17"/>
    <mergeCell ref="I13:K13"/>
    <mergeCell ref="M13:O13"/>
    <mergeCell ref="Q13:S13"/>
    <mergeCell ref="U13:W13"/>
    <mergeCell ref="C14:F15"/>
    <mergeCell ref="I14:I15"/>
    <mergeCell ref="J14:J15"/>
    <mergeCell ref="M14:N14"/>
    <mergeCell ref="R14:R15"/>
    <mergeCell ref="V14:V15"/>
    <mergeCell ref="A11:C11"/>
    <mergeCell ref="D11:E11"/>
    <mergeCell ref="F11:G11"/>
    <mergeCell ref="I11:L11"/>
    <mergeCell ref="M11:N11"/>
    <mergeCell ref="Q11:W11"/>
    <mergeCell ref="A10:C10"/>
    <mergeCell ref="D10:E10"/>
    <mergeCell ref="F10:G10"/>
    <mergeCell ref="I10:L10"/>
    <mergeCell ref="M10:N10"/>
    <mergeCell ref="Q10:W10"/>
    <mergeCell ref="Q8:W9"/>
    <mergeCell ref="A9:C9"/>
    <mergeCell ref="D9:E9"/>
    <mergeCell ref="F9:G9"/>
    <mergeCell ref="I9:L9"/>
    <mergeCell ref="M9:N9"/>
    <mergeCell ref="A7:C7"/>
    <mergeCell ref="D7:E7"/>
    <mergeCell ref="F7:G7"/>
    <mergeCell ref="I7:L7"/>
    <mergeCell ref="Q7:W7"/>
    <mergeCell ref="A8:C8"/>
    <mergeCell ref="D8:E8"/>
    <mergeCell ref="F8:G8"/>
    <mergeCell ref="I8:L8"/>
    <mergeCell ref="M8:N8"/>
    <mergeCell ref="A6:C6"/>
    <mergeCell ref="D6:E6"/>
    <mergeCell ref="F6:G6"/>
    <mergeCell ref="I6:L6"/>
    <mergeCell ref="M6:N6"/>
    <mergeCell ref="Q6:W6"/>
    <mergeCell ref="A5:C5"/>
    <mergeCell ref="D5:E5"/>
    <mergeCell ref="F5:G5"/>
    <mergeCell ref="I5:L5"/>
    <mergeCell ref="M5:N5"/>
    <mergeCell ref="Q5:W5"/>
    <mergeCell ref="A1:K1"/>
    <mergeCell ref="L1:U1"/>
    <mergeCell ref="M3:N3"/>
    <mergeCell ref="Q3:W3"/>
    <mergeCell ref="A4:C4"/>
    <mergeCell ref="D4:E4"/>
    <mergeCell ref="F4:G4"/>
    <mergeCell ref="I4:L4"/>
    <mergeCell ref="M4:N4"/>
    <mergeCell ref="Q4:W4"/>
  </mergeCells>
  <conditionalFormatting sqref="E23">
    <cfRule type="cellIs" dxfId="44" priority="1" operator="notEqual">
      <formula>"GC 76000 PA ($" &amp;O11 &amp;" for every 10) breakdown per local board of supervisor resolution (BOS)."</formula>
    </cfRule>
  </conditionalFormatting>
  <conditionalFormatting sqref="I16:K31 J32:K36">
    <cfRule type="cellIs" dxfId="43" priority="3" operator="equal">
      <formula>0</formula>
    </cfRule>
  </conditionalFormatting>
  <conditionalFormatting sqref="M16:O36">
    <cfRule type="expression" dxfId="42" priority="4">
      <formula>MOD(ROW(),2)=0</formula>
    </cfRule>
  </conditionalFormatting>
  <conditionalFormatting sqref="Q16:S36 U16:W36">
    <cfRule type="cellIs" dxfId="41" priority="6" stopIfTrue="1" operator="equal">
      <formula>0</formula>
    </cfRule>
  </conditionalFormatting>
  <conditionalFormatting sqref="U12:V12 Y13:Z13 U40:V65522">
    <cfRule type="cellIs" dxfId="40" priority="5" stopIfTrue="1" operator="notEqual">
      <formula>0</formula>
    </cfRule>
  </conditionalFormatting>
  <conditionalFormatting sqref="Z16:Z36">
    <cfRule type="cellIs" dxfId="39" priority="2" operator="greaterThan">
      <formula>0</formula>
    </cfRule>
  </conditionalFormatting>
  <dataValidations count="1">
    <dataValidation type="list" allowBlank="1" showInputMessage="1" showErrorMessage="1" sqref="Y15" xr:uid="{963AD0CD-D97D-40AF-A9E5-6C2B50CFEEC6}">
      <formula1>Distribution_Method</formula1>
    </dataValidation>
  </dataValidations>
  <printOptions horizontalCentered="1"/>
  <pageMargins left="0.25" right="0.25" top="0.75" bottom="0.5" header="0.25" footer="0.25"/>
  <pageSetup scale="66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K31 U31 S31" formula="1"/>
    <ignoredError sqref="E23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Drop-Down List</vt:lpstr>
      <vt:lpstr>2009 UPDATE</vt:lpstr>
      <vt:lpstr>Local Penalties</vt:lpstr>
      <vt:lpstr>Sheet1</vt:lpstr>
      <vt:lpstr>Section</vt:lpstr>
      <vt:lpstr>Acct Mapping</vt:lpstr>
      <vt:lpstr>Pmt Plan Tmpl</vt:lpstr>
      <vt:lpstr>1-DUI (ALT)</vt:lpstr>
      <vt:lpstr>Case Study #1</vt:lpstr>
      <vt:lpstr>Case Study #1.2 Speeding+prior</vt:lpstr>
      <vt:lpstr>Case Study #2 - Speeding TVS</vt:lpstr>
      <vt:lpstr>CaseStudy #3 Multiple Violation</vt:lpstr>
      <vt:lpstr>Case Study #4 - Health &amp; Safety</vt:lpstr>
      <vt:lpstr>Top Down</vt:lpstr>
      <vt:lpstr>Counties</vt:lpstr>
      <vt:lpstr>Court_Name</vt:lpstr>
      <vt:lpstr>Distribution_Method</vt:lpstr>
      <vt:lpstr>'1-DUI (ALT)'!Print_Area</vt:lpstr>
      <vt:lpstr>'Case Study #1'!Print_Area</vt:lpstr>
      <vt:lpstr>'Case Study #1.2 Speeding+prior'!Print_Area</vt:lpstr>
      <vt:lpstr>'Case Study #2 - Speeding TVS'!Print_Area</vt:lpstr>
      <vt:lpstr>'Case Study #4 - Health &amp; Safety'!Print_Area</vt:lpstr>
      <vt:lpstr>'CaseStudy #3 Multiple Violation'!Print_Area</vt:lpstr>
      <vt:lpstr>'Top Down'!Print_Area</vt:lpstr>
      <vt:lpstr>Yes_No</vt:lpstr>
      <vt:lpstr>Yes_No_NA</vt:lpstr>
      <vt:lpstr>Yes_No_NA_City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Mendoza, Ryan;Cabral, Robert</dc:creator>
  <cp:lastModifiedBy>Lira, Maria</cp:lastModifiedBy>
  <cp:lastPrinted>2014-05-27T15:50:06Z</cp:lastPrinted>
  <dcterms:created xsi:type="dcterms:W3CDTF">2007-12-13T20:20:54Z</dcterms:created>
  <dcterms:modified xsi:type="dcterms:W3CDTF">2024-05-08T16:55:41Z</dcterms:modified>
</cp:coreProperties>
</file>