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autoCompressPictures="0" defaultThemeVersion="124226"/>
  <mc:AlternateContent xmlns:mc="http://schemas.openxmlformats.org/markup-compatibility/2006">
    <mc:Choice Requires="x15">
      <x15ac:absPath xmlns:x15ac="http://schemas.microsoft.com/office/spreadsheetml/2010/11/ac" url="Z:\Shared\Sage-Cloud\Projects\21013 Judicial Council of CA\03-RFP\_RFP-Draft\Att C Price Quotation Form\"/>
    </mc:Choice>
  </mc:AlternateContent>
  <xr:revisionPtr revIDLastSave="0" documentId="13_ncr:1_{9926E28D-9188-4CE4-9463-CA22B813C11F}" xr6:coauthVersionLast="47" xr6:coauthVersionMax="47" xr10:uidLastSave="{00000000-0000-0000-0000-000000000000}"/>
  <workbookProtection workbookAlgorithmName="SHA-512" workbookHashValue="NoNRgt1SlPhap3Zi2J1HO0dKuK28cI/20D2gdU46rrvLXqWnIy/VGDKE6Fppi8Rsk7oogZBqO6aL8quiLJoE+A==" workbookSaltValue="bCZMrznLPyfxbSMh68984Q==" workbookSpinCount="100000" lockStructure="1"/>
  <bookViews>
    <workbookView xWindow="45972" yWindow="-2472" windowWidth="30936" windowHeight="16896" tabRatio="873" xr2:uid="{543155B7-E262-4DD2-8CFC-2F588C82FC6B}"/>
  </bookViews>
  <sheets>
    <sheet name="Instructions" sheetId="23" r:id="rId1"/>
    <sheet name="Site Data" sheetId="17" r:id="rId2"/>
    <sheet name="System Specification" sheetId="1" r:id="rId3"/>
    <sheet name="BESS Savings" sheetId="67" r:id="rId4"/>
    <sheet name="PeGu" sheetId="48" r:id="rId5"/>
    <sheet name="Microgrid Proposal" sheetId="57" r:id="rId6"/>
    <sheet name="Solar+Storage Proposal" sheetId="61" r:id="rId7"/>
    <sheet name="Solar-Only Proposal" sheetId="62" r:id="rId8"/>
    <sheet name="Summary &amp; Signature" sheetId="52" r:id="rId9"/>
    <sheet name="Lists" sheetId="4" state="hidden" r:id="rId10"/>
  </sheets>
  <definedNames>
    <definedName name="_xlnm._FilterDatabase" localSheetId="1" hidden="1">'Site Data'!#REF!</definedName>
    <definedName name="_True_False">#REF!</definedName>
    <definedName name="Active_Tariffs">Lists!$E$15:$E$34</definedName>
    <definedName name="BESS_Savings_Column_Names">'BESS Savings'!$B$10:$L$10</definedName>
    <definedName name="BESS_Savings_Table">'BESS Savings'!$B$10:$L$43</definedName>
    <definedName name="CO2_Table">Lists!$A$38:$B$41</definedName>
    <definedName name="DC_Array_Size">'System Specification'!#REF!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'System Specification'!#REF!</definedName>
    <definedName name="Option_1">TRUE</definedName>
    <definedName name="PGE_Tariffs">Lists!$A$15:$A$25</definedName>
    <definedName name="PPA_Column_Names" localSheetId="6">'Solar+Storage Proposal'!#REF!</definedName>
    <definedName name="PPA_Column_Names" localSheetId="7">'Solar-Only Proposal'!#REF!</definedName>
    <definedName name="PPA_Column_Names">'Microgrid Proposal'!#REF!</definedName>
    <definedName name="PPA_Contract_Term">Lists!$C$10:$C$11</definedName>
    <definedName name="PPA_Datatable" localSheetId="6">'Solar+Storage Proposal'!#REF!</definedName>
    <definedName name="PPA_Datatable" localSheetId="7">'Solar-Only Proposal'!#REF!</definedName>
    <definedName name="PPA_Datatable">'Microgrid Proposal'!#REF!</definedName>
    <definedName name="PPA_DevCosts_ColOffset" localSheetId="6">'Solar+Storage Proposal'!#REF!+1</definedName>
    <definedName name="PPA_DevCosts_ColOffset" localSheetId="7">'Solar-Only Proposal'!#REF!+1</definedName>
    <definedName name="PPA_DevCosts_ColOffset">'Microgrid Proposal'!#REF!+1</definedName>
    <definedName name="PPA_Site_Numbers" localSheetId="6">'Solar+Storage Proposal'!#REF!</definedName>
    <definedName name="PPA_Site_Numbers" localSheetId="7">'Solar-Only Proposal'!#REF!</definedName>
    <definedName name="PPA_Site_Numbers">'Microgrid Proposal'!#REF!</definedName>
    <definedName name="PPA_Site_per_Row" localSheetId="6">'Solar+Storage Proposal'!#REF!</definedName>
    <definedName name="PPA_Site_per_Row" localSheetId="7">'Solar-Only Proposal'!#REF!</definedName>
    <definedName name="PPA_Site_per_Row">'Microgrid Proposal'!#REF!</definedName>
    <definedName name="_xlnm.Print_Area" localSheetId="0">Instructions!$A$1:$L$48</definedName>
    <definedName name="_xlnm.Print_Area" localSheetId="5">'Microgrid Proposal'!$A$3:$O$64</definedName>
    <definedName name="_xlnm.Print_Area" localSheetId="1">'Site Data'!$A$1:$N$40</definedName>
    <definedName name="_xlnm.Print_Area" localSheetId="6">'Solar+Storage Proposal'!$A$3:$O$64</definedName>
    <definedName name="_xlnm.Print_Area" localSheetId="7">'Solar-Only Proposal'!$A$3:$O$64</definedName>
    <definedName name="_xlnm.Print_Area" localSheetId="2">'System Specification'!$B$3:$Q$47</definedName>
    <definedName name="_xlnm.Print_Titles" localSheetId="5">'Microgrid Proposal'!$3:$7</definedName>
    <definedName name="_xlnm.Print_Titles" localSheetId="1">'Site Data'!$A:$B</definedName>
    <definedName name="_xlnm.Print_Titles" localSheetId="6">'Solar+Storage Proposal'!$3:$7</definedName>
    <definedName name="_xlnm.Print_Titles" localSheetId="7">'Solar-Only Proposal'!$3:$7</definedName>
    <definedName name="_xlnm.Print_Titles" localSheetId="2">'System Specification'!$B:$G,'System Specification'!$3:$8</definedName>
    <definedName name="Prod_Yr_1">'System Specification'!$I$15:$I$46</definedName>
    <definedName name="Production_Summary_Column_Names">#REF!</definedName>
    <definedName name="Production_Summary_Table">#REF!</definedName>
    <definedName name="SCE_Tariffs">Lists!$B$15:$B$28</definedName>
    <definedName name="Site_Data_Column_Names">'Site Data'!$A$5:$S$5</definedName>
    <definedName name="Site_Data_Table">'Site Data'!$A$5:$S$37</definedName>
    <definedName name="System_Spec_Column_Names">'System Specification'!$B$14:$Q$14</definedName>
    <definedName name="System_Spec_Site_Num">'System Specification'!$A$15:$A$46</definedName>
    <definedName name="System_Spec_Table">'System Specification'!$B$14:$Q$47</definedName>
    <definedName name="System_Years">INDIRECT(OFFSET(#REF!,0,0,#REF!))</definedName>
    <definedName name="Vendor_Name">'System Specification'!$D$6</definedName>
    <definedName name="Yes_No">Lists!$A$10:$A$11</definedName>
    <definedName name="Yes_No_List">Instructions!$B$10:$B$11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7" i="1" l="1"/>
  <c r="M38" i="17" l="1"/>
  <c r="B46" i="48" l="1" a="1"/>
  <c r="B46" i="48" s="1"/>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D51" i="52"/>
  <c r="C51" i="52"/>
  <c r="B51" i="52"/>
  <c r="A51" i="52"/>
  <c r="N43" i="67"/>
  <c r="M43" i="67"/>
  <c r="O42" i="67"/>
  <c r="O41" i="67"/>
  <c r="O40" i="67"/>
  <c r="O39" i="67"/>
  <c r="O38" i="67"/>
  <c r="O37" i="67"/>
  <c r="O36" i="67"/>
  <c r="O35" i="67"/>
  <c r="O34" i="67"/>
  <c r="O33" i="67"/>
  <c r="O32" i="67"/>
  <c r="O31" i="67"/>
  <c r="O30" i="67"/>
  <c r="O29" i="67"/>
  <c r="O28" i="67"/>
  <c r="O27" i="67"/>
  <c r="O26" i="67"/>
  <c r="O25" i="67"/>
  <c r="O24" i="67"/>
  <c r="O23" i="67"/>
  <c r="O22" i="67"/>
  <c r="O21" i="67"/>
  <c r="O20" i="67"/>
  <c r="O19" i="67"/>
  <c r="O18" i="67"/>
  <c r="O17" i="67"/>
  <c r="O16" i="67"/>
  <c r="O15" i="67"/>
  <c r="O14" i="67"/>
  <c r="O13" i="67"/>
  <c r="O12" i="67"/>
  <c r="O11" i="67"/>
  <c r="O43" i="67" s="1"/>
  <c r="F84" i="52" s="1"/>
  <c r="F52" i="52" l="1"/>
  <c r="E93" i="52"/>
  <c r="E92" i="52"/>
  <c r="A92" i="52"/>
  <c r="A93" i="52"/>
  <c r="E101" i="52"/>
  <c r="E100" i="52"/>
  <c r="E99" i="52"/>
  <c r="A101" i="52"/>
  <c r="A100" i="52"/>
  <c r="A99" i="52"/>
  <c r="A98" i="52"/>
  <c r="A97" i="52"/>
  <c r="A3" i="52"/>
  <c r="A3" i="62"/>
  <c r="A3" i="61"/>
  <c r="A3" i="57"/>
  <c r="B3" i="67"/>
  <c r="B3" i="1"/>
  <c r="A1" i="17"/>
  <c r="R31" i="62"/>
  <c r="R30" i="62"/>
  <c r="S31" i="61"/>
  <c r="S30" i="61"/>
  <c r="S31" i="57"/>
  <c r="S30" i="57"/>
  <c r="H11" i="67" l="1"/>
  <c r="K43" i="67"/>
  <c r="J43" i="67"/>
  <c r="I43" i="67"/>
  <c r="L42" i="67"/>
  <c r="L41" i="67"/>
  <c r="L40" i="67"/>
  <c r="L39" i="67"/>
  <c r="L38" i="67"/>
  <c r="L37" i="67"/>
  <c r="L36" i="67"/>
  <c r="L35" i="67"/>
  <c r="L34" i="67"/>
  <c r="L33" i="67"/>
  <c r="L32" i="67"/>
  <c r="L31" i="67"/>
  <c r="L30" i="67"/>
  <c r="L29" i="67"/>
  <c r="L28" i="67"/>
  <c r="L27" i="67"/>
  <c r="L26" i="67"/>
  <c r="L25" i="67"/>
  <c r="L24" i="67"/>
  <c r="L23" i="67"/>
  <c r="L22" i="67"/>
  <c r="L21" i="67"/>
  <c r="L20" i="67"/>
  <c r="L19" i="67"/>
  <c r="L18" i="67"/>
  <c r="L17" i="67"/>
  <c r="L16" i="67"/>
  <c r="L15" i="67"/>
  <c r="L14" i="67"/>
  <c r="L13" i="67"/>
  <c r="L12" i="67"/>
  <c r="B12" i="67"/>
  <c r="L11" i="67"/>
  <c r="E52" i="52" s="1"/>
  <c r="D11" i="67"/>
  <c r="A11" i="67"/>
  <c r="A12" i="67" s="1"/>
  <c r="A13" i="67" s="1"/>
  <c r="F10" i="67"/>
  <c r="E10" i="67"/>
  <c r="E11" i="67" s="1"/>
  <c r="C10" i="67"/>
  <c r="C11" i="67" s="1"/>
  <c r="B10" i="67"/>
  <c r="B4" i="67"/>
  <c r="A94" i="52"/>
  <c r="E94" i="52"/>
  <c r="AE12" i="52"/>
  <c r="V12" i="52"/>
  <c r="P12" i="52"/>
  <c r="O12" i="52"/>
  <c r="N12" i="52"/>
  <c r="M12" i="52"/>
  <c r="Q62" i="62"/>
  <c r="Q61" i="62"/>
  <c r="Q60" i="62"/>
  <c r="Q59" i="62"/>
  <c r="Q58" i="62"/>
  <c r="Q57" i="62"/>
  <c r="Q56" i="62"/>
  <c r="Q55" i="62"/>
  <c r="Q54" i="62"/>
  <c r="Q53" i="62"/>
  <c r="Q52" i="62"/>
  <c r="Q51" i="62"/>
  <c r="Q50" i="62"/>
  <c r="Q49" i="62"/>
  <c r="Q48" i="62"/>
  <c r="Q47" i="62"/>
  <c r="Q46" i="62"/>
  <c r="Q45" i="62"/>
  <c r="Q44" i="62"/>
  <c r="Q42" i="62"/>
  <c r="Q41" i="62"/>
  <c r="Q40" i="62"/>
  <c r="Q39" i="62"/>
  <c r="Q38" i="62"/>
  <c r="Q37" i="62"/>
  <c r="Q36" i="62"/>
  <c r="Q35" i="62"/>
  <c r="Q34" i="62"/>
  <c r="Q33" i="62"/>
  <c r="Q32" i="62"/>
  <c r="Q31" i="62"/>
  <c r="R62" i="61"/>
  <c r="R61" i="61"/>
  <c r="R60" i="61"/>
  <c r="R59" i="61"/>
  <c r="R58" i="61"/>
  <c r="R57" i="61"/>
  <c r="R56" i="61"/>
  <c r="R55" i="61"/>
  <c r="R54" i="61"/>
  <c r="R53" i="61"/>
  <c r="R52" i="61"/>
  <c r="R51" i="61"/>
  <c r="R50" i="61"/>
  <c r="R49" i="61"/>
  <c r="R48" i="61"/>
  <c r="R47" i="61"/>
  <c r="R46" i="61"/>
  <c r="R45" i="61"/>
  <c r="R44" i="61"/>
  <c r="R42" i="61"/>
  <c r="R41" i="61"/>
  <c r="R40" i="61"/>
  <c r="R39" i="61"/>
  <c r="R38" i="61"/>
  <c r="R37" i="61"/>
  <c r="R36" i="61"/>
  <c r="R35" i="61"/>
  <c r="R34" i="61"/>
  <c r="R33" i="61"/>
  <c r="R32" i="61"/>
  <c r="R31" i="61"/>
  <c r="R62" i="57"/>
  <c r="R61" i="57"/>
  <c r="R60" i="57"/>
  <c r="R59" i="57"/>
  <c r="R58" i="57"/>
  <c r="R57" i="57"/>
  <c r="R56" i="57"/>
  <c r="R55" i="57"/>
  <c r="R54" i="57"/>
  <c r="R53" i="57"/>
  <c r="R52" i="57"/>
  <c r="R51" i="57"/>
  <c r="R50" i="57"/>
  <c r="R49" i="57"/>
  <c r="R48" i="57"/>
  <c r="R47" i="57"/>
  <c r="R46" i="57"/>
  <c r="R45" i="57"/>
  <c r="R44" i="57"/>
  <c r="R42" i="57"/>
  <c r="R41" i="57"/>
  <c r="R40" i="57"/>
  <c r="R39" i="57"/>
  <c r="R38" i="57"/>
  <c r="R37" i="57"/>
  <c r="R36" i="57"/>
  <c r="R35" i="57"/>
  <c r="R34" i="57"/>
  <c r="R33" i="57"/>
  <c r="R32" i="57"/>
  <c r="R31" i="57"/>
  <c r="S30" i="62"/>
  <c r="T30" i="61"/>
  <c r="T31" i="61" s="1"/>
  <c r="T30" i="57"/>
  <c r="S31" i="62"/>
  <c r="A89" i="52"/>
  <c r="A90" i="52"/>
  <c r="A91" i="52"/>
  <c r="E91" i="52"/>
  <c r="E90" i="52"/>
  <c r="A88" i="52"/>
  <c r="A87" i="52"/>
  <c r="H12" i="67" l="1"/>
  <c r="L43" i="67"/>
  <c r="E84" i="52" s="1"/>
  <c r="B13" i="67"/>
  <c r="A14" i="67"/>
  <c r="E12" i="67"/>
  <c r="C12" i="67"/>
  <c r="D12" i="67"/>
  <c r="T31" i="57"/>
  <c r="H13" i="67" l="1"/>
  <c r="E13" i="67"/>
  <c r="B14" i="67"/>
  <c r="D13" i="67"/>
  <c r="C13" i="67"/>
  <c r="A15" i="67"/>
  <c r="B15" i="67" l="1"/>
  <c r="H15" i="67" s="1"/>
  <c r="H14" i="67"/>
  <c r="C14" i="67"/>
  <c r="E14" i="67"/>
  <c r="D14" i="67"/>
  <c r="A16" i="67"/>
  <c r="D15" i="67"/>
  <c r="C15" i="67"/>
  <c r="B16" i="67"/>
  <c r="H16" i="67" s="1"/>
  <c r="E15" i="67"/>
  <c r="Z12" i="52"/>
  <c r="AH46" i="52"/>
  <c r="AG45" i="52"/>
  <c r="AF45" i="52"/>
  <c r="AE45" i="52"/>
  <c r="AD45" i="52"/>
  <c r="AC45" i="52"/>
  <c r="AB45" i="52"/>
  <c r="AA45" i="52"/>
  <c r="Z45" i="52"/>
  <c r="AG44" i="52"/>
  <c r="AF44" i="52"/>
  <c r="AE44" i="52"/>
  <c r="AD44" i="52"/>
  <c r="AC44" i="52"/>
  <c r="AB44" i="52"/>
  <c r="AA44" i="52"/>
  <c r="Z44" i="52"/>
  <c r="AG43" i="52"/>
  <c r="AF43" i="52"/>
  <c r="AE43" i="52"/>
  <c r="AD43" i="52"/>
  <c r="AC43" i="52"/>
  <c r="AB43" i="52"/>
  <c r="AA43" i="52"/>
  <c r="Z43" i="52"/>
  <c r="AG42" i="52"/>
  <c r="AF42" i="52"/>
  <c r="AE42" i="52"/>
  <c r="AD42" i="52"/>
  <c r="AC42" i="52"/>
  <c r="AB42" i="52"/>
  <c r="AA42" i="52"/>
  <c r="Z42" i="52"/>
  <c r="AG41" i="52"/>
  <c r="AF41" i="52"/>
  <c r="AE41" i="52"/>
  <c r="AD41" i="52"/>
  <c r="AC41" i="52"/>
  <c r="AB41" i="52"/>
  <c r="AA41" i="52"/>
  <c r="Z41" i="52"/>
  <c r="AG40" i="52"/>
  <c r="AF40" i="52"/>
  <c r="AE40" i="52"/>
  <c r="AD40" i="52"/>
  <c r="AC40" i="52"/>
  <c r="AB40" i="52"/>
  <c r="AA40" i="52"/>
  <c r="Z40" i="52"/>
  <c r="AG39" i="52"/>
  <c r="AF39" i="52"/>
  <c r="AE39" i="52"/>
  <c r="AD39" i="52"/>
  <c r="AC39" i="52"/>
  <c r="AB39" i="52"/>
  <c r="AA39" i="52"/>
  <c r="Z39" i="52"/>
  <c r="AG38" i="52"/>
  <c r="AF38" i="52"/>
  <c r="AE38" i="52"/>
  <c r="AD38" i="52"/>
  <c r="AC38" i="52"/>
  <c r="AB38" i="52"/>
  <c r="AA38" i="52"/>
  <c r="Z38" i="52"/>
  <c r="AG37" i="52"/>
  <c r="AF37" i="52"/>
  <c r="AE37" i="52"/>
  <c r="AD37" i="52"/>
  <c r="AC37" i="52"/>
  <c r="AB37" i="52"/>
  <c r="AA37" i="52"/>
  <c r="Z37" i="52"/>
  <c r="AG36" i="52"/>
  <c r="AF36" i="52"/>
  <c r="AE36" i="52"/>
  <c r="AD36" i="52"/>
  <c r="AC36" i="52"/>
  <c r="AB36" i="52"/>
  <c r="AA36" i="52"/>
  <c r="Z36" i="52"/>
  <c r="AG35" i="52"/>
  <c r="AF35" i="52"/>
  <c r="AE35" i="52"/>
  <c r="AD35" i="52"/>
  <c r="AC35" i="52"/>
  <c r="AB35" i="52"/>
  <c r="AA35" i="52"/>
  <c r="Z35" i="52"/>
  <c r="AG34" i="52"/>
  <c r="AF34" i="52"/>
  <c r="AE34" i="52"/>
  <c r="AD34" i="52"/>
  <c r="AC34" i="52"/>
  <c r="AB34" i="52"/>
  <c r="AA34" i="52"/>
  <c r="Z34" i="52"/>
  <c r="AG33" i="52"/>
  <c r="AF33" i="52"/>
  <c r="AE33" i="52"/>
  <c r="AD33" i="52"/>
  <c r="AC33" i="52"/>
  <c r="AB33" i="52"/>
  <c r="AA33" i="52"/>
  <c r="Z33" i="52"/>
  <c r="AG32" i="52"/>
  <c r="AF32" i="52"/>
  <c r="AE32" i="52"/>
  <c r="AD32" i="52"/>
  <c r="AC32" i="52"/>
  <c r="AB32" i="52"/>
  <c r="AA32" i="52"/>
  <c r="Z32" i="52"/>
  <c r="AG31" i="52"/>
  <c r="AF31" i="52"/>
  <c r="AE31" i="52"/>
  <c r="AD31" i="52"/>
  <c r="AC31" i="52"/>
  <c r="AB31" i="52"/>
  <c r="AA31" i="52"/>
  <c r="Z31" i="52"/>
  <c r="AG30" i="52"/>
  <c r="AF30" i="52"/>
  <c r="AE30" i="52"/>
  <c r="AD30" i="52"/>
  <c r="AC30" i="52"/>
  <c r="AB30" i="52"/>
  <c r="AA30" i="52"/>
  <c r="Z30" i="52"/>
  <c r="AG29" i="52"/>
  <c r="AF29" i="52"/>
  <c r="AE29" i="52"/>
  <c r="AD29" i="52"/>
  <c r="AC29" i="52"/>
  <c r="AB29" i="52"/>
  <c r="AA29" i="52"/>
  <c r="Z29" i="52"/>
  <c r="AG28" i="52"/>
  <c r="AF28" i="52"/>
  <c r="AE28" i="52"/>
  <c r="AD28" i="52"/>
  <c r="AC28" i="52"/>
  <c r="AB28" i="52"/>
  <c r="AA28" i="52"/>
  <c r="Z28" i="52"/>
  <c r="AG27" i="52"/>
  <c r="AF27" i="52"/>
  <c r="AE27" i="52"/>
  <c r="AD27" i="52"/>
  <c r="AC27" i="52"/>
  <c r="AB27" i="52"/>
  <c r="AA27" i="52"/>
  <c r="Z27" i="52"/>
  <c r="AG26" i="52"/>
  <c r="AF26" i="52"/>
  <c r="AD26" i="52"/>
  <c r="AC26" i="52"/>
  <c r="AB26" i="52"/>
  <c r="AA26" i="52"/>
  <c r="Z26" i="52"/>
  <c r="AG25" i="52"/>
  <c r="AF25" i="52"/>
  <c r="AE25" i="52"/>
  <c r="AD25" i="52"/>
  <c r="AC25" i="52"/>
  <c r="AB25" i="52"/>
  <c r="AA25" i="52"/>
  <c r="Z25" i="52"/>
  <c r="AG24" i="52"/>
  <c r="AF24" i="52"/>
  <c r="AE24" i="52"/>
  <c r="AD24" i="52"/>
  <c r="AC24" i="52"/>
  <c r="AB24" i="52"/>
  <c r="AA24" i="52"/>
  <c r="Z24" i="52"/>
  <c r="AG23" i="52"/>
  <c r="AF23" i="52"/>
  <c r="AE23" i="52"/>
  <c r="AD23" i="52"/>
  <c r="AC23" i="52"/>
  <c r="AB23" i="52"/>
  <c r="AA23" i="52"/>
  <c r="Z23" i="52"/>
  <c r="AG22" i="52"/>
  <c r="AF22" i="52"/>
  <c r="AE22" i="52"/>
  <c r="AD22" i="52"/>
  <c r="AC22" i="52"/>
  <c r="AB22" i="52"/>
  <c r="AA22" i="52"/>
  <c r="Z22" i="52"/>
  <c r="AG21" i="52"/>
  <c r="AF21" i="52"/>
  <c r="AE21" i="52"/>
  <c r="AD21" i="52"/>
  <c r="AC21" i="52"/>
  <c r="AB21" i="52"/>
  <c r="AA21" i="52"/>
  <c r="Z21" i="52"/>
  <c r="AG20" i="52"/>
  <c r="AF20" i="52"/>
  <c r="AE20" i="52"/>
  <c r="AD20" i="52"/>
  <c r="AC20" i="52"/>
  <c r="AB20" i="52"/>
  <c r="AA20" i="52"/>
  <c r="Z20" i="52"/>
  <c r="AG19" i="52"/>
  <c r="AF19" i="52"/>
  <c r="AE19" i="52"/>
  <c r="AD19" i="52"/>
  <c r="AC19" i="52"/>
  <c r="AB19" i="52"/>
  <c r="AA19" i="52"/>
  <c r="Z19" i="52"/>
  <c r="AG18" i="52"/>
  <c r="AF18" i="52"/>
  <c r="AE18" i="52"/>
  <c r="AD18" i="52"/>
  <c r="AC18" i="52"/>
  <c r="AB18" i="52"/>
  <c r="AA18" i="52"/>
  <c r="Z18" i="52"/>
  <c r="AG17" i="52"/>
  <c r="AF17" i="52"/>
  <c r="AE17" i="52"/>
  <c r="AD17" i="52"/>
  <c r="AC17" i="52"/>
  <c r="AB17" i="52"/>
  <c r="AA17" i="52"/>
  <c r="Z17" i="52"/>
  <c r="AG16" i="52"/>
  <c r="AF16" i="52"/>
  <c r="AE16" i="52"/>
  <c r="AD16" i="52"/>
  <c r="AC16" i="52"/>
  <c r="AB16" i="52"/>
  <c r="AA16" i="52"/>
  <c r="Z16" i="52"/>
  <c r="AG15" i="52"/>
  <c r="AF15" i="52"/>
  <c r="AE15" i="52"/>
  <c r="AD15" i="52"/>
  <c r="AC15" i="52"/>
  <c r="AB15" i="52"/>
  <c r="AA15" i="52"/>
  <c r="Z15" i="52"/>
  <c r="AG14" i="52"/>
  <c r="AF14" i="52"/>
  <c r="AE14" i="52"/>
  <c r="AD14" i="52"/>
  <c r="AC14" i="52"/>
  <c r="AB14" i="52"/>
  <c r="AA14" i="52"/>
  <c r="Z14" i="52"/>
  <c r="AH13" i="52"/>
  <c r="AG13" i="52"/>
  <c r="AF13" i="52"/>
  <c r="AE13" i="52"/>
  <c r="AD13" i="52"/>
  <c r="AC13" i="52"/>
  <c r="AB13" i="52"/>
  <c r="AA13" i="52"/>
  <c r="Z13" i="52"/>
  <c r="Y46" i="52"/>
  <c r="X45" i="52"/>
  <c r="W45" i="52"/>
  <c r="V45" i="52"/>
  <c r="U45" i="52"/>
  <c r="T45" i="52"/>
  <c r="S45" i="52"/>
  <c r="R45" i="52"/>
  <c r="Q45" i="52"/>
  <c r="X44" i="52"/>
  <c r="W44" i="52"/>
  <c r="V44" i="52"/>
  <c r="U44" i="52"/>
  <c r="T44" i="52"/>
  <c r="S44" i="52"/>
  <c r="R44" i="52"/>
  <c r="Q44" i="52"/>
  <c r="X43" i="52"/>
  <c r="W43" i="52"/>
  <c r="V43" i="52"/>
  <c r="U43" i="52"/>
  <c r="T43" i="52"/>
  <c r="S43" i="52"/>
  <c r="R43" i="52"/>
  <c r="Q43" i="52"/>
  <c r="X42" i="52"/>
  <c r="W42" i="52"/>
  <c r="V42" i="52"/>
  <c r="U42" i="52"/>
  <c r="T42" i="52"/>
  <c r="S42" i="52"/>
  <c r="R42" i="52"/>
  <c r="Q42" i="52"/>
  <c r="X41" i="52"/>
  <c r="W41" i="52"/>
  <c r="V41" i="52"/>
  <c r="U41" i="52"/>
  <c r="T41" i="52"/>
  <c r="S41" i="52"/>
  <c r="R41" i="52"/>
  <c r="Q41" i="52"/>
  <c r="X40" i="52"/>
  <c r="W40" i="52"/>
  <c r="V40" i="52"/>
  <c r="U40" i="52"/>
  <c r="T40" i="52"/>
  <c r="S40" i="52"/>
  <c r="R40" i="52"/>
  <c r="Q40" i="52"/>
  <c r="X39" i="52"/>
  <c r="W39" i="52"/>
  <c r="V39" i="52"/>
  <c r="U39" i="52"/>
  <c r="T39" i="52"/>
  <c r="S39" i="52"/>
  <c r="R39" i="52"/>
  <c r="Q39" i="52"/>
  <c r="X38" i="52"/>
  <c r="W38" i="52"/>
  <c r="V38" i="52"/>
  <c r="U38" i="52"/>
  <c r="T38" i="52"/>
  <c r="S38" i="52"/>
  <c r="R38" i="52"/>
  <c r="Q38" i="52"/>
  <c r="X37" i="52"/>
  <c r="W37" i="52"/>
  <c r="V37" i="52"/>
  <c r="U37" i="52"/>
  <c r="T37" i="52"/>
  <c r="S37" i="52"/>
  <c r="R37" i="52"/>
  <c r="Q37" i="52"/>
  <c r="X36" i="52"/>
  <c r="W36" i="52"/>
  <c r="V36" i="52"/>
  <c r="U36" i="52"/>
  <c r="T36" i="52"/>
  <c r="S36" i="52"/>
  <c r="R36" i="52"/>
  <c r="Q36" i="52"/>
  <c r="X35" i="52"/>
  <c r="W35" i="52"/>
  <c r="V35" i="52"/>
  <c r="U35" i="52"/>
  <c r="T35" i="52"/>
  <c r="S35" i="52"/>
  <c r="R35" i="52"/>
  <c r="Q35" i="52"/>
  <c r="X34" i="52"/>
  <c r="W34" i="52"/>
  <c r="V34" i="52"/>
  <c r="U34" i="52"/>
  <c r="T34" i="52"/>
  <c r="S34" i="52"/>
  <c r="R34" i="52"/>
  <c r="Q34" i="52"/>
  <c r="X33" i="52"/>
  <c r="W33" i="52"/>
  <c r="V33" i="52"/>
  <c r="U33" i="52"/>
  <c r="T33" i="52"/>
  <c r="S33" i="52"/>
  <c r="R33" i="52"/>
  <c r="Q33" i="52"/>
  <c r="X32" i="52"/>
  <c r="W32" i="52"/>
  <c r="V32" i="52"/>
  <c r="U32" i="52"/>
  <c r="T32" i="52"/>
  <c r="S32" i="52"/>
  <c r="R32" i="52"/>
  <c r="Q32" i="52"/>
  <c r="X31" i="52"/>
  <c r="W31" i="52"/>
  <c r="V31" i="52"/>
  <c r="U31" i="52"/>
  <c r="T31" i="52"/>
  <c r="S31" i="52"/>
  <c r="R31" i="52"/>
  <c r="Q31" i="52"/>
  <c r="X30" i="52"/>
  <c r="W30" i="52"/>
  <c r="V30" i="52"/>
  <c r="U30" i="52"/>
  <c r="T30" i="52"/>
  <c r="S30" i="52"/>
  <c r="R30" i="52"/>
  <c r="Q30" i="52"/>
  <c r="X29" i="52"/>
  <c r="W29" i="52"/>
  <c r="V29" i="52"/>
  <c r="U29" i="52"/>
  <c r="T29" i="52"/>
  <c r="S29" i="52"/>
  <c r="R29" i="52"/>
  <c r="Q29" i="52"/>
  <c r="X28" i="52"/>
  <c r="W28" i="52"/>
  <c r="V28" i="52"/>
  <c r="U28" i="52"/>
  <c r="T28" i="52"/>
  <c r="S28" i="52"/>
  <c r="R28" i="52"/>
  <c r="Q28" i="52"/>
  <c r="X27" i="52"/>
  <c r="W27" i="52"/>
  <c r="V27" i="52"/>
  <c r="U27" i="52"/>
  <c r="T27" i="52"/>
  <c r="S27" i="52"/>
  <c r="R27" i="52"/>
  <c r="Q27" i="52"/>
  <c r="X26" i="52"/>
  <c r="W26" i="52"/>
  <c r="U26" i="52"/>
  <c r="T26" i="52"/>
  <c r="S26" i="52"/>
  <c r="R26" i="52"/>
  <c r="Q26" i="52"/>
  <c r="X25" i="52"/>
  <c r="W25" i="52"/>
  <c r="V25" i="52"/>
  <c r="U25" i="52"/>
  <c r="T25" i="52"/>
  <c r="S25" i="52"/>
  <c r="R25" i="52"/>
  <c r="Q25" i="52"/>
  <c r="X24" i="52"/>
  <c r="W24" i="52"/>
  <c r="V24" i="52"/>
  <c r="U24" i="52"/>
  <c r="T24" i="52"/>
  <c r="S24" i="52"/>
  <c r="R24" i="52"/>
  <c r="Q24" i="52"/>
  <c r="X23" i="52"/>
  <c r="W23" i="52"/>
  <c r="V23" i="52"/>
  <c r="U23" i="52"/>
  <c r="T23" i="52"/>
  <c r="S23" i="52"/>
  <c r="R23" i="52"/>
  <c r="Q23" i="52"/>
  <c r="X22" i="52"/>
  <c r="W22" i="52"/>
  <c r="V22" i="52"/>
  <c r="U22" i="52"/>
  <c r="T22" i="52"/>
  <c r="S22" i="52"/>
  <c r="R22" i="52"/>
  <c r="Q22" i="52"/>
  <c r="X21" i="52"/>
  <c r="W21" i="52"/>
  <c r="V21" i="52"/>
  <c r="U21" i="52"/>
  <c r="T21" i="52"/>
  <c r="S21" i="52"/>
  <c r="R21" i="52"/>
  <c r="Q21" i="52"/>
  <c r="X20" i="52"/>
  <c r="W20" i="52"/>
  <c r="V20" i="52"/>
  <c r="U20" i="52"/>
  <c r="T20" i="52"/>
  <c r="S20" i="52"/>
  <c r="R20" i="52"/>
  <c r="Q20" i="52"/>
  <c r="X19" i="52"/>
  <c r="W19" i="52"/>
  <c r="V19" i="52"/>
  <c r="U19" i="52"/>
  <c r="T19" i="52"/>
  <c r="S19" i="52"/>
  <c r="R19" i="52"/>
  <c r="Q19" i="52"/>
  <c r="X18" i="52"/>
  <c r="W18" i="52"/>
  <c r="V18" i="52"/>
  <c r="U18" i="52"/>
  <c r="T18" i="52"/>
  <c r="S18" i="52"/>
  <c r="R18" i="52"/>
  <c r="Q18" i="52"/>
  <c r="X17" i="52"/>
  <c r="W17" i="52"/>
  <c r="V17" i="52"/>
  <c r="U17" i="52"/>
  <c r="T17" i="52"/>
  <c r="S17" i="52"/>
  <c r="R17" i="52"/>
  <c r="Q17" i="52"/>
  <c r="X16" i="52"/>
  <c r="W16" i="52"/>
  <c r="V16" i="52"/>
  <c r="U16" i="52"/>
  <c r="T16" i="52"/>
  <c r="S16" i="52"/>
  <c r="R16" i="52"/>
  <c r="Q16" i="52"/>
  <c r="X15" i="52"/>
  <c r="W15" i="52"/>
  <c r="V15" i="52"/>
  <c r="U15" i="52"/>
  <c r="T15" i="52"/>
  <c r="S15" i="52"/>
  <c r="R15" i="52"/>
  <c r="Q15" i="52"/>
  <c r="X14" i="52"/>
  <c r="W14" i="52"/>
  <c r="V14" i="52"/>
  <c r="U14" i="52"/>
  <c r="T14" i="52"/>
  <c r="S14" i="52"/>
  <c r="R14" i="52"/>
  <c r="Q14" i="52"/>
  <c r="Y13" i="52"/>
  <c r="X13" i="52"/>
  <c r="W13" i="52"/>
  <c r="V13" i="52"/>
  <c r="U13" i="52"/>
  <c r="T13" i="52"/>
  <c r="S13" i="52"/>
  <c r="R13" i="52"/>
  <c r="Q12" i="52"/>
  <c r="Q13" i="52"/>
  <c r="V63" i="62"/>
  <c r="U63" i="62"/>
  <c r="K63" i="62"/>
  <c r="AB46" i="52" s="1"/>
  <c r="J63" i="62"/>
  <c r="AA46" i="52" s="1"/>
  <c r="AH45" i="52"/>
  <c r="C62" i="62"/>
  <c r="AH44" i="52"/>
  <c r="C61" i="62"/>
  <c r="AH43" i="52"/>
  <c r="C60" i="62"/>
  <c r="AH42" i="52"/>
  <c r="C59" i="62"/>
  <c r="AH41" i="52"/>
  <c r="C58" i="62"/>
  <c r="AH40" i="52"/>
  <c r="C57" i="62"/>
  <c r="AH39" i="52"/>
  <c r="C56" i="62"/>
  <c r="AH38" i="52"/>
  <c r="C55" i="62"/>
  <c r="AH37" i="52"/>
  <c r="C54" i="62"/>
  <c r="AH36" i="52"/>
  <c r="C53" i="62"/>
  <c r="AH35" i="52"/>
  <c r="C52" i="62"/>
  <c r="AH34" i="52"/>
  <c r="C51" i="62"/>
  <c r="AH33" i="52"/>
  <c r="C50" i="62"/>
  <c r="AH32" i="52"/>
  <c r="C49" i="62"/>
  <c r="AH31" i="52"/>
  <c r="C48" i="62"/>
  <c r="AH30" i="52"/>
  <c r="C47" i="62"/>
  <c r="AH29" i="52"/>
  <c r="C46" i="62"/>
  <c r="AH28" i="52"/>
  <c r="C45" i="62"/>
  <c r="AH27" i="52"/>
  <c r="C44" i="62"/>
  <c r="C43" i="62"/>
  <c r="AH25" i="52"/>
  <c r="C42" i="62"/>
  <c r="AH24" i="52"/>
  <c r="C41" i="62"/>
  <c r="AH23" i="52"/>
  <c r="C40" i="62"/>
  <c r="AH22" i="52"/>
  <c r="C39" i="62"/>
  <c r="AH21" i="52"/>
  <c r="C38" i="62"/>
  <c r="AH20" i="52"/>
  <c r="C37" i="62"/>
  <c r="AH19" i="52"/>
  <c r="C36" i="62"/>
  <c r="AH18" i="52"/>
  <c r="C35" i="62"/>
  <c r="AH17" i="52"/>
  <c r="C34" i="62"/>
  <c r="AH16" i="52"/>
  <c r="C33" i="62"/>
  <c r="AH15" i="52"/>
  <c r="C32" i="62"/>
  <c r="AH14" i="52"/>
  <c r="E31" i="62"/>
  <c r="C31" i="62"/>
  <c r="H30" i="62"/>
  <c r="H61" i="62" s="1"/>
  <c r="F30" i="62"/>
  <c r="F61" i="62" s="1"/>
  <c r="D30" i="62"/>
  <c r="D60" i="62" s="1"/>
  <c r="B30" i="62"/>
  <c r="B43" i="62" s="1"/>
  <c r="A30" i="62"/>
  <c r="C6" i="62"/>
  <c r="W63" i="61"/>
  <c r="V63" i="61"/>
  <c r="L63" i="61"/>
  <c r="S46" i="52" s="1"/>
  <c r="K63" i="61"/>
  <c r="R46" i="52" s="1"/>
  <c r="Y45" i="52"/>
  <c r="C62" i="61"/>
  <c r="Y44" i="52"/>
  <c r="C61" i="61"/>
  <c r="Y43" i="52"/>
  <c r="C60" i="61"/>
  <c r="Y42" i="52"/>
  <c r="C59" i="61"/>
  <c r="Y41" i="52"/>
  <c r="C58" i="61"/>
  <c r="Y40" i="52"/>
  <c r="C57" i="61"/>
  <c r="Y39" i="52"/>
  <c r="C56" i="61"/>
  <c r="Y38" i="52"/>
  <c r="C55" i="61"/>
  <c r="Y37" i="52"/>
  <c r="C54" i="61"/>
  <c r="Y36" i="52"/>
  <c r="C53" i="61"/>
  <c r="Y35" i="52"/>
  <c r="C52" i="61"/>
  <c r="Y34" i="52"/>
  <c r="C51" i="61"/>
  <c r="Y33" i="52"/>
  <c r="C50" i="61"/>
  <c r="Y32" i="52"/>
  <c r="C49" i="61"/>
  <c r="Y31" i="52"/>
  <c r="C48" i="61"/>
  <c r="Y30" i="52"/>
  <c r="C47" i="61"/>
  <c r="Y29" i="52"/>
  <c r="C46" i="61"/>
  <c r="Y28" i="52"/>
  <c r="C45" i="61"/>
  <c r="Y27" i="52"/>
  <c r="C44" i="61"/>
  <c r="C43" i="61"/>
  <c r="Y25" i="52"/>
  <c r="C42" i="61"/>
  <c r="Y24" i="52"/>
  <c r="C41" i="61"/>
  <c r="Y23" i="52"/>
  <c r="C40" i="61"/>
  <c r="Y22" i="52"/>
  <c r="C39" i="61"/>
  <c r="Y21" i="52"/>
  <c r="C38" i="61"/>
  <c r="Y20" i="52"/>
  <c r="C37" i="61"/>
  <c r="Y19" i="52"/>
  <c r="C36" i="61"/>
  <c r="Y18" i="52"/>
  <c r="C35" i="61"/>
  <c r="Y17" i="52"/>
  <c r="C34" i="61"/>
  <c r="Y16" i="52"/>
  <c r="C33" i="61"/>
  <c r="Y15" i="52"/>
  <c r="C32" i="61"/>
  <c r="Y14" i="52"/>
  <c r="F31" i="61"/>
  <c r="E31" i="61"/>
  <c r="C31" i="61"/>
  <c r="I30" i="61"/>
  <c r="I61" i="61" s="1"/>
  <c r="G30" i="61"/>
  <c r="G61" i="61" s="1"/>
  <c r="D30" i="61"/>
  <c r="D60" i="61" s="1"/>
  <c r="B30" i="61"/>
  <c r="B43" i="61" s="1"/>
  <c r="A30" i="61"/>
  <c r="C6" i="61"/>
  <c r="W63" i="57"/>
  <c r="B31" i="61" l="1"/>
  <c r="D32" i="61"/>
  <c r="D31" i="61"/>
  <c r="B37" i="61"/>
  <c r="D34" i="61"/>
  <c r="A17" i="67"/>
  <c r="E16" i="67"/>
  <c r="D16" i="67"/>
  <c r="C16" i="67"/>
  <c r="B17" i="67"/>
  <c r="H17" i="67" s="1"/>
  <c r="N63" i="62"/>
  <c r="AE46" i="52" s="1"/>
  <c r="O63" i="61"/>
  <c r="V46" i="52" s="1"/>
  <c r="B34" i="61"/>
  <c r="B35" i="61"/>
  <c r="B39" i="61"/>
  <c r="D35" i="61"/>
  <c r="B36" i="61"/>
  <c r="I40" i="61"/>
  <c r="D33" i="61"/>
  <c r="G42" i="61"/>
  <c r="D40" i="62"/>
  <c r="B59" i="62"/>
  <c r="AE26" i="52"/>
  <c r="B51" i="62"/>
  <c r="V26" i="52"/>
  <c r="D37" i="61"/>
  <c r="B41" i="61"/>
  <c r="D39" i="61"/>
  <c r="D43" i="61"/>
  <c r="D41" i="61"/>
  <c r="B32" i="61"/>
  <c r="B51" i="61"/>
  <c r="B59" i="61"/>
  <c r="B38" i="61"/>
  <c r="D36" i="61"/>
  <c r="B40" i="61"/>
  <c r="B44" i="61"/>
  <c r="D38" i="61"/>
  <c r="D40" i="61"/>
  <c r="D42" i="61"/>
  <c r="I32" i="61"/>
  <c r="G34" i="61"/>
  <c r="B47" i="61"/>
  <c r="I36" i="61"/>
  <c r="B33" i="61"/>
  <c r="G38" i="61"/>
  <c r="B55" i="61"/>
  <c r="B46" i="62"/>
  <c r="B36" i="62"/>
  <c r="B44" i="62"/>
  <c r="D36" i="62"/>
  <c r="B34" i="62"/>
  <c r="B47" i="62"/>
  <c r="B55" i="62"/>
  <c r="B42" i="62"/>
  <c r="B38" i="62"/>
  <c r="D32" i="62"/>
  <c r="B40" i="62"/>
  <c r="B48" i="62"/>
  <c r="B32" i="62"/>
  <c r="F41" i="62"/>
  <c r="D31" i="62"/>
  <c r="F32" i="62"/>
  <c r="D35" i="62"/>
  <c r="F36" i="62"/>
  <c r="D39" i="62"/>
  <c r="F40" i="62"/>
  <c r="D43" i="62"/>
  <c r="H32" i="62"/>
  <c r="H36" i="62"/>
  <c r="H40" i="62"/>
  <c r="F44" i="62"/>
  <c r="D47" i="62"/>
  <c r="F48" i="62"/>
  <c r="D51" i="62"/>
  <c r="F52" i="62"/>
  <c r="D55" i="62"/>
  <c r="F56" i="62"/>
  <c r="D59" i="62"/>
  <c r="F60" i="62"/>
  <c r="F37" i="62"/>
  <c r="H44" i="62"/>
  <c r="H48" i="62"/>
  <c r="H52" i="62"/>
  <c r="H56" i="62"/>
  <c r="H60" i="62"/>
  <c r="B50" i="62"/>
  <c r="B54" i="62"/>
  <c r="B58" i="62"/>
  <c r="B62" i="62"/>
  <c r="F31" i="62"/>
  <c r="D34" i="62"/>
  <c r="F35" i="62"/>
  <c r="D38" i="62"/>
  <c r="F39" i="62"/>
  <c r="D42" i="62"/>
  <c r="F43" i="62"/>
  <c r="H31" i="62"/>
  <c r="H35" i="62"/>
  <c r="H39" i="62"/>
  <c r="H43" i="62"/>
  <c r="D46" i="62"/>
  <c r="F47" i="62"/>
  <c r="D50" i="62"/>
  <c r="F51" i="62"/>
  <c r="D54" i="62"/>
  <c r="F55" i="62"/>
  <c r="D58" i="62"/>
  <c r="F59" i="62"/>
  <c r="D62" i="62"/>
  <c r="B33" i="62"/>
  <c r="B37" i="62"/>
  <c r="B41" i="62"/>
  <c r="H47" i="62"/>
  <c r="H51" i="62"/>
  <c r="H55" i="62"/>
  <c r="H59" i="62"/>
  <c r="B45" i="62"/>
  <c r="B49" i="62"/>
  <c r="B53" i="62"/>
  <c r="B57" i="62"/>
  <c r="B61" i="62"/>
  <c r="F38" i="62"/>
  <c r="D33" i="62"/>
  <c r="F34" i="62"/>
  <c r="D37" i="62"/>
  <c r="D41" i="62"/>
  <c r="F42" i="62"/>
  <c r="H34" i="62"/>
  <c r="H38" i="62"/>
  <c r="H42" i="62"/>
  <c r="D45" i="62"/>
  <c r="F46" i="62"/>
  <c r="D49" i="62"/>
  <c r="F50" i="62"/>
  <c r="D53" i="62"/>
  <c r="F54" i="62"/>
  <c r="D57" i="62"/>
  <c r="F58" i="62"/>
  <c r="D61" i="62"/>
  <c r="F62" i="62"/>
  <c r="H46" i="62"/>
  <c r="H50" i="62"/>
  <c r="H54" i="62"/>
  <c r="H58" i="62"/>
  <c r="H62" i="62"/>
  <c r="U31" i="61"/>
  <c r="B52" i="62"/>
  <c r="B56" i="62"/>
  <c r="B60" i="62"/>
  <c r="F33" i="62"/>
  <c r="H33" i="62"/>
  <c r="H37" i="62"/>
  <c r="H41" i="62"/>
  <c r="D44" i="62"/>
  <c r="F45" i="62"/>
  <c r="D48" i="62"/>
  <c r="F49" i="62"/>
  <c r="D52" i="62"/>
  <c r="F53" i="62"/>
  <c r="D56" i="62"/>
  <c r="F57" i="62"/>
  <c r="B31" i="62"/>
  <c r="B35" i="62"/>
  <c r="B39" i="62"/>
  <c r="H45" i="62"/>
  <c r="H49" i="62"/>
  <c r="H53" i="62"/>
  <c r="H57" i="62"/>
  <c r="G32" i="61"/>
  <c r="G44" i="61"/>
  <c r="D47" i="61"/>
  <c r="G48" i="61"/>
  <c r="D51" i="61"/>
  <c r="G52" i="61"/>
  <c r="D55" i="61"/>
  <c r="G56" i="61"/>
  <c r="D59" i="61"/>
  <c r="G60" i="61"/>
  <c r="G36" i="61"/>
  <c r="G40" i="61"/>
  <c r="B42" i="61"/>
  <c r="I44" i="61"/>
  <c r="I48" i="61"/>
  <c r="I52" i="61"/>
  <c r="I56" i="61"/>
  <c r="I60" i="61"/>
  <c r="B46" i="61"/>
  <c r="B50" i="61"/>
  <c r="B54" i="61"/>
  <c r="B58" i="61"/>
  <c r="B62" i="61"/>
  <c r="G39" i="61"/>
  <c r="G43" i="61"/>
  <c r="G31" i="61"/>
  <c r="G35" i="61"/>
  <c r="I31" i="61"/>
  <c r="I35" i="61"/>
  <c r="I39" i="61"/>
  <c r="I43" i="61"/>
  <c r="D46" i="61"/>
  <c r="G47" i="61"/>
  <c r="D50" i="61"/>
  <c r="G51" i="61"/>
  <c r="D54" i="61"/>
  <c r="G55" i="61"/>
  <c r="D58" i="61"/>
  <c r="G59" i="61"/>
  <c r="D62" i="61"/>
  <c r="I47" i="61"/>
  <c r="I51" i="61"/>
  <c r="I55" i="61"/>
  <c r="I59" i="61"/>
  <c r="B45" i="61"/>
  <c r="B49" i="61"/>
  <c r="B53" i="61"/>
  <c r="B57" i="61"/>
  <c r="B61" i="61"/>
  <c r="I34" i="61"/>
  <c r="I38" i="61"/>
  <c r="I42" i="61"/>
  <c r="D45" i="61"/>
  <c r="G46" i="61"/>
  <c r="D49" i="61"/>
  <c r="G50" i="61"/>
  <c r="D53" i="61"/>
  <c r="G54" i="61"/>
  <c r="D57" i="61"/>
  <c r="G58" i="61"/>
  <c r="D61" i="61"/>
  <c r="G62" i="61"/>
  <c r="I46" i="61"/>
  <c r="I50" i="61"/>
  <c r="I54" i="61"/>
  <c r="I58" i="61"/>
  <c r="I62" i="61"/>
  <c r="B48" i="61"/>
  <c r="B52" i="61"/>
  <c r="B56" i="61"/>
  <c r="B60" i="61"/>
  <c r="G33" i="61"/>
  <c r="G37" i="61"/>
  <c r="G41" i="61"/>
  <c r="I33" i="61"/>
  <c r="I37" i="61"/>
  <c r="I41" i="61"/>
  <c r="D44" i="61"/>
  <c r="G45" i="61"/>
  <c r="D48" i="61"/>
  <c r="G49" i="61"/>
  <c r="D52" i="61"/>
  <c r="G53" i="61"/>
  <c r="D56" i="61"/>
  <c r="G57" i="61"/>
  <c r="I45" i="61"/>
  <c r="I49" i="61"/>
  <c r="I53" i="61"/>
  <c r="I57" i="61"/>
  <c r="P45" i="52"/>
  <c r="O45" i="52"/>
  <c r="N45" i="52"/>
  <c r="M45" i="52"/>
  <c r="L45" i="52"/>
  <c r="K45" i="52"/>
  <c r="J45" i="52"/>
  <c r="I45" i="52"/>
  <c r="H45" i="52"/>
  <c r="P44" i="52"/>
  <c r="O44" i="52"/>
  <c r="N44" i="52"/>
  <c r="M44" i="52"/>
  <c r="L44" i="52"/>
  <c r="K44" i="52"/>
  <c r="J44" i="52"/>
  <c r="I44" i="52"/>
  <c r="H44" i="52"/>
  <c r="P43" i="52"/>
  <c r="O43" i="52"/>
  <c r="N43" i="52"/>
  <c r="M43" i="52"/>
  <c r="L43" i="52"/>
  <c r="K43" i="52"/>
  <c r="J43" i="52"/>
  <c r="I43" i="52"/>
  <c r="H43" i="52"/>
  <c r="P42" i="52"/>
  <c r="O42" i="52"/>
  <c r="N42" i="52"/>
  <c r="M42" i="52"/>
  <c r="L42" i="52"/>
  <c r="K42" i="52"/>
  <c r="J42" i="52"/>
  <c r="I42" i="52"/>
  <c r="H42" i="52"/>
  <c r="P41" i="52"/>
  <c r="O41" i="52"/>
  <c r="N41" i="52"/>
  <c r="M41" i="52"/>
  <c r="L41" i="52"/>
  <c r="K41" i="52"/>
  <c r="J41" i="52"/>
  <c r="I41" i="52"/>
  <c r="H41" i="52"/>
  <c r="P40" i="52"/>
  <c r="O40" i="52"/>
  <c r="N40" i="52"/>
  <c r="M40" i="52"/>
  <c r="L40" i="52"/>
  <c r="K40" i="52"/>
  <c r="J40" i="52"/>
  <c r="I40" i="52"/>
  <c r="H40" i="52"/>
  <c r="P39" i="52"/>
  <c r="O39" i="52"/>
  <c r="N39" i="52"/>
  <c r="M39" i="52"/>
  <c r="L39" i="52"/>
  <c r="K39" i="52"/>
  <c r="J39" i="52"/>
  <c r="I39" i="52"/>
  <c r="H39" i="52"/>
  <c r="P38" i="52"/>
  <c r="O38" i="52"/>
  <c r="N38" i="52"/>
  <c r="M38" i="52"/>
  <c r="L38" i="52"/>
  <c r="K38" i="52"/>
  <c r="J38" i="52"/>
  <c r="I38" i="52"/>
  <c r="H38" i="52"/>
  <c r="P37" i="52"/>
  <c r="O37" i="52"/>
  <c r="N37" i="52"/>
  <c r="M37" i="52"/>
  <c r="L37" i="52"/>
  <c r="K37" i="52"/>
  <c r="J37" i="52"/>
  <c r="I37" i="52"/>
  <c r="H37" i="52"/>
  <c r="P36" i="52"/>
  <c r="O36" i="52"/>
  <c r="N36" i="52"/>
  <c r="M36" i="52"/>
  <c r="L36" i="52"/>
  <c r="K36" i="52"/>
  <c r="J36" i="52"/>
  <c r="I36" i="52"/>
  <c r="H36" i="52"/>
  <c r="P35" i="52"/>
  <c r="O35" i="52"/>
  <c r="N35" i="52"/>
  <c r="M35" i="52"/>
  <c r="L35" i="52"/>
  <c r="K35" i="52"/>
  <c r="J35" i="52"/>
  <c r="I35" i="52"/>
  <c r="H35" i="52"/>
  <c r="P34" i="52"/>
  <c r="O34" i="52"/>
  <c r="N34" i="52"/>
  <c r="M34" i="52"/>
  <c r="L34" i="52"/>
  <c r="K34" i="52"/>
  <c r="J34" i="52"/>
  <c r="I34" i="52"/>
  <c r="H34" i="52"/>
  <c r="P33" i="52"/>
  <c r="O33" i="52"/>
  <c r="N33" i="52"/>
  <c r="M33" i="52"/>
  <c r="L33" i="52"/>
  <c r="K33" i="52"/>
  <c r="J33" i="52"/>
  <c r="I33" i="52"/>
  <c r="H33" i="52"/>
  <c r="P32" i="52"/>
  <c r="O32" i="52"/>
  <c r="N32" i="52"/>
  <c r="M32" i="52"/>
  <c r="L32" i="52"/>
  <c r="K32" i="52"/>
  <c r="J32" i="52"/>
  <c r="I32" i="52"/>
  <c r="H32" i="52"/>
  <c r="P31" i="52"/>
  <c r="O31" i="52"/>
  <c r="N31" i="52"/>
  <c r="M31" i="52"/>
  <c r="L31" i="52"/>
  <c r="K31" i="52"/>
  <c r="J31" i="52"/>
  <c r="I31" i="52"/>
  <c r="H31" i="52"/>
  <c r="P30" i="52"/>
  <c r="O30" i="52"/>
  <c r="N30" i="52"/>
  <c r="M30" i="52"/>
  <c r="L30" i="52"/>
  <c r="K30" i="52"/>
  <c r="J30" i="52"/>
  <c r="I30" i="52"/>
  <c r="H30" i="52"/>
  <c r="P29" i="52"/>
  <c r="O29" i="52"/>
  <c r="N29" i="52"/>
  <c r="M29" i="52"/>
  <c r="L29" i="52"/>
  <c r="K29" i="52"/>
  <c r="J29" i="52"/>
  <c r="I29" i="52"/>
  <c r="H29" i="52"/>
  <c r="P28" i="52"/>
  <c r="O28" i="52"/>
  <c r="N28" i="52"/>
  <c r="M28" i="52"/>
  <c r="L28" i="52"/>
  <c r="K28" i="52"/>
  <c r="J28" i="52"/>
  <c r="I28" i="52"/>
  <c r="H28" i="52"/>
  <c r="P27" i="52"/>
  <c r="O27" i="52"/>
  <c r="N27" i="52"/>
  <c r="M27" i="52"/>
  <c r="L27" i="52"/>
  <c r="K27" i="52"/>
  <c r="J27" i="52"/>
  <c r="I27" i="52"/>
  <c r="H27" i="52"/>
  <c r="O26" i="52"/>
  <c r="N26" i="52"/>
  <c r="L26" i="52"/>
  <c r="K26" i="52"/>
  <c r="J26" i="52"/>
  <c r="I26" i="52"/>
  <c r="H26" i="52"/>
  <c r="P25" i="52"/>
  <c r="O25" i="52"/>
  <c r="N25" i="52"/>
  <c r="M25" i="52"/>
  <c r="L25" i="52"/>
  <c r="K25" i="52"/>
  <c r="J25" i="52"/>
  <c r="I25" i="52"/>
  <c r="H25" i="52"/>
  <c r="P24" i="52"/>
  <c r="O24" i="52"/>
  <c r="N24" i="52"/>
  <c r="M24" i="52"/>
  <c r="L24" i="52"/>
  <c r="K24" i="52"/>
  <c r="J24" i="52"/>
  <c r="I24" i="52"/>
  <c r="H24" i="52"/>
  <c r="P23" i="52"/>
  <c r="O23" i="52"/>
  <c r="N23" i="52"/>
  <c r="M23" i="52"/>
  <c r="L23" i="52"/>
  <c r="K23" i="52"/>
  <c r="J23" i="52"/>
  <c r="I23" i="52"/>
  <c r="H23" i="52"/>
  <c r="P22" i="52"/>
  <c r="O22" i="52"/>
  <c r="N22" i="52"/>
  <c r="M22" i="52"/>
  <c r="L22" i="52"/>
  <c r="K22" i="52"/>
  <c r="J22" i="52"/>
  <c r="I22" i="52"/>
  <c r="H22" i="52"/>
  <c r="P21" i="52"/>
  <c r="O21" i="52"/>
  <c r="N21" i="52"/>
  <c r="M21" i="52"/>
  <c r="L21" i="52"/>
  <c r="K21" i="52"/>
  <c r="J21" i="52"/>
  <c r="I21" i="52"/>
  <c r="H21" i="52"/>
  <c r="P20" i="52"/>
  <c r="O20" i="52"/>
  <c r="N20" i="52"/>
  <c r="M20" i="52"/>
  <c r="L20" i="52"/>
  <c r="K20" i="52"/>
  <c r="J20" i="52"/>
  <c r="I20" i="52"/>
  <c r="H20" i="52"/>
  <c r="P19" i="52"/>
  <c r="O19" i="52"/>
  <c r="N19" i="52"/>
  <c r="M19" i="52"/>
  <c r="L19" i="52"/>
  <c r="K19" i="52"/>
  <c r="J19" i="52"/>
  <c r="I19" i="52"/>
  <c r="H19" i="52"/>
  <c r="P18" i="52"/>
  <c r="O18" i="52"/>
  <c r="N18" i="52"/>
  <c r="M18" i="52"/>
  <c r="L18" i="52"/>
  <c r="K18" i="52"/>
  <c r="J18" i="52"/>
  <c r="I18" i="52"/>
  <c r="H18" i="52"/>
  <c r="P17" i="52"/>
  <c r="O17" i="52"/>
  <c r="N17" i="52"/>
  <c r="M17" i="52"/>
  <c r="L17" i="52"/>
  <c r="K17" i="52"/>
  <c r="J17" i="52"/>
  <c r="I17" i="52"/>
  <c r="H17" i="52"/>
  <c r="P16" i="52"/>
  <c r="O16" i="52"/>
  <c r="N16" i="52"/>
  <c r="M16" i="52"/>
  <c r="L16" i="52"/>
  <c r="K16" i="52"/>
  <c r="J16" i="52"/>
  <c r="I16" i="52"/>
  <c r="H16" i="52"/>
  <c r="P15" i="52"/>
  <c r="O15" i="52"/>
  <c r="N15" i="52"/>
  <c r="M15" i="52"/>
  <c r="L15" i="52"/>
  <c r="K15" i="52"/>
  <c r="J15" i="52"/>
  <c r="I15" i="52"/>
  <c r="H15" i="52"/>
  <c r="P14" i="52"/>
  <c r="O14" i="52"/>
  <c r="N14" i="52"/>
  <c r="M14" i="52"/>
  <c r="L14" i="52"/>
  <c r="K14" i="52"/>
  <c r="J14" i="52"/>
  <c r="I14" i="52"/>
  <c r="H14" i="52"/>
  <c r="N13" i="52"/>
  <c r="O13" i="52"/>
  <c r="K13" i="52"/>
  <c r="L13" i="52"/>
  <c r="G30" i="57"/>
  <c r="I30" i="57"/>
  <c r="I62" i="57" s="1"/>
  <c r="L13" i="17"/>
  <c r="L14" i="17"/>
  <c r="G14" i="52"/>
  <c r="I13" i="52"/>
  <c r="J13" i="52"/>
  <c r="M13" i="52"/>
  <c r="P13" i="52"/>
  <c r="H13" i="52"/>
  <c r="H12" i="52"/>
  <c r="D13" i="52"/>
  <c r="D38" i="52" l="1"/>
  <c r="D80" i="52"/>
  <c r="D79" i="52"/>
  <c r="D71" i="52"/>
  <c r="D63" i="52"/>
  <c r="D55" i="52"/>
  <c r="D72" i="52"/>
  <c r="D78" i="52"/>
  <c r="D70" i="52"/>
  <c r="D62" i="52"/>
  <c r="D54" i="52"/>
  <c r="D77" i="52"/>
  <c r="D69" i="52"/>
  <c r="D61" i="52"/>
  <c r="D53" i="52"/>
  <c r="D76" i="52"/>
  <c r="D68" i="52"/>
  <c r="D60" i="52"/>
  <c r="D52" i="52"/>
  <c r="D64" i="52"/>
  <c r="D83" i="52"/>
  <c r="D75" i="52"/>
  <c r="D67" i="52"/>
  <c r="D59" i="52"/>
  <c r="D56" i="52"/>
  <c r="D82" i="52"/>
  <c r="D74" i="52"/>
  <c r="D66" i="52"/>
  <c r="D58" i="52"/>
  <c r="D81" i="52"/>
  <c r="D73" i="52"/>
  <c r="D65" i="52"/>
  <c r="D57" i="52"/>
  <c r="A18" i="67"/>
  <c r="B18" i="67"/>
  <c r="H18" i="67" s="1"/>
  <c r="D17" i="67"/>
  <c r="C17" i="67"/>
  <c r="E17" i="67"/>
  <c r="X31" i="61"/>
  <c r="I36" i="57"/>
  <c r="I38" i="57"/>
  <c r="M26" i="52"/>
  <c r="I39" i="57"/>
  <c r="I41" i="57"/>
  <c r="I43" i="57"/>
  <c r="I44" i="57"/>
  <c r="I47" i="57"/>
  <c r="I48" i="57"/>
  <c r="I55" i="57"/>
  <c r="I57" i="57"/>
  <c r="I58" i="57"/>
  <c r="I59" i="57"/>
  <c r="I60" i="57"/>
  <c r="I61" i="57"/>
  <c r="I34" i="57"/>
  <c r="I35" i="57"/>
  <c r="I45" i="57"/>
  <c r="I50" i="57"/>
  <c r="I51" i="57"/>
  <c r="I31" i="57"/>
  <c r="I52" i="57"/>
  <c r="I32" i="57"/>
  <c r="I54" i="57"/>
  <c r="I42" i="57"/>
  <c r="I33" i="57"/>
  <c r="I49" i="57"/>
  <c r="I37" i="57"/>
  <c r="I53" i="57"/>
  <c r="I40" i="57"/>
  <c r="I56" i="57"/>
  <c r="I46" i="57"/>
  <c r="D28" i="52"/>
  <c r="D37" i="52"/>
  <c r="D36" i="52"/>
  <c r="D39" i="52"/>
  <c r="D41" i="52"/>
  <c r="D20" i="52"/>
  <c r="D23" i="52"/>
  <c r="D24" i="52"/>
  <c r="D26" i="52"/>
  <c r="D21" i="52"/>
  <c r="D25" i="52"/>
  <c r="D27" i="52"/>
  <c r="D40" i="52"/>
  <c r="D42" i="52"/>
  <c r="D43" i="52"/>
  <c r="D29" i="52"/>
  <c r="D45" i="52"/>
  <c r="D14" i="52"/>
  <c r="D30" i="52"/>
  <c r="D15" i="52"/>
  <c r="D31" i="52"/>
  <c r="D44" i="52"/>
  <c r="D16" i="52"/>
  <c r="D32" i="52"/>
  <c r="D17" i="52"/>
  <c r="D33" i="52"/>
  <c r="D18" i="52"/>
  <c r="D34" i="52"/>
  <c r="D19" i="52"/>
  <c r="D35" i="52"/>
  <c r="D22" i="52"/>
  <c r="G62" i="57"/>
  <c r="G61" i="57"/>
  <c r="G60" i="57"/>
  <c r="G59" i="57"/>
  <c r="G58" i="57"/>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7" i="57"/>
  <c r="C36" i="57"/>
  <c r="C35" i="57"/>
  <c r="C34" i="57"/>
  <c r="C33" i="57"/>
  <c r="C32" i="57"/>
  <c r="C31" i="57"/>
  <c r="D30" i="57"/>
  <c r="B30" i="57"/>
  <c r="A30" i="57"/>
  <c r="D15" i="1"/>
  <c r="E14" i="1"/>
  <c r="E15" i="1" s="1"/>
  <c r="F14" i="1"/>
  <c r="L29" i="17"/>
  <c r="L21" i="17"/>
  <c r="L19" i="17"/>
  <c r="A19" i="67" l="1"/>
  <c r="F18" i="67"/>
  <c r="D18" i="67"/>
  <c r="C18" i="67"/>
  <c r="B19" i="67"/>
  <c r="H19" i="67" s="1"/>
  <c r="G18" i="67"/>
  <c r="E18" i="67"/>
  <c r="B57" i="57"/>
  <c r="B52" i="57"/>
  <c r="B50" i="57"/>
  <c r="B46" i="57"/>
  <c r="B40" i="57"/>
  <c r="B36" i="57"/>
  <c r="B34" i="57"/>
  <c r="D62" i="57"/>
  <c r="D46" i="57"/>
  <c r="D40" i="57"/>
  <c r="D34" i="57"/>
  <c r="D31" i="57"/>
  <c r="D41" i="57"/>
  <c r="B47" i="57"/>
  <c r="D57" i="57"/>
  <c r="B31" i="57"/>
  <c r="D36" i="57"/>
  <c r="B42" i="57"/>
  <c r="D52" i="57"/>
  <c r="B58" i="57"/>
  <c r="D47" i="57"/>
  <c r="B53" i="57"/>
  <c r="B48" i="57"/>
  <c r="D58" i="57"/>
  <c r="D53" i="57"/>
  <c r="D42" i="57"/>
  <c r="D37" i="57"/>
  <c r="B43" i="57"/>
  <c r="B59" i="57"/>
  <c r="D32" i="57"/>
  <c r="B38" i="57"/>
  <c r="D48" i="57"/>
  <c r="B54" i="57"/>
  <c r="D43" i="57"/>
  <c r="B37" i="57"/>
  <c r="B32" i="57"/>
  <c r="B33" i="57"/>
  <c r="B49" i="57"/>
  <c r="D59" i="57"/>
  <c r="D38" i="57"/>
  <c r="B44" i="57"/>
  <c r="D54" i="57"/>
  <c r="B60" i="57"/>
  <c r="D33" i="57"/>
  <c r="B39" i="57"/>
  <c r="D49" i="57"/>
  <c r="B55" i="57"/>
  <c r="D44" i="57"/>
  <c r="D60" i="57"/>
  <c r="D39" i="57"/>
  <c r="B45" i="57"/>
  <c r="D55" i="57"/>
  <c r="B61" i="57"/>
  <c r="D50" i="57"/>
  <c r="B56" i="57"/>
  <c r="B35" i="57"/>
  <c r="D45" i="57"/>
  <c r="B51" i="57"/>
  <c r="D61" i="57"/>
  <c r="D56" i="57"/>
  <c r="B62" i="57"/>
  <c r="D35" i="57"/>
  <c r="B41" i="57"/>
  <c r="D51" i="57"/>
  <c r="F31" i="57"/>
  <c r="L47" i="1"/>
  <c r="M47" i="1"/>
  <c r="K10" i="48" l="1"/>
  <c r="E98" i="52" s="1"/>
  <c r="A20" i="67"/>
  <c r="F19" i="67"/>
  <c r="E19" i="67"/>
  <c r="D19" i="67"/>
  <c r="C19" i="67"/>
  <c r="B20" i="67"/>
  <c r="H20" i="67" s="1"/>
  <c r="G19" i="67"/>
  <c r="G13" i="67"/>
  <c r="G14" i="67"/>
  <c r="G15" i="67"/>
  <c r="G16" i="67"/>
  <c r="G17" i="67"/>
  <c r="G12" i="67"/>
  <c r="V63" i="57"/>
  <c r="U31" i="57"/>
  <c r="X31" i="57" s="1"/>
  <c r="L20" i="17"/>
  <c r="O63" i="57"/>
  <c r="M46" i="52" s="1"/>
  <c r="G15" i="1" l="1"/>
  <c r="G11" i="67"/>
  <c r="E20" i="67"/>
  <c r="D20" i="67"/>
  <c r="C20" i="67"/>
  <c r="B21" i="67"/>
  <c r="H21" i="67" s="1"/>
  <c r="G20" i="67"/>
  <c r="A21" i="67"/>
  <c r="N38" i="17"/>
  <c r="K63" i="57"/>
  <c r="I46" i="52" s="1"/>
  <c r="L63" i="57"/>
  <c r="J46" i="52" s="1"/>
  <c r="E31" i="57"/>
  <c r="A22" i="67" l="1"/>
  <c r="D21" i="67"/>
  <c r="C21" i="67"/>
  <c r="B22" i="67"/>
  <c r="H22" i="67" s="1"/>
  <c r="G21" i="67"/>
  <c r="E21" i="67"/>
  <c r="D22" i="67" l="1"/>
  <c r="C22" i="67"/>
  <c r="B23" i="67"/>
  <c r="H23" i="67" s="1"/>
  <c r="G22" i="67"/>
  <c r="E22" i="67"/>
  <c r="A23" i="67"/>
  <c r="E23" i="67" l="1"/>
  <c r="B24" i="67"/>
  <c r="H24" i="67" s="1"/>
  <c r="D23" i="67"/>
  <c r="C23" i="67"/>
  <c r="G23" i="67"/>
  <c r="A24" i="67"/>
  <c r="A25" i="67" l="1"/>
  <c r="F24" i="67"/>
  <c r="D24" i="67"/>
  <c r="C24" i="67"/>
  <c r="B25" i="67"/>
  <c r="H25" i="67" s="1"/>
  <c r="G24" i="67"/>
  <c r="E24" i="67"/>
  <c r="F25" i="67" l="1"/>
  <c r="E25" i="67"/>
  <c r="D25" i="67"/>
  <c r="C25" i="67"/>
  <c r="G25" i="67"/>
  <c r="B26" i="67"/>
  <c r="H26" i="67" s="1"/>
  <c r="A26" i="67"/>
  <c r="A27" i="67" l="1"/>
  <c r="F26" i="67"/>
  <c r="E26" i="67"/>
  <c r="D26" i="67"/>
  <c r="C26" i="67"/>
  <c r="B27" i="67"/>
  <c r="H27" i="67" s="1"/>
  <c r="G26" i="67"/>
  <c r="B28" i="67" l="1"/>
  <c r="H28" i="67" s="1"/>
  <c r="D27" i="67"/>
  <c r="C27" i="67"/>
  <c r="G27" i="67"/>
  <c r="E27" i="67"/>
  <c r="A28" i="67"/>
  <c r="A29" i="67" l="1"/>
  <c r="E28" i="67"/>
  <c r="D28" i="67"/>
  <c r="C28" i="67"/>
  <c r="B29" i="67"/>
  <c r="H29" i="67" s="1"/>
  <c r="G28" i="67"/>
  <c r="D29" i="67" l="1"/>
  <c r="C29" i="67"/>
  <c r="B30" i="67"/>
  <c r="H30" i="67" s="1"/>
  <c r="G29" i="67"/>
  <c r="E29" i="67"/>
  <c r="A30" i="67"/>
  <c r="E30" i="67" l="1"/>
  <c r="D30" i="67"/>
  <c r="C30" i="67"/>
  <c r="B31" i="67"/>
  <c r="H31" i="67" s="1"/>
  <c r="G30" i="67"/>
  <c r="A31" i="67"/>
  <c r="A32" i="67" l="1"/>
  <c r="D31" i="67"/>
  <c r="C31" i="67"/>
  <c r="B32" i="67"/>
  <c r="H32" i="67" s="1"/>
  <c r="G31" i="67"/>
  <c r="E31" i="67"/>
  <c r="A3" i="48"/>
  <c r="E32" i="67" l="1"/>
  <c r="D32" i="67"/>
  <c r="C32" i="67"/>
  <c r="B33" i="67"/>
  <c r="H33" i="67" s="1"/>
  <c r="G32" i="67"/>
  <c r="A33" i="67"/>
  <c r="C6" i="57"/>
  <c r="A34" i="67" l="1"/>
  <c r="D33" i="67"/>
  <c r="C33" i="67"/>
  <c r="B34" i="67"/>
  <c r="H34" i="67" s="1"/>
  <c r="G33" i="67"/>
  <c r="E33" i="67"/>
  <c r="F34" i="67" l="1"/>
  <c r="E34" i="67"/>
  <c r="D34" i="67"/>
  <c r="C34" i="67"/>
  <c r="B35" i="67"/>
  <c r="H35" i="67" s="1"/>
  <c r="G34" i="67"/>
  <c r="A35" i="67"/>
  <c r="A36" i="67" l="1"/>
  <c r="E35" i="67"/>
  <c r="D35" i="67"/>
  <c r="C35" i="67"/>
  <c r="B36" i="67"/>
  <c r="H36" i="67" s="1"/>
  <c r="G35" i="67"/>
  <c r="G36" i="67" l="1"/>
  <c r="E36" i="67"/>
  <c r="D36" i="67"/>
  <c r="C36" i="67"/>
  <c r="B37" i="67"/>
  <c r="H37" i="67" s="1"/>
  <c r="A37" i="67"/>
  <c r="G37" i="67" l="1"/>
  <c r="E37" i="67"/>
  <c r="C37" i="67"/>
  <c r="D37" i="67"/>
  <c r="B38" i="67"/>
  <c r="H38" i="67" s="1"/>
  <c r="A38" i="67"/>
  <c r="A39" i="67" l="1"/>
  <c r="B39" i="67"/>
  <c r="H39" i="67" s="1"/>
  <c r="G38" i="67"/>
  <c r="E38" i="67"/>
  <c r="D38" i="67"/>
  <c r="C38" i="67"/>
  <c r="B40" i="67" l="1"/>
  <c r="H40" i="67" s="1"/>
  <c r="G39" i="67"/>
  <c r="E39" i="67"/>
  <c r="D39" i="67"/>
  <c r="C39" i="67"/>
  <c r="A40" i="67"/>
  <c r="A41" i="67" l="1"/>
  <c r="E40" i="67"/>
  <c r="C40" i="67"/>
  <c r="B41" i="67"/>
  <c r="H41" i="67" s="1"/>
  <c r="G40" i="67"/>
  <c r="D40" i="67"/>
  <c r="E41" i="67" l="1"/>
  <c r="D41" i="67"/>
  <c r="C41" i="67"/>
  <c r="B42" i="67"/>
  <c r="H42" i="67" s="1"/>
  <c r="G41" i="67"/>
  <c r="A42" i="67"/>
  <c r="G42" i="67" l="1"/>
  <c r="E42" i="67"/>
  <c r="D42" i="67"/>
  <c r="C42" i="67"/>
  <c r="E14" i="52" l="1"/>
  <c r="X15" i="1"/>
  <c r="X16" i="1" l="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Y15" i="1"/>
  <c r="B16" i="1"/>
  <c r="S32" i="57" l="1"/>
  <c r="T32" i="57" s="1"/>
  <c r="R32" i="62"/>
  <c r="S32" i="62" s="1"/>
  <c r="S32" i="61"/>
  <c r="T32" i="61" s="1"/>
  <c r="Y16" i="1"/>
  <c r="Y17" i="1"/>
  <c r="Y21" i="1"/>
  <c r="Y30" i="1"/>
  <c r="Y36" i="1"/>
  <c r="Y28" i="1"/>
  <c r="Y37" i="1"/>
  <c r="Y22" i="1"/>
  <c r="Y38" i="1"/>
  <c r="Y33" i="1"/>
  <c r="Y18" i="1"/>
  <c r="Y20" i="1"/>
  <c r="Y24" i="1"/>
  <c r="Y34" i="1"/>
  <c r="Y27" i="1"/>
  <c r="Y32" i="1"/>
  <c r="Y25" i="1"/>
  <c r="Y19" i="1"/>
  <c r="Y29" i="1"/>
  <c r="Y31" i="1"/>
  <c r="Y35" i="1"/>
  <c r="Y23" i="1"/>
  <c r="Y26" i="1"/>
  <c r="G16" i="1"/>
  <c r="E32" i="62"/>
  <c r="F32" i="61"/>
  <c r="E32" i="61"/>
  <c r="G15" i="52"/>
  <c r="E16" i="1"/>
  <c r="D16" i="1"/>
  <c r="F32" i="57"/>
  <c r="B17" i="1"/>
  <c r="G17" i="1" s="1"/>
  <c r="E32" i="57"/>
  <c r="E15" i="52"/>
  <c r="S33" i="57" l="1"/>
  <c r="S33" i="61"/>
  <c r="T33" i="61" s="1"/>
  <c r="U33" i="61" s="1"/>
  <c r="X33" i="61" s="1"/>
  <c r="R33" i="62"/>
  <c r="S33" i="62" s="1"/>
  <c r="U32" i="61"/>
  <c r="T33" i="57"/>
  <c r="U33" i="57" s="1"/>
  <c r="X33" i="57" s="1"/>
  <c r="U32" i="57"/>
  <c r="E16" i="52"/>
  <c r="E33" i="57"/>
  <c r="E33" i="61"/>
  <c r="E33" i="62"/>
  <c r="F33" i="61"/>
  <c r="B18" i="1"/>
  <c r="S34" i="57" s="1"/>
  <c r="E17" i="1"/>
  <c r="D17" i="1"/>
  <c r="G16" i="52"/>
  <c r="F33" i="57"/>
  <c r="S34" i="61" l="1"/>
  <c r="E34" i="57"/>
  <c r="R34" i="62"/>
  <c r="S34" i="62" s="1"/>
  <c r="F34" i="61"/>
  <c r="E17" i="52"/>
  <c r="X32" i="57"/>
  <c r="F34" i="57"/>
  <c r="T34" i="61"/>
  <c r="U34" i="61" s="1"/>
  <c r="X34" i="61" s="1"/>
  <c r="E18" i="1"/>
  <c r="T34" i="57"/>
  <c r="U34" i="57" s="1"/>
  <c r="X34" i="57" s="1"/>
  <c r="X32" i="61"/>
  <c r="E34" i="61"/>
  <c r="G17" i="52"/>
  <c r="E34" i="62"/>
  <c r="D18" i="1"/>
  <c r="B19" i="1"/>
  <c r="G18" i="1"/>
  <c r="S35" i="61" l="1"/>
  <c r="T35" i="61" s="1"/>
  <c r="U35" i="61" s="1"/>
  <c r="X35" i="61" s="1"/>
  <c r="E18" i="52"/>
  <c r="E35" i="62"/>
  <c r="S35" i="57"/>
  <c r="T35" i="57" s="1"/>
  <c r="U35" i="57" s="1"/>
  <c r="X35" i="57" s="1"/>
  <c r="R35" i="62"/>
  <c r="S35" i="62" s="1"/>
  <c r="D19" i="1"/>
  <c r="G18" i="52"/>
  <c r="E19" i="1"/>
  <c r="F35" i="61"/>
  <c r="B20" i="1"/>
  <c r="F36" i="57" s="1"/>
  <c r="E35" i="57"/>
  <c r="F35" i="57"/>
  <c r="G19" i="1"/>
  <c r="E35" i="61"/>
  <c r="E36" i="57" l="1"/>
  <c r="G19" i="52"/>
  <c r="E19" i="52"/>
  <c r="D20" i="1"/>
  <c r="G20" i="1"/>
  <c r="S36" i="57"/>
  <c r="T36" i="57" s="1"/>
  <c r="U36" i="57" s="1"/>
  <c r="X36" i="57" s="1"/>
  <c r="F36" i="61"/>
  <c r="E20" i="1"/>
  <c r="R36" i="62"/>
  <c r="S36" i="62" s="1"/>
  <c r="E36" i="61"/>
  <c r="S36" i="61"/>
  <c r="T36" i="61" s="1"/>
  <c r="U36" i="61" s="1"/>
  <c r="X36" i="61" s="1"/>
  <c r="B21" i="1"/>
  <c r="R37" i="62" s="1"/>
  <c r="S37" i="62" s="1"/>
  <c r="E36" i="62"/>
  <c r="G21" i="1" l="1"/>
  <c r="E37" i="57"/>
  <c r="F37" i="61"/>
  <c r="E20" i="52"/>
  <c r="G20" i="52"/>
  <c r="F37" i="57"/>
  <c r="S37" i="57"/>
  <c r="T37" i="57" s="1"/>
  <c r="U37" i="57" s="1"/>
  <c r="X37" i="57" s="1"/>
  <c r="D21" i="1"/>
  <c r="E21" i="1"/>
  <c r="S37" i="61"/>
  <c r="T37" i="61" s="1"/>
  <c r="U37" i="61" s="1"/>
  <c r="X37" i="61" s="1"/>
  <c r="B22" i="1"/>
  <c r="R38" i="62" s="1"/>
  <c r="E37" i="61"/>
  <c r="E37" i="62"/>
  <c r="B23" i="1" l="1"/>
  <c r="S39" i="57" s="1"/>
  <c r="E38" i="57"/>
  <c r="E21" i="52"/>
  <c r="S38" i="62"/>
  <c r="E38" i="62"/>
  <c r="S38" i="57"/>
  <c r="T38" i="57" s="1"/>
  <c r="U38" i="57" s="1"/>
  <c r="S39" i="61"/>
  <c r="T39" i="61" s="1"/>
  <c r="U39" i="61" s="1"/>
  <c r="X39" i="61" s="1"/>
  <c r="S38" i="61"/>
  <c r="T38" i="61" s="1"/>
  <c r="U38" i="61" s="1"/>
  <c r="G21" i="52"/>
  <c r="E22" i="1"/>
  <c r="F38" i="57"/>
  <c r="R39" i="62"/>
  <c r="S39" i="62" s="1"/>
  <c r="G22" i="1"/>
  <c r="D22" i="1"/>
  <c r="E38" i="61"/>
  <c r="F38" i="61"/>
  <c r="G23" i="1"/>
  <c r="E23" i="1"/>
  <c r="D23" i="1"/>
  <c r="G22" i="52"/>
  <c r="E22" i="52"/>
  <c r="E39" i="57"/>
  <c r="B24" i="1"/>
  <c r="X38" i="57" l="1"/>
  <c r="X38" i="61"/>
  <c r="G24" i="1"/>
  <c r="E24" i="1"/>
  <c r="D24" i="1"/>
  <c r="G23" i="52"/>
  <c r="B25" i="1"/>
  <c r="G25" i="1" l="1"/>
  <c r="E25" i="1"/>
  <c r="D25" i="1"/>
  <c r="G24" i="52"/>
  <c r="B26" i="1"/>
  <c r="G26" i="1" s="1"/>
  <c r="E26" i="1" l="1"/>
  <c r="D26" i="1"/>
  <c r="G25" i="52"/>
  <c r="B27" i="1"/>
  <c r="G27" i="1" s="1"/>
  <c r="E27" i="1" l="1"/>
  <c r="D27" i="1"/>
  <c r="G26" i="52"/>
  <c r="B28" i="1"/>
  <c r="G28" i="1" s="1"/>
  <c r="F28" i="1" l="1"/>
  <c r="E28" i="1"/>
  <c r="D28" i="1"/>
  <c r="G27" i="52"/>
  <c r="B29" i="1"/>
  <c r="G29" i="1" s="1"/>
  <c r="F29" i="1" l="1"/>
  <c r="E29" i="1"/>
  <c r="D29" i="1"/>
  <c r="G28" i="52"/>
  <c r="B30" i="1"/>
  <c r="G30" i="1" s="1"/>
  <c r="F30" i="1" l="1"/>
  <c r="E30" i="1"/>
  <c r="D30" i="1"/>
  <c r="G29" i="52"/>
  <c r="B31" i="1"/>
  <c r="G31" i="1" s="1"/>
  <c r="E31" i="1" l="1"/>
  <c r="D31" i="1"/>
  <c r="G30" i="52"/>
  <c r="B32" i="1"/>
  <c r="G32" i="1" s="1"/>
  <c r="E32" i="1" l="1"/>
  <c r="D32" i="1"/>
  <c r="G31" i="52"/>
  <c r="B33" i="1"/>
  <c r="G33" i="1" s="1"/>
  <c r="E33" i="1" l="1"/>
  <c r="D33" i="1"/>
  <c r="G32" i="52"/>
  <c r="B34" i="1"/>
  <c r="G34" i="1" s="1"/>
  <c r="E34" i="1" l="1"/>
  <c r="D34" i="1"/>
  <c r="G33" i="52"/>
  <c r="B35" i="1"/>
  <c r="G35" i="1" s="1"/>
  <c r="E35" i="1" l="1"/>
  <c r="D35" i="1"/>
  <c r="G34" i="52"/>
  <c r="B36" i="1"/>
  <c r="G36" i="1" s="1"/>
  <c r="E36" i="1" l="1"/>
  <c r="D36" i="1"/>
  <c r="G35" i="52"/>
  <c r="B37" i="1"/>
  <c r="G37" i="1" s="1"/>
  <c r="E37" i="1" l="1"/>
  <c r="D37" i="1"/>
  <c r="G36" i="52"/>
  <c r="B38" i="1"/>
  <c r="G38" i="1" s="1"/>
  <c r="F38" i="1" l="1"/>
  <c r="E38" i="1"/>
  <c r="D38" i="1"/>
  <c r="G37" i="52"/>
  <c r="B39" i="1"/>
  <c r="G39" i="1" s="1"/>
  <c r="E39" i="1" l="1"/>
  <c r="D39" i="1"/>
  <c r="G38" i="52"/>
  <c r="B40" i="1"/>
  <c r="G40" i="1" s="1"/>
  <c r="E40" i="1" l="1"/>
  <c r="D40" i="1"/>
  <c r="G39" i="52"/>
  <c r="B41" i="1"/>
  <c r="G41" i="1" s="1"/>
  <c r="B42" i="1" l="1"/>
  <c r="G42" i="1" s="1"/>
  <c r="E41" i="1"/>
  <c r="D41" i="1"/>
  <c r="G40" i="52"/>
  <c r="F40" i="57"/>
  <c r="F56" i="57"/>
  <c r="F55" i="57"/>
  <c r="F53" i="57"/>
  <c r="F50" i="57"/>
  <c r="F54" i="57"/>
  <c r="F39" i="57"/>
  <c r="F48" i="57"/>
  <c r="F57" i="57"/>
  <c r="F44" i="57"/>
  <c r="F51" i="57"/>
  <c r="F41" i="57"/>
  <c r="F46" i="57"/>
  <c r="F43" i="57"/>
  <c r="F42" i="57"/>
  <c r="F52" i="57"/>
  <c r="F45" i="57"/>
  <c r="F49" i="57"/>
  <c r="F47" i="57"/>
  <c r="E56" i="57"/>
  <c r="E35" i="52"/>
  <c r="E43" i="57"/>
  <c r="E40" i="57"/>
  <c r="E23" i="52"/>
  <c r="E24" i="52"/>
  <c r="E54" i="57"/>
  <c r="E37" i="52"/>
  <c r="E34" i="52"/>
  <c r="E41" i="57"/>
  <c r="E53" i="57"/>
  <c r="E46" i="57"/>
  <c r="E47" i="57"/>
  <c r="E42" i="57"/>
  <c r="E33" i="52"/>
  <c r="E28" i="52"/>
  <c r="E45" i="57"/>
  <c r="E48" i="57"/>
  <c r="E44" i="57"/>
  <c r="E51" i="57"/>
  <c r="E25" i="52"/>
  <c r="E38" i="52"/>
  <c r="E50" i="57"/>
  <c r="E29" i="52"/>
  <c r="E26" i="52"/>
  <c r="E39" i="52"/>
  <c r="E31" i="52"/>
  <c r="E49" i="57"/>
  <c r="E57" i="57"/>
  <c r="E32" i="52"/>
  <c r="E55" i="57"/>
  <c r="E40" i="52"/>
  <c r="E30" i="52"/>
  <c r="E27" i="52"/>
  <c r="E52" i="57"/>
  <c r="E36" i="52"/>
  <c r="F22" i="1"/>
  <c r="L37" i="17"/>
  <c r="F42" i="67" s="1"/>
  <c r="L36" i="17"/>
  <c r="F41" i="67" s="1"/>
  <c r="L35" i="17"/>
  <c r="F40" i="67" s="1"/>
  <c r="L34" i="17"/>
  <c r="F39" i="67" s="1"/>
  <c r="L33" i="17"/>
  <c r="F38" i="67" s="1"/>
  <c r="L32" i="17"/>
  <c r="L31" i="17"/>
  <c r="L30" i="17"/>
  <c r="L28" i="17"/>
  <c r="L27" i="17"/>
  <c r="L26" i="17"/>
  <c r="L25" i="17"/>
  <c r="L24" i="17"/>
  <c r="L23" i="17"/>
  <c r="L22" i="17"/>
  <c r="L18" i="17"/>
  <c r="L17" i="17"/>
  <c r="L16" i="17"/>
  <c r="L15" i="17"/>
  <c r="F23" i="1"/>
  <c r="L12" i="17"/>
  <c r="L11" i="17"/>
  <c r="L10" i="17"/>
  <c r="L9" i="17"/>
  <c r="L8" i="17"/>
  <c r="L7" i="17"/>
  <c r="L6" i="17"/>
  <c r="F31" i="1" l="1"/>
  <c r="F27" i="67"/>
  <c r="F41" i="1"/>
  <c r="F37" i="67"/>
  <c r="F20" i="1"/>
  <c r="F16" i="67"/>
  <c r="F37" i="1"/>
  <c r="F33" i="67"/>
  <c r="F39" i="1"/>
  <c r="F35" i="67"/>
  <c r="F19" i="1"/>
  <c r="F15" i="67"/>
  <c r="F21" i="1"/>
  <c r="F17" i="67"/>
  <c r="F32" i="1"/>
  <c r="F28" i="67"/>
  <c r="F35" i="1"/>
  <c r="F31" i="67"/>
  <c r="F40" i="1"/>
  <c r="F36" i="67"/>
  <c r="F33" i="1"/>
  <c r="F29" i="67"/>
  <c r="F34" i="1"/>
  <c r="F30" i="67"/>
  <c r="F15" i="1"/>
  <c r="F11" i="67"/>
  <c r="F36" i="1"/>
  <c r="F32" i="67"/>
  <c r="F17" i="1"/>
  <c r="F13" i="67"/>
  <c r="F18" i="1"/>
  <c r="F14" i="67"/>
  <c r="F16" i="1"/>
  <c r="F12" i="67"/>
  <c r="F25" i="1"/>
  <c r="F21" i="67"/>
  <c r="F26" i="1"/>
  <c r="F22" i="67"/>
  <c r="F24" i="1"/>
  <c r="F20" i="67"/>
  <c r="F27" i="1"/>
  <c r="F23" i="67"/>
  <c r="E41" i="52"/>
  <c r="F58" i="57"/>
  <c r="E58" i="57"/>
  <c r="G41" i="52"/>
  <c r="R43" i="57"/>
  <c r="P26" i="52" s="1"/>
  <c r="B43" i="1"/>
  <c r="G43" i="1" s="1"/>
  <c r="F42" i="1"/>
  <c r="E42" i="1"/>
  <c r="D42" i="1"/>
  <c r="B44" i="1" l="1"/>
  <c r="G44" i="1" s="1"/>
  <c r="F43" i="1"/>
  <c r="E43" i="1"/>
  <c r="D43" i="1"/>
  <c r="G42" i="52"/>
  <c r="F59" i="57"/>
  <c r="E42" i="52"/>
  <c r="E59" i="57"/>
  <c r="W16" i="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E60" i="57" l="1"/>
  <c r="F60" i="57"/>
  <c r="E43" i="52"/>
  <c r="G43" i="52"/>
  <c r="B45" i="1"/>
  <c r="G45" i="1" s="1"/>
  <c r="F44" i="1"/>
  <c r="E44" i="1"/>
  <c r="D44" i="1"/>
  <c r="B46" i="1" l="1"/>
  <c r="F45" i="1"/>
  <c r="E45" i="1"/>
  <c r="D45" i="1"/>
  <c r="G44" i="52"/>
  <c r="F61" i="57"/>
  <c r="E61" i="57"/>
  <c r="K38" i="17"/>
  <c r="F62" i="57" l="1"/>
  <c r="R43" i="62"/>
  <c r="S53" i="57"/>
  <c r="S44" i="57"/>
  <c r="S48" i="57"/>
  <c r="R40" i="62"/>
  <c r="S40" i="62" s="1"/>
  <c r="S46" i="61"/>
  <c r="T46" i="61" s="1"/>
  <c r="U46" i="61" s="1"/>
  <c r="X46" i="61" s="1"/>
  <c r="S59" i="57"/>
  <c r="T59" i="57" s="1"/>
  <c r="U59" i="57" s="1"/>
  <c r="X59" i="57" s="1"/>
  <c r="S55" i="61"/>
  <c r="T55" i="61" s="1"/>
  <c r="U55" i="61" s="1"/>
  <c r="X55" i="61" s="1"/>
  <c r="S46" i="57"/>
  <c r="T46" i="57" s="1"/>
  <c r="U46" i="57" s="1"/>
  <c r="X46" i="57" s="1"/>
  <c r="S40" i="61"/>
  <c r="T40" i="61" s="1"/>
  <c r="U40" i="61" s="1"/>
  <c r="X40" i="61" s="1"/>
  <c r="R48" i="62"/>
  <c r="S48" i="62" s="1"/>
  <c r="R46" i="62"/>
  <c r="S46" i="62" s="1"/>
  <c r="S41" i="61"/>
  <c r="T41" i="61" s="1"/>
  <c r="U41" i="61" s="1"/>
  <c r="X41" i="61" s="1"/>
  <c r="S40" i="57"/>
  <c r="T40" i="57" s="1"/>
  <c r="U40" i="57" s="1"/>
  <c r="X40" i="57" s="1"/>
  <c r="S62" i="61"/>
  <c r="T62" i="61" s="1"/>
  <c r="S57" i="57"/>
  <c r="S47" i="61"/>
  <c r="S47" i="57"/>
  <c r="R51" i="62"/>
  <c r="S56" i="61"/>
  <c r="T56" i="61" s="1"/>
  <c r="U56" i="61" s="1"/>
  <c r="X56" i="61" s="1"/>
  <c r="R45" i="62"/>
  <c r="S45" i="62" s="1"/>
  <c r="R52" i="62"/>
  <c r="S52" i="62" s="1"/>
  <c r="S44" i="61"/>
  <c r="T44" i="61" s="1"/>
  <c r="U44" i="61" s="1"/>
  <c r="X44" i="61" s="1"/>
  <c r="S56" i="57"/>
  <c r="T56" i="57" s="1"/>
  <c r="U56" i="57" s="1"/>
  <c r="X56" i="57" s="1"/>
  <c r="S42" i="57"/>
  <c r="T42" i="57" s="1"/>
  <c r="U42" i="57" s="1"/>
  <c r="X42" i="57" s="1"/>
  <c r="R62" i="62"/>
  <c r="S45" i="57"/>
  <c r="T45" i="57" s="1"/>
  <c r="U45" i="57" s="1"/>
  <c r="X45" i="57" s="1"/>
  <c r="S58" i="61"/>
  <c r="T58" i="61" s="1"/>
  <c r="U58" i="61" s="1"/>
  <c r="X58" i="61" s="1"/>
  <c r="S49" i="61"/>
  <c r="T49" i="61" s="1"/>
  <c r="U49" i="61" s="1"/>
  <c r="X49" i="61" s="1"/>
  <c r="S43" i="57"/>
  <c r="T43" i="57" s="1"/>
  <c r="U43" i="57" s="1"/>
  <c r="X43" i="57" s="1"/>
  <c r="R54" i="62"/>
  <c r="S54" i="62" s="1"/>
  <c r="S45" i="61"/>
  <c r="T45" i="61" s="1"/>
  <c r="U45" i="61" s="1"/>
  <c r="X45" i="61" s="1"/>
  <c r="S51" i="61"/>
  <c r="S55" i="57"/>
  <c r="R56" i="62"/>
  <c r="S56" i="62" s="1"/>
  <c r="R53" i="62"/>
  <c r="R60" i="62"/>
  <c r="S60" i="62" s="1"/>
  <c r="S48" i="61"/>
  <c r="T48" i="61" s="1"/>
  <c r="U48" i="61" s="1"/>
  <c r="X48" i="61" s="1"/>
  <c r="S59" i="61"/>
  <c r="T59" i="61" s="1"/>
  <c r="U59" i="61" s="1"/>
  <c r="X59" i="61" s="1"/>
  <c r="S50" i="57"/>
  <c r="T50" i="57" s="1"/>
  <c r="U50" i="57" s="1"/>
  <c r="X50" i="57" s="1"/>
  <c r="R61" i="62"/>
  <c r="S61" i="62" s="1"/>
  <c r="S50" i="61"/>
  <c r="T50" i="61" s="1"/>
  <c r="U50" i="61" s="1"/>
  <c r="X50" i="61" s="1"/>
  <c r="S60" i="57"/>
  <c r="T60" i="57" s="1"/>
  <c r="U60" i="57" s="1"/>
  <c r="X60" i="57" s="1"/>
  <c r="R41" i="62"/>
  <c r="S41" i="62" s="1"/>
  <c r="S58" i="57"/>
  <c r="T58" i="57" s="1"/>
  <c r="U58" i="57" s="1"/>
  <c r="X58" i="57" s="1"/>
  <c r="S41" i="57"/>
  <c r="T41" i="57" s="1"/>
  <c r="U41" i="57" s="1"/>
  <c r="X41" i="57" s="1"/>
  <c r="S49" i="57"/>
  <c r="T49" i="57" s="1"/>
  <c r="U49" i="57" s="1"/>
  <c r="X49" i="57" s="1"/>
  <c r="S61" i="61"/>
  <c r="S53" i="61"/>
  <c r="R58" i="62"/>
  <c r="R47" i="62"/>
  <c r="S54" i="57"/>
  <c r="T54" i="57" s="1"/>
  <c r="U54" i="57" s="1"/>
  <c r="X54" i="57" s="1"/>
  <c r="S51" i="57"/>
  <c r="T51" i="57" s="1"/>
  <c r="U51" i="57" s="1"/>
  <c r="X51" i="57" s="1"/>
  <c r="S43" i="61"/>
  <c r="R44" i="62"/>
  <c r="S44" i="62" s="1"/>
  <c r="S57" i="61"/>
  <c r="T57" i="61" s="1"/>
  <c r="U57" i="61" s="1"/>
  <c r="X57" i="61" s="1"/>
  <c r="R50" i="62"/>
  <c r="S50" i="62" s="1"/>
  <c r="R57" i="62"/>
  <c r="S57" i="62" s="1"/>
  <c r="S62" i="57"/>
  <c r="T62" i="57" s="1"/>
  <c r="S52" i="61"/>
  <c r="T52" i="61" s="1"/>
  <c r="U52" i="61" s="1"/>
  <c r="X52" i="61" s="1"/>
  <c r="S42" i="61"/>
  <c r="T42" i="61" s="1"/>
  <c r="U42" i="61" s="1"/>
  <c r="X42" i="61" s="1"/>
  <c r="R42" i="62"/>
  <c r="S42" i="62" s="1"/>
  <c r="R49" i="62"/>
  <c r="S49" i="62" s="1"/>
  <c r="S54" i="61"/>
  <c r="T54" i="61" s="1"/>
  <c r="U54" i="61" s="1"/>
  <c r="X54" i="61" s="1"/>
  <c r="R55" i="62"/>
  <c r="S52" i="57"/>
  <c r="R59" i="62"/>
  <c r="S59" i="62" s="1"/>
  <c r="S60" i="61"/>
  <c r="T60" i="61" s="1"/>
  <c r="U60" i="61" s="1"/>
  <c r="X60" i="61" s="1"/>
  <c r="S61" i="57"/>
  <c r="T61" i="57" s="1"/>
  <c r="U61" i="57" s="1"/>
  <c r="X61" i="57" s="1"/>
  <c r="E62" i="57"/>
  <c r="Q63" i="57" s="1" a="1"/>
  <c r="Q63" i="57" s="1"/>
  <c r="O46" i="52" s="1"/>
  <c r="G45" i="52"/>
  <c r="T55" i="57"/>
  <c r="U55" i="57" s="1"/>
  <c r="X55" i="57" s="1"/>
  <c r="T43" i="61"/>
  <c r="U43" i="61" s="1"/>
  <c r="X43" i="61" s="1"/>
  <c r="S62" i="62"/>
  <c r="S47" i="62"/>
  <c r="T51" i="61"/>
  <c r="U51" i="61" s="1"/>
  <c r="X51" i="61" s="1"/>
  <c r="T47" i="61"/>
  <c r="U47" i="61" s="1"/>
  <c r="X47" i="61" s="1"/>
  <c r="T61" i="61"/>
  <c r="U61" i="61" s="1"/>
  <c r="X61" i="61" s="1"/>
  <c r="T47" i="57"/>
  <c r="U47" i="57" s="1"/>
  <c r="X47" i="57" s="1"/>
  <c r="T53" i="57"/>
  <c r="U53" i="57" s="1"/>
  <c r="X53" i="57" s="1"/>
  <c r="S43" i="62"/>
  <c r="T39" i="57"/>
  <c r="U39" i="57" s="1"/>
  <c r="T52" i="57"/>
  <c r="U52" i="57" s="1"/>
  <c r="X52" i="57" s="1"/>
  <c r="S53" i="62"/>
  <c r="T48" i="57"/>
  <c r="U48" i="57" s="1"/>
  <c r="X48" i="57" s="1"/>
  <c r="S55" i="62"/>
  <c r="T44" i="57"/>
  <c r="U44" i="57" s="1"/>
  <c r="X44" i="57" s="1"/>
  <c r="S51" i="62"/>
  <c r="S58" i="62"/>
  <c r="T53" i="61"/>
  <c r="U53" i="61" s="1"/>
  <c r="X53" i="61" s="1"/>
  <c r="T57" i="57"/>
  <c r="U57" i="57" s="1"/>
  <c r="X57" i="57" s="1"/>
  <c r="G46" i="1"/>
  <c r="E55" i="62"/>
  <c r="E50" i="62"/>
  <c r="E49" i="61"/>
  <c r="E50" i="61"/>
  <c r="E48" i="62"/>
  <c r="E51" i="62"/>
  <c r="F40" i="61"/>
  <c r="E62" i="61"/>
  <c r="E43" i="62"/>
  <c r="E45" i="62"/>
  <c r="E39" i="61"/>
  <c r="E61" i="61"/>
  <c r="E59" i="61"/>
  <c r="F53" i="61"/>
  <c r="E55" i="61"/>
  <c r="F51" i="61"/>
  <c r="F60" i="61"/>
  <c r="E60" i="61"/>
  <c r="E52" i="61"/>
  <c r="F48" i="61"/>
  <c r="E41" i="62"/>
  <c r="E59" i="62"/>
  <c r="F39" i="61"/>
  <c r="E60" i="62"/>
  <c r="F43" i="61"/>
  <c r="E53" i="62"/>
  <c r="E54" i="62"/>
  <c r="F47" i="61"/>
  <c r="E52" i="62"/>
  <c r="F62" i="61"/>
  <c r="E61" i="62"/>
  <c r="E56" i="62"/>
  <c r="F55" i="61"/>
  <c r="F52" i="61"/>
  <c r="E39" i="62"/>
  <c r="E44" i="61"/>
  <c r="E47" i="62"/>
  <c r="E42" i="61"/>
  <c r="F49" i="61"/>
  <c r="E58" i="61"/>
  <c r="F59" i="61"/>
  <c r="E41" i="61"/>
  <c r="F50" i="61"/>
  <c r="F44" i="61"/>
  <c r="F41" i="61"/>
  <c r="E40" i="61"/>
  <c r="E46" i="61"/>
  <c r="F61" i="61"/>
  <c r="F46" i="61"/>
  <c r="E42" i="62"/>
  <c r="E45" i="61"/>
  <c r="F45" i="61"/>
  <c r="F57" i="61"/>
  <c r="E57" i="62"/>
  <c r="E54" i="61"/>
  <c r="E44" i="62"/>
  <c r="E47" i="61"/>
  <c r="E43" i="61"/>
  <c r="E48" i="61"/>
  <c r="F58" i="61"/>
  <c r="E40" i="62"/>
  <c r="E53" i="61"/>
  <c r="E57" i="61"/>
  <c r="E56" i="61"/>
  <c r="F54" i="61"/>
  <c r="F42" i="61"/>
  <c r="F56" i="61"/>
  <c r="E49" i="62"/>
  <c r="E62" i="62"/>
  <c r="E51" i="61"/>
  <c r="E58" i="62"/>
  <c r="E46" i="62"/>
  <c r="N63" i="57" a="1"/>
  <c r="N63" i="57" s="1"/>
  <c r="L46" i="52" s="1"/>
  <c r="F46" i="1"/>
  <c r="E46" i="1"/>
  <c r="D46" i="1"/>
  <c r="C105" i="52"/>
  <c r="C6" i="48"/>
  <c r="E63" i="57" l="1"/>
  <c r="J63" i="57" a="1"/>
  <c r="J63" i="57" s="1"/>
  <c r="H46" i="52" s="1"/>
  <c r="M63" i="57" a="1"/>
  <c r="M63" i="57" s="1"/>
  <c r="K46" i="52" s="1"/>
  <c r="P63" i="57" a="1"/>
  <c r="P63" i="57" s="1"/>
  <c r="N46" i="52" s="1"/>
  <c r="U62" i="57"/>
  <c r="X62" i="57" s="1"/>
  <c r="T63" i="57"/>
  <c r="X39" i="57"/>
  <c r="U62" i="61"/>
  <c r="T63" i="61"/>
  <c r="Q43" i="62"/>
  <c r="AH26" i="52" s="1"/>
  <c r="R43" i="61"/>
  <c r="Y26" i="52" s="1"/>
  <c r="E63" i="61"/>
  <c r="J63" i="61" a="1"/>
  <c r="J63" i="61" s="1"/>
  <c r="Q46" i="52" s="1"/>
  <c r="Q63" i="61" a="1"/>
  <c r="Q63" i="61" s="1"/>
  <c r="X46" i="52" s="1"/>
  <c r="P63" i="61" a="1"/>
  <c r="P63" i="61" s="1"/>
  <c r="W46" i="52" s="1"/>
  <c r="M63" i="61" a="1"/>
  <c r="M63" i="61" s="1"/>
  <c r="T46" i="52" s="1"/>
  <c r="N63" i="61" a="1"/>
  <c r="N63" i="61" s="1"/>
  <c r="U46" i="52" s="1"/>
  <c r="I63" i="62" a="1"/>
  <c r="I63" i="62" s="1"/>
  <c r="Z46" i="52" s="1"/>
  <c r="O63" i="62" a="1"/>
  <c r="O63" i="62" s="1"/>
  <c r="AF46" i="52" s="1"/>
  <c r="P63" i="62" a="1"/>
  <c r="P63" i="62" s="1"/>
  <c r="AG46" i="52" s="1"/>
  <c r="E63" i="62"/>
  <c r="L63" i="62" a="1"/>
  <c r="L63" i="62" s="1"/>
  <c r="AC46" i="52" s="1"/>
  <c r="M63" i="62" a="1"/>
  <c r="M63" i="62" s="1"/>
  <c r="AD46" i="52" s="1"/>
  <c r="E45" i="52"/>
  <c r="E44" i="52"/>
  <c r="X63" i="57" l="1"/>
  <c r="X62" i="61"/>
  <c r="X63" i="61" s="1"/>
  <c r="U63" i="61"/>
  <c r="U63" i="57"/>
  <c r="E46" i="52"/>
  <c r="F13" i="52" l="1"/>
  <c r="E13" i="52"/>
  <c r="B13" i="52"/>
  <c r="A13" i="52"/>
  <c r="A4" i="52"/>
  <c r="B4" i="1"/>
  <c r="A2" i="17"/>
  <c r="B35" i="52" l="1"/>
  <c r="B80" i="52"/>
  <c r="B72" i="52"/>
  <c r="B64" i="52"/>
  <c r="B56" i="52"/>
  <c r="B79" i="52"/>
  <c r="B71" i="52"/>
  <c r="B63" i="52"/>
  <c r="B55" i="52"/>
  <c r="B65" i="52"/>
  <c r="B78" i="52"/>
  <c r="B70" i="52"/>
  <c r="B62" i="52"/>
  <c r="B54" i="52"/>
  <c r="B57" i="52"/>
  <c r="B77" i="52"/>
  <c r="B69" i="52"/>
  <c r="B61" i="52"/>
  <c r="B53" i="52"/>
  <c r="B81" i="52"/>
  <c r="B76" i="52"/>
  <c r="B68" i="52"/>
  <c r="B60" i="52"/>
  <c r="B52" i="52"/>
  <c r="B83" i="52"/>
  <c r="B75" i="52"/>
  <c r="B67" i="52"/>
  <c r="B59" i="52"/>
  <c r="B82" i="52"/>
  <c r="B74" i="52"/>
  <c r="B66" i="52"/>
  <c r="B58" i="52"/>
  <c r="B73" i="52"/>
  <c r="A4" i="62"/>
  <c r="A4" i="61"/>
  <c r="B45" i="52"/>
  <c r="B29" i="52"/>
  <c r="B44" i="52"/>
  <c r="B28" i="52"/>
  <c r="B43" i="52"/>
  <c r="B27" i="52"/>
  <c r="B42" i="52"/>
  <c r="B26" i="52"/>
  <c r="B41" i="52"/>
  <c r="B25" i="52"/>
  <c r="B40" i="52"/>
  <c r="B24" i="52"/>
  <c r="B39" i="52"/>
  <c r="B23" i="52"/>
  <c r="B38" i="52"/>
  <c r="B22" i="52"/>
  <c r="B37" i="52"/>
  <c r="B21" i="52"/>
  <c r="B36" i="52"/>
  <c r="B20" i="52"/>
  <c r="B19" i="52"/>
  <c r="B14" i="52"/>
  <c r="B34" i="52"/>
  <c r="B18" i="52"/>
  <c r="B30" i="52"/>
  <c r="B33" i="52"/>
  <c r="B17" i="52"/>
  <c r="B15" i="52"/>
  <c r="B32" i="52"/>
  <c r="B16" i="52"/>
  <c r="B31" i="52"/>
  <c r="A4" i="57"/>
  <c r="P46" i="52" l="1"/>
  <c r="E11" i="48" l="1"/>
  <c r="E89" i="52" s="1"/>
  <c r="E10" i="48"/>
  <c r="E88" i="52" s="1"/>
  <c r="I47" i="1" l="1"/>
  <c r="L38" i="17" l="1"/>
  <c r="A15" i="1" l="1"/>
  <c r="B14" i="1"/>
  <c r="C14" i="1"/>
  <c r="A2" i="4"/>
  <c r="E34" i="4"/>
  <c r="E33" i="4"/>
  <c r="E32" i="4"/>
  <c r="E31" i="4"/>
  <c r="E30" i="4"/>
  <c r="E29" i="4"/>
  <c r="E28" i="4"/>
  <c r="E27" i="4"/>
  <c r="E26" i="4"/>
  <c r="E25" i="4"/>
  <c r="E24" i="4"/>
  <c r="E23" i="4"/>
  <c r="E22" i="4"/>
  <c r="E21" i="4"/>
  <c r="E20" i="4"/>
  <c r="E19" i="4"/>
  <c r="E18" i="4"/>
  <c r="E17" i="4"/>
  <c r="E16" i="4"/>
  <c r="E15" i="4"/>
  <c r="E14" i="4"/>
  <c r="A4" i="4"/>
  <c r="A1" i="4"/>
  <c r="J15" i="1" l="1"/>
  <c r="K15" i="1" s="1"/>
  <c r="C15" i="1"/>
  <c r="C16" i="1"/>
  <c r="C18" i="1"/>
  <c r="C17"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A4" i="48"/>
  <c r="A16" i="1"/>
  <c r="B45" i="48" l="1" a="1"/>
  <c r="B45" i="48" s="1"/>
  <c r="B19" i="48" a="1"/>
  <c r="B19" i="48" s="1"/>
  <c r="A17" i="1"/>
  <c r="J16" i="1"/>
  <c r="F14" i="52"/>
  <c r="K16" i="1" l="1"/>
  <c r="A18" i="1"/>
  <c r="J17" i="1"/>
  <c r="K17" i="1" s="1"/>
  <c r="F16" i="52" s="1"/>
  <c r="AF20" i="48"/>
  <c r="P20" i="48"/>
  <c r="AB20" i="48"/>
  <c r="J20" i="48"/>
  <c r="O20" i="48"/>
  <c r="K20" i="48"/>
  <c r="AD20" i="48"/>
  <c r="N20" i="48"/>
  <c r="AC20" i="48"/>
  <c r="M20" i="48"/>
  <c r="Y20" i="48"/>
  <c r="I20" i="48"/>
  <c r="H20" i="48"/>
  <c r="X20" i="48"/>
  <c r="W20" i="48"/>
  <c r="G20" i="48"/>
  <c r="T20" i="48"/>
  <c r="E20" i="48"/>
  <c r="V20" i="48"/>
  <c r="F20" i="48"/>
  <c r="R20" i="48"/>
  <c r="U20" i="48"/>
  <c r="D20" i="48"/>
  <c r="S20" i="48"/>
  <c r="C20" i="48"/>
  <c r="AG20" i="48"/>
  <c r="Q20" i="48"/>
  <c r="AE20" i="48"/>
  <c r="L20" i="48"/>
  <c r="AA20" i="48"/>
  <c r="Z20" i="48"/>
  <c r="B20" i="48"/>
  <c r="U21" i="48"/>
  <c r="U47" i="48" s="1"/>
  <c r="U48" i="48" s="1"/>
  <c r="U49" i="48" s="1"/>
  <c r="U50" i="48" s="1"/>
  <c r="U51" i="48" s="1"/>
  <c r="U52" i="48" s="1"/>
  <c r="U53" i="48" s="1"/>
  <c r="U54" i="48" s="1"/>
  <c r="U55" i="48" s="1"/>
  <c r="U56" i="48" s="1"/>
  <c r="U57" i="48" s="1"/>
  <c r="U58" i="48" s="1"/>
  <c r="U59" i="48" s="1"/>
  <c r="U60" i="48" s="1"/>
  <c r="U61" i="48" s="1"/>
  <c r="U62" i="48" s="1"/>
  <c r="U63" i="48" s="1"/>
  <c r="U64" i="48" s="1"/>
  <c r="U65" i="48" s="1"/>
  <c r="G21" i="48"/>
  <c r="G47" i="48" s="1"/>
  <c r="G48" i="48" s="1"/>
  <c r="G49" i="48" s="1"/>
  <c r="G50" i="48" s="1"/>
  <c r="G51" i="48" s="1"/>
  <c r="G52" i="48" s="1"/>
  <c r="G53" i="48" s="1"/>
  <c r="G54" i="48" s="1"/>
  <c r="G55" i="48" s="1"/>
  <c r="G56" i="48" s="1"/>
  <c r="G57" i="48" s="1"/>
  <c r="G58" i="48" s="1"/>
  <c r="G59" i="48" s="1"/>
  <c r="G60" i="48" s="1"/>
  <c r="G61" i="48" s="1"/>
  <c r="G62" i="48" s="1"/>
  <c r="G63" i="48" s="1"/>
  <c r="G64" i="48" s="1"/>
  <c r="G65" i="48" s="1"/>
  <c r="F21" i="48"/>
  <c r="F47" i="48" s="1"/>
  <c r="F48" i="48" s="1"/>
  <c r="F49" i="48" s="1"/>
  <c r="F50" i="48" s="1"/>
  <c r="F51" i="48" s="1"/>
  <c r="F52" i="48" s="1"/>
  <c r="F53" i="48" s="1"/>
  <c r="F54" i="48" s="1"/>
  <c r="F55" i="48" s="1"/>
  <c r="F56" i="48" s="1"/>
  <c r="F57" i="48" s="1"/>
  <c r="F58" i="48" s="1"/>
  <c r="F59" i="48" s="1"/>
  <c r="F60" i="48" s="1"/>
  <c r="F61" i="48" s="1"/>
  <c r="F62" i="48" s="1"/>
  <c r="F63" i="48" s="1"/>
  <c r="F64" i="48" s="1"/>
  <c r="F65" i="48" s="1"/>
  <c r="X21" i="48"/>
  <c r="X47" i="48" s="1"/>
  <c r="X48" i="48" s="1"/>
  <c r="X49" i="48" s="1"/>
  <c r="X50" i="48" s="1"/>
  <c r="X51" i="48" s="1"/>
  <c r="X52" i="48" s="1"/>
  <c r="X53" i="48" s="1"/>
  <c r="X54" i="48" s="1"/>
  <c r="X55" i="48" s="1"/>
  <c r="X56" i="48" s="1"/>
  <c r="X57" i="48" s="1"/>
  <c r="X58" i="48" s="1"/>
  <c r="X59" i="48" s="1"/>
  <c r="X60" i="48" s="1"/>
  <c r="X61" i="48" s="1"/>
  <c r="X62" i="48" s="1"/>
  <c r="X63" i="48" s="1"/>
  <c r="X64" i="48" s="1"/>
  <c r="X65" i="48" s="1"/>
  <c r="H21" i="48"/>
  <c r="H47" i="48" s="1"/>
  <c r="H48" i="48" s="1"/>
  <c r="H49" i="48" s="1"/>
  <c r="H50" i="48" s="1"/>
  <c r="H51" i="48" s="1"/>
  <c r="H52" i="48" s="1"/>
  <c r="H53" i="48" s="1"/>
  <c r="H54" i="48" s="1"/>
  <c r="H55" i="48" s="1"/>
  <c r="H56" i="48" s="1"/>
  <c r="H57" i="48" s="1"/>
  <c r="H58" i="48" s="1"/>
  <c r="H59" i="48" s="1"/>
  <c r="H60" i="48" s="1"/>
  <c r="H61" i="48" s="1"/>
  <c r="H62" i="48" s="1"/>
  <c r="H63" i="48" s="1"/>
  <c r="H64" i="48" s="1"/>
  <c r="H65" i="48" s="1"/>
  <c r="I21" i="48"/>
  <c r="I47" i="48" s="1"/>
  <c r="I48" i="48" s="1"/>
  <c r="I49" i="48" s="1"/>
  <c r="I50" i="48" s="1"/>
  <c r="I51" i="48" s="1"/>
  <c r="I52" i="48" s="1"/>
  <c r="I53" i="48" s="1"/>
  <c r="I54" i="48" s="1"/>
  <c r="I55" i="48" s="1"/>
  <c r="I56" i="48" s="1"/>
  <c r="I57" i="48" s="1"/>
  <c r="I58" i="48" s="1"/>
  <c r="I59" i="48" s="1"/>
  <c r="I60" i="48" s="1"/>
  <c r="I61" i="48" s="1"/>
  <c r="I62" i="48" s="1"/>
  <c r="I63" i="48" s="1"/>
  <c r="I64" i="48" s="1"/>
  <c r="I65" i="48" s="1"/>
  <c r="AB21" i="48"/>
  <c r="AB47" i="48" s="1"/>
  <c r="AB48" i="48" s="1"/>
  <c r="AB49" i="48" s="1"/>
  <c r="AB50" i="48" s="1"/>
  <c r="AB51" i="48" s="1"/>
  <c r="AB52" i="48" s="1"/>
  <c r="AB53" i="48" s="1"/>
  <c r="AB54" i="48" s="1"/>
  <c r="AB55" i="48" s="1"/>
  <c r="AB56" i="48" s="1"/>
  <c r="AB57" i="48" s="1"/>
  <c r="AB58" i="48" s="1"/>
  <c r="AB59" i="48" s="1"/>
  <c r="AB60" i="48" s="1"/>
  <c r="AB61" i="48" s="1"/>
  <c r="AB62" i="48" s="1"/>
  <c r="AB63" i="48" s="1"/>
  <c r="AB64" i="48" s="1"/>
  <c r="AB65" i="48" s="1"/>
  <c r="J21" i="48"/>
  <c r="J47" i="48" s="1"/>
  <c r="J48" i="48" s="1"/>
  <c r="J49" i="48" s="1"/>
  <c r="J50" i="48" s="1"/>
  <c r="J51" i="48" s="1"/>
  <c r="J52" i="48" s="1"/>
  <c r="J53" i="48" s="1"/>
  <c r="J54" i="48" s="1"/>
  <c r="J55" i="48" s="1"/>
  <c r="J56" i="48" s="1"/>
  <c r="J57" i="48" s="1"/>
  <c r="J58" i="48" s="1"/>
  <c r="J59" i="48" s="1"/>
  <c r="J60" i="48" s="1"/>
  <c r="J61" i="48" s="1"/>
  <c r="J62" i="48" s="1"/>
  <c r="J63" i="48" s="1"/>
  <c r="J64" i="48" s="1"/>
  <c r="J65" i="48" s="1"/>
  <c r="M21" i="48"/>
  <c r="M47" i="48" s="1"/>
  <c r="M48" i="48" s="1"/>
  <c r="M49" i="48" s="1"/>
  <c r="M50" i="48" s="1"/>
  <c r="M51" i="48" s="1"/>
  <c r="M52" i="48" s="1"/>
  <c r="M53" i="48" s="1"/>
  <c r="M54" i="48" s="1"/>
  <c r="M55" i="48" s="1"/>
  <c r="M56" i="48" s="1"/>
  <c r="M57" i="48" s="1"/>
  <c r="M58" i="48" s="1"/>
  <c r="M59" i="48" s="1"/>
  <c r="M60" i="48" s="1"/>
  <c r="M61" i="48" s="1"/>
  <c r="M62" i="48" s="1"/>
  <c r="M63" i="48" s="1"/>
  <c r="M64" i="48" s="1"/>
  <c r="M65" i="48" s="1"/>
  <c r="K21" i="48"/>
  <c r="K47" i="48" s="1"/>
  <c r="K48" i="48" s="1"/>
  <c r="K49" i="48" s="1"/>
  <c r="K50" i="48" s="1"/>
  <c r="K51" i="48" s="1"/>
  <c r="K52" i="48" s="1"/>
  <c r="K53" i="48" s="1"/>
  <c r="K54" i="48" s="1"/>
  <c r="K55" i="48" s="1"/>
  <c r="K56" i="48" s="1"/>
  <c r="K57" i="48" s="1"/>
  <c r="K58" i="48" s="1"/>
  <c r="K59" i="48" s="1"/>
  <c r="K60" i="48" s="1"/>
  <c r="K61" i="48" s="1"/>
  <c r="K62" i="48" s="1"/>
  <c r="K63" i="48" s="1"/>
  <c r="K64" i="48" s="1"/>
  <c r="K65" i="48" s="1"/>
  <c r="O21" i="48"/>
  <c r="O47" i="48" s="1"/>
  <c r="O48" i="48" s="1"/>
  <c r="O49" i="48" s="1"/>
  <c r="O50" i="48" s="1"/>
  <c r="O51" i="48" s="1"/>
  <c r="O52" i="48" s="1"/>
  <c r="O53" i="48" s="1"/>
  <c r="O54" i="48" s="1"/>
  <c r="O55" i="48" s="1"/>
  <c r="O56" i="48" s="1"/>
  <c r="O57" i="48" s="1"/>
  <c r="O58" i="48" s="1"/>
  <c r="O59" i="48" s="1"/>
  <c r="O60" i="48" s="1"/>
  <c r="O61" i="48" s="1"/>
  <c r="O62" i="48" s="1"/>
  <c r="O63" i="48" s="1"/>
  <c r="O64" i="48" s="1"/>
  <c r="O65" i="48" s="1"/>
  <c r="L21" i="48"/>
  <c r="L47" i="48" s="1"/>
  <c r="L48" i="48" s="1"/>
  <c r="L49" i="48" s="1"/>
  <c r="L50" i="48" s="1"/>
  <c r="L51" i="48" s="1"/>
  <c r="L52" i="48" s="1"/>
  <c r="L53" i="48" s="1"/>
  <c r="L54" i="48" s="1"/>
  <c r="L55" i="48" s="1"/>
  <c r="L56" i="48" s="1"/>
  <c r="L57" i="48" s="1"/>
  <c r="L58" i="48" s="1"/>
  <c r="L59" i="48" s="1"/>
  <c r="L60" i="48" s="1"/>
  <c r="L61" i="48" s="1"/>
  <c r="L62" i="48" s="1"/>
  <c r="L63" i="48" s="1"/>
  <c r="L64" i="48" s="1"/>
  <c r="L65" i="48" s="1"/>
  <c r="AE21" i="48"/>
  <c r="AE47" i="48" s="1"/>
  <c r="AE48" i="48" s="1"/>
  <c r="AE49" i="48" s="1"/>
  <c r="AE50" i="48" s="1"/>
  <c r="AE51" i="48" s="1"/>
  <c r="AE52" i="48" s="1"/>
  <c r="AE53" i="48" s="1"/>
  <c r="AE54" i="48" s="1"/>
  <c r="AE55" i="48" s="1"/>
  <c r="AE56" i="48" s="1"/>
  <c r="AE57" i="48" s="1"/>
  <c r="AE58" i="48" s="1"/>
  <c r="AE59" i="48" s="1"/>
  <c r="AE60" i="48" s="1"/>
  <c r="AE61" i="48" s="1"/>
  <c r="AE62" i="48" s="1"/>
  <c r="AE63" i="48" s="1"/>
  <c r="AE64" i="48" s="1"/>
  <c r="AE65" i="48" s="1"/>
  <c r="AC21" i="48"/>
  <c r="AC47" i="48" s="1"/>
  <c r="AC48" i="48" s="1"/>
  <c r="AC49" i="48" s="1"/>
  <c r="AC50" i="48" s="1"/>
  <c r="AC51" i="48" s="1"/>
  <c r="AC52" i="48" s="1"/>
  <c r="AC53" i="48" s="1"/>
  <c r="AC54" i="48" s="1"/>
  <c r="AC55" i="48" s="1"/>
  <c r="AC56" i="48" s="1"/>
  <c r="AC57" i="48" s="1"/>
  <c r="AC58" i="48" s="1"/>
  <c r="AC59" i="48" s="1"/>
  <c r="AC60" i="48" s="1"/>
  <c r="AC61" i="48" s="1"/>
  <c r="AC62" i="48" s="1"/>
  <c r="AC63" i="48" s="1"/>
  <c r="AC64" i="48" s="1"/>
  <c r="AC65" i="48" s="1"/>
  <c r="AF21" i="48"/>
  <c r="AF47" i="48" s="1"/>
  <c r="AF48" i="48" s="1"/>
  <c r="AF49" i="48" s="1"/>
  <c r="AF50" i="48" s="1"/>
  <c r="AF51" i="48" s="1"/>
  <c r="AF52" i="48" s="1"/>
  <c r="AF53" i="48" s="1"/>
  <c r="AF54" i="48" s="1"/>
  <c r="AF55" i="48" s="1"/>
  <c r="AF56" i="48" s="1"/>
  <c r="AF57" i="48" s="1"/>
  <c r="AF58" i="48" s="1"/>
  <c r="AF59" i="48" s="1"/>
  <c r="AF60" i="48" s="1"/>
  <c r="AF61" i="48" s="1"/>
  <c r="AF62" i="48" s="1"/>
  <c r="AF63" i="48" s="1"/>
  <c r="AF64" i="48" s="1"/>
  <c r="AF65" i="48" s="1"/>
  <c r="D21" i="48"/>
  <c r="D47" i="48" s="1"/>
  <c r="D48" i="48" s="1"/>
  <c r="D49" i="48" s="1"/>
  <c r="D50" i="48" s="1"/>
  <c r="D51" i="48" s="1"/>
  <c r="D52" i="48" s="1"/>
  <c r="D53" i="48" s="1"/>
  <c r="D54" i="48" s="1"/>
  <c r="D55" i="48" s="1"/>
  <c r="D56" i="48" s="1"/>
  <c r="D57" i="48" s="1"/>
  <c r="D58" i="48" s="1"/>
  <c r="D59" i="48" s="1"/>
  <c r="D60" i="48" s="1"/>
  <c r="D61" i="48" s="1"/>
  <c r="D62" i="48" s="1"/>
  <c r="D63" i="48" s="1"/>
  <c r="D64" i="48" s="1"/>
  <c r="D65" i="48" s="1"/>
  <c r="P21" i="48"/>
  <c r="P47" i="48" s="1"/>
  <c r="P48" i="48" s="1"/>
  <c r="P49" i="48" s="1"/>
  <c r="P50" i="48" s="1"/>
  <c r="P51" i="48" s="1"/>
  <c r="P52" i="48" s="1"/>
  <c r="P53" i="48" s="1"/>
  <c r="P54" i="48" s="1"/>
  <c r="P55" i="48" s="1"/>
  <c r="P56" i="48" s="1"/>
  <c r="P57" i="48" s="1"/>
  <c r="P58" i="48" s="1"/>
  <c r="P59" i="48" s="1"/>
  <c r="P60" i="48" s="1"/>
  <c r="P61" i="48" s="1"/>
  <c r="P62" i="48" s="1"/>
  <c r="P63" i="48" s="1"/>
  <c r="P64" i="48" s="1"/>
  <c r="P65" i="48" s="1"/>
  <c r="AD21" i="48"/>
  <c r="AD47" i="48" s="1"/>
  <c r="AD48" i="48" s="1"/>
  <c r="AD49" i="48" s="1"/>
  <c r="AD50" i="48" s="1"/>
  <c r="AD51" i="48" s="1"/>
  <c r="AD52" i="48" s="1"/>
  <c r="AD53" i="48" s="1"/>
  <c r="AD54" i="48" s="1"/>
  <c r="AD55" i="48" s="1"/>
  <c r="AD56" i="48" s="1"/>
  <c r="AD57" i="48" s="1"/>
  <c r="AD58" i="48" s="1"/>
  <c r="AD59" i="48" s="1"/>
  <c r="AD60" i="48" s="1"/>
  <c r="AD61" i="48" s="1"/>
  <c r="AD62" i="48" s="1"/>
  <c r="AD63" i="48" s="1"/>
  <c r="AD64" i="48" s="1"/>
  <c r="AD65" i="48" s="1"/>
  <c r="R21" i="48"/>
  <c r="R47" i="48" s="1"/>
  <c r="R48" i="48" s="1"/>
  <c r="R49" i="48" s="1"/>
  <c r="R50" i="48" s="1"/>
  <c r="R51" i="48" s="1"/>
  <c r="R52" i="48" s="1"/>
  <c r="R53" i="48" s="1"/>
  <c r="R54" i="48" s="1"/>
  <c r="R55" i="48" s="1"/>
  <c r="R56" i="48" s="1"/>
  <c r="R57" i="48" s="1"/>
  <c r="R58" i="48" s="1"/>
  <c r="R59" i="48" s="1"/>
  <c r="R60" i="48" s="1"/>
  <c r="R61" i="48" s="1"/>
  <c r="R62" i="48" s="1"/>
  <c r="R63" i="48" s="1"/>
  <c r="R64" i="48" s="1"/>
  <c r="R65" i="48" s="1"/>
  <c r="Q21" i="48"/>
  <c r="Q47" i="48" s="1"/>
  <c r="Q48" i="48" s="1"/>
  <c r="Q49" i="48" s="1"/>
  <c r="Q50" i="48" s="1"/>
  <c r="Q51" i="48" s="1"/>
  <c r="Q52" i="48" s="1"/>
  <c r="Q53" i="48" s="1"/>
  <c r="Q54" i="48" s="1"/>
  <c r="Q55" i="48" s="1"/>
  <c r="Q56" i="48" s="1"/>
  <c r="Q57" i="48" s="1"/>
  <c r="Q58" i="48" s="1"/>
  <c r="Q59" i="48" s="1"/>
  <c r="Q60" i="48" s="1"/>
  <c r="Q61" i="48" s="1"/>
  <c r="Q62" i="48" s="1"/>
  <c r="Q63" i="48" s="1"/>
  <c r="Q64" i="48" s="1"/>
  <c r="Q65" i="48" s="1"/>
  <c r="T21" i="48"/>
  <c r="T47" i="48" s="1"/>
  <c r="T48" i="48" s="1"/>
  <c r="T49" i="48" s="1"/>
  <c r="T50" i="48" s="1"/>
  <c r="T51" i="48" s="1"/>
  <c r="T52" i="48" s="1"/>
  <c r="T53" i="48" s="1"/>
  <c r="T54" i="48" s="1"/>
  <c r="T55" i="48" s="1"/>
  <c r="T56" i="48" s="1"/>
  <c r="T57" i="48" s="1"/>
  <c r="T58" i="48" s="1"/>
  <c r="T59" i="48" s="1"/>
  <c r="T60" i="48" s="1"/>
  <c r="T61" i="48" s="1"/>
  <c r="T62" i="48" s="1"/>
  <c r="T63" i="48" s="1"/>
  <c r="T64" i="48" s="1"/>
  <c r="T65" i="48" s="1"/>
  <c r="Z21" i="48"/>
  <c r="Z47" i="48" s="1"/>
  <c r="Z48" i="48" s="1"/>
  <c r="Z49" i="48" s="1"/>
  <c r="Z50" i="48" s="1"/>
  <c r="Z51" i="48" s="1"/>
  <c r="Z52" i="48" s="1"/>
  <c r="Z53" i="48" s="1"/>
  <c r="Z54" i="48" s="1"/>
  <c r="Z55" i="48" s="1"/>
  <c r="Z56" i="48" s="1"/>
  <c r="Z57" i="48" s="1"/>
  <c r="Z58" i="48" s="1"/>
  <c r="Z59" i="48" s="1"/>
  <c r="Z60" i="48" s="1"/>
  <c r="Z61" i="48" s="1"/>
  <c r="Z62" i="48" s="1"/>
  <c r="Z63" i="48" s="1"/>
  <c r="Z64" i="48" s="1"/>
  <c r="Z65" i="48" s="1"/>
  <c r="E21" i="48"/>
  <c r="E47" i="48" s="1"/>
  <c r="E48" i="48" s="1"/>
  <c r="E49" i="48" s="1"/>
  <c r="E50" i="48" s="1"/>
  <c r="E51" i="48" s="1"/>
  <c r="E52" i="48" s="1"/>
  <c r="E53" i="48" s="1"/>
  <c r="E54" i="48" s="1"/>
  <c r="E55" i="48" s="1"/>
  <c r="E56" i="48" s="1"/>
  <c r="E57" i="48" s="1"/>
  <c r="E58" i="48" s="1"/>
  <c r="E59" i="48" s="1"/>
  <c r="E60" i="48" s="1"/>
  <c r="E61" i="48" s="1"/>
  <c r="E62" i="48" s="1"/>
  <c r="E63" i="48" s="1"/>
  <c r="E64" i="48" s="1"/>
  <c r="E65" i="48" s="1"/>
  <c r="AG21" i="48"/>
  <c r="AG47" i="48" s="1"/>
  <c r="AG48" i="48" s="1"/>
  <c r="AG49" i="48" s="1"/>
  <c r="AG50" i="48" s="1"/>
  <c r="AG51" i="48" s="1"/>
  <c r="AG52" i="48" s="1"/>
  <c r="AG53" i="48" s="1"/>
  <c r="AG54" i="48" s="1"/>
  <c r="AG55" i="48" s="1"/>
  <c r="AG56" i="48" s="1"/>
  <c r="AG57" i="48" s="1"/>
  <c r="AG58" i="48" s="1"/>
  <c r="AG59" i="48" s="1"/>
  <c r="AG60" i="48" s="1"/>
  <c r="AG61" i="48" s="1"/>
  <c r="AG62" i="48" s="1"/>
  <c r="AG63" i="48" s="1"/>
  <c r="AG64" i="48" s="1"/>
  <c r="AG65" i="48" s="1"/>
  <c r="W21" i="48"/>
  <c r="W47" i="48" s="1"/>
  <c r="W48" i="48" s="1"/>
  <c r="W49" i="48" s="1"/>
  <c r="W50" i="48" s="1"/>
  <c r="W51" i="48" s="1"/>
  <c r="W52" i="48" s="1"/>
  <c r="W53" i="48" s="1"/>
  <c r="W54" i="48" s="1"/>
  <c r="W55" i="48" s="1"/>
  <c r="W56" i="48" s="1"/>
  <c r="W57" i="48" s="1"/>
  <c r="W58" i="48" s="1"/>
  <c r="W59" i="48" s="1"/>
  <c r="W60" i="48" s="1"/>
  <c r="W61" i="48" s="1"/>
  <c r="W62" i="48" s="1"/>
  <c r="W63" i="48" s="1"/>
  <c r="W64" i="48" s="1"/>
  <c r="W65" i="48" s="1"/>
  <c r="Y21" i="48"/>
  <c r="Y47" i="48" s="1"/>
  <c r="Y48" i="48" s="1"/>
  <c r="Y49" i="48" s="1"/>
  <c r="Y50" i="48" s="1"/>
  <c r="Y51" i="48" s="1"/>
  <c r="Y52" i="48" s="1"/>
  <c r="Y53" i="48" s="1"/>
  <c r="Y54" i="48" s="1"/>
  <c r="Y55" i="48" s="1"/>
  <c r="Y56" i="48" s="1"/>
  <c r="Y57" i="48" s="1"/>
  <c r="Y58" i="48" s="1"/>
  <c r="Y59" i="48" s="1"/>
  <c r="Y60" i="48" s="1"/>
  <c r="Y61" i="48" s="1"/>
  <c r="Y62" i="48" s="1"/>
  <c r="Y63" i="48" s="1"/>
  <c r="Y64" i="48" s="1"/>
  <c r="Y65" i="48" s="1"/>
  <c r="C21" i="48"/>
  <c r="C47" i="48" s="1"/>
  <c r="C48" i="48" s="1"/>
  <c r="C49" i="48" s="1"/>
  <c r="C50" i="48" s="1"/>
  <c r="C51" i="48" s="1"/>
  <c r="C52" i="48" s="1"/>
  <c r="C53" i="48" s="1"/>
  <c r="C54" i="48" s="1"/>
  <c r="C55" i="48" s="1"/>
  <c r="C56" i="48" s="1"/>
  <c r="C57" i="48" s="1"/>
  <c r="C58" i="48" s="1"/>
  <c r="C59" i="48" s="1"/>
  <c r="C60" i="48" s="1"/>
  <c r="C61" i="48" s="1"/>
  <c r="C62" i="48" s="1"/>
  <c r="C63" i="48" s="1"/>
  <c r="C64" i="48" s="1"/>
  <c r="C65" i="48" s="1"/>
  <c r="AA21" i="48"/>
  <c r="AA47" i="48" s="1"/>
  <c r="AA48" i="48" s="1"/>
  <c r="AA49" i="48" s="1"/>
  <c r="AA50" i="48" s="1"/>
  <c r="AA51" i="48" s="1"/>
  <c r="AA52" i="48" s="1"/>
  <c r="AA53" i="48" s="1"/>
  <c r="AA54" i="48" s="1"/>
  <c r="AA55" i="48" s="1"/>
  <c r="AA56" i="48" s="1"/>
  <c r="AA57" i="48" s="1"/>
  <c r="AA58" i="48" s="1"/>
  <c r="AA59" i="48" s="1"/>
  <c r="AA60" i="48" s="1"/>
  <c r="AA61" i="48" s="1"/>
  <c r="AA62" i="48" s="1"/>
  <c r="AA63" i="48" s="1"/>
  <c r="AA64" i="48" s="1"/>
  <c r="AA65" i="48" s="1"/>
  <c r="S21" i="48"/>
  <c r="S47" i="48" s="1"/>
  <c r="S48" i="48" s="1"/>
  <c r="S49" i="48" s="1"/>
  <c r="S50" i="48" s="1"/>
  <c r="S51" i="48" s="1"/>
  <c r="S52" i="48" s="1"/>
  <c r="S53" i="48" s="1"/>
  <c r="S54" i="48" s="1"/>
  <c r="S55" i="48" s="1"/>
  <c r="S56" i="48" s="1"/>
  <c r="S57" i="48" s="1"/>
  <c r="S58" i="48" s="1"/>
  <c r="S59" i="48" s="1"/>
  <c r="S60" i="48" s="1"/>
  <c r="S61" i="48" s="1"/>
  <c r="S62" i="48" s="1"/>
  <c r="S63" i="48" s="1"/>
  <c r="S64" i="48" s="1"/>
  <c r="S65" i="48" s="1"/>
  <c r="N21" i="48"/>
  <c r="N47" i="48" s="1"/>
  <c r="N48" i="48" s="1"/>
  <c r="N49" i="48" s="1"/>
  <c r="N50" i="48" s="1"/>
  <c r="N51" i="48" s="1"/>
  <c r="N52" i="48" s="1"/>
  <c r="N53" i="48" s="1"/>
  <c r="N54" i="48" s="1"/>
  <c r="N55" i="48" s="1"/>
  <c r="N56" i="48" s="1"/>
  <c r="N57" i="48" s="1"/>
  <c r="N58" i="48" s="1"/>
  <c r="N59" i="48" s="1"/>
  <c r="N60" i="48" s="1"/>
  <c r="N61" i="48" s="1"/>
  <c r="N62" i="48" s="1"/>
  <c r="N63" i="48" s="1"/>
  <c r="N64" i="48" s="1"/>
  <c r="N65" i="48" s="1"/>
  <c r="V21" i="48"/>
  <c r="V47" i="48" s="1"/>
  <c r="V48" i="48" s="1"/>
  <c r="V49" i="48" s="1"/>
  <c r="V50" i="48" s="1"/>
  <c r="V51" i="48" s="1"/>
  <c r="V52" i="48" s="1"/>
  <c r="V53" i="48" s="1"/>
  <c r="V54" i="48" s="1"/>
  <c r="V55" i="48" s="1"/>
  <c r="V56" i="48" s="1"/>
  <c r="V57" i="48" s="1"/>
  <c r="V58" i="48" s="1"/>
  <c r="V59" i="48" s="1"/>
  <c r="V60" i="48" s="1"/>
  <c r="V61" i="48" s="1"/>
  <c r="V62" i="48" s="1"/>
  <c r="V63" i="48" s="1"/>
  <c r="V64" i="48" s="1"/>
  <c r="V65" i="48" s="1"/>
  <c r="A19" i="1" l="1"/>
  <c r="J18" i="1"/>
  <c r="K18" i="1" s="1"/>
  <c r="F17" i="52" s="1"/>
  <c r="F15" i="52"/>
  <c r="W36" i="48"/>
  <c r="W28" i="48"/>
  <c r="W30" i="48"/>
  <c r="W41" i="48"/>
  <c r="W37" i="48"/>
  <c r="W33" i="48"/>
  <c r="W29" i="48"/>
  <c r="W25" i="48"/>
  <c r="W24" i="48"/>
  <c r="W40" i="48"/>
  <c r="W32" i="48"/>
  <c r="W34" i="48"/>
  <c r="W26" i="48"/>
  <c r="W39" i="48"/>
  <c r="W35" i="48"/>
  <c r="W31" i="48"/>
  <c r="W27" i="48"/>
  <c r="W23" i="48"/>
  <c r="W38" i="48"/>
  <c r="S41" i="48"/>
  <c r="S37" i="48"/>
  <c r="S33" i="48"/>
  <c r="S25" i="48"/>
  <c r="S29" i="48"/>
  <c r="S40" i="48"/>
  <c r="S36" i="48"/>
  <c r="S32" i="48"/>
  <c r="S28" i="48"/>
  <c r="S24" i="48"/>
  <c r="S27" i="48"/>
  <c r="S31" i="48"/>
  <c r="S35" i="48"/>
  <c r="S23" i="48"/>
  <c r="S39" i="48"/>
  <c r="S38" i="48"/>
  <c r="S34" i="48"/>
  <c r="S30" i="48"/>
  <c r="S26" i="48"/>
  <c r="N41" i="48"/>
  <c r="N25" i="48"/>
  <c r="N33" i="48"/>
  <c r="N29" i="48"/>
  <c r="N40" i="48"/>
  <c r="N36" i="48"/>
  <c r="N32" i="48"/>
  <c r="N28" i="48"/>
  <c r="N24" i="48"/>
  <c r="N39" i="48"/>
  <c r="N35" i="48"/>
  <c r="N31" i="48"/>
  <c r="N27" i="48"/>
  <c r="N23" i="48"/>
  <c r="N38" i="48"/>
  <c r="N34" i="48"/>
  <c r="N30" i="48"/>
  <c r="N26" i="48"/>
  <c r="N37" i="48"/>
  <c r="B22" i="48" a="1"/>
  <c r="B22" i="48" s="1"/>
  <c r="B23" i="48" s="1"/>
  <c r="B24" i="48" s="1"/>
  <c r="B25" i="48" s="1"/>
  <c r="B26" i="48" s="1"/>
  <c r="B27" i="48" s="1"/>
  <c r="B28" i="48" s="1"/>
  <c r="B29" i="48" s="1"/>
  <c r="B30" i="48" s="1"/>
  <c r="B31" i="48" s="1"/>
  <c r="B32" i="48" s="1"/>
  <c r="B33" i="48" s="1"/>
  <c r="B34" i="48" s="1"/>
  <c r="B35" i="48" s="1"/>
  <c r="B36" i="48" s="1"/>
  <c r="B37" i="48" s="1"/>
  <c r="B38" i="48" s="1"/>
  <c r="B39" i="48" s="1"/>
  <c r="B40" i="48" s="1"/>
  <c r="B41" i="48" s="1"/>
  <c r="P38" i="48"/>
  <c r="P34" i="48"/>
  <c r="P30" i="48"/>
  <c r="P26" i="48"/>
  <c r="P41" i="48"/>
  <c r="P25" i="48"/>
  <c r="P37" i="48"/>
  <c r="P29" i="48"/>
  <c r="P33" i="48"/>
  <c r="P32" i="48"/>
  <c r="P40" i="48"/>
  <c r="P36" i="48"/>
  <c r="P28" i="48"/>
  <c r="P24" i="48"/>
  <c r="P39" i="48"/>
  <c r="P31" i="48"/>
  <c r="P27" i="48"/>
  <c r="P35" i="48"/>
  <c r="P23" i="48"/>
  <c r="B21" i="48"/>
  <c r="B47" i="48" s="1"/>
  <c r="B48" i="48" l="1"/>
  <c r="B49" i="48" s="1"/>
  <c r="B50" i="48" s="1"/>
  <c r="B51" i="48" s="1"/>
  <c r="B52" i="48" s="1"/>
  <c r="B53" i="48" s="1"/>
  <c r="B54" i="48" s="1"/>
  <c r="B55" i="48" s="1"/>
  <c r="B56" i="48" s="1"/>
  <c r="B57" i="48" s="1"/>
  <c r="B58" i="48" s="1"/>
  <c r="B59" i="48" s="1"/>
  <c r="B60" i="48" s="1"/>
  <c r="B61" i="48" s="1"/>
  <c r="B62" i="48" s="1"/>
  <c r="B63" i="48" s="1"/>
  <c r="B64" i="48" s="1"/>
  <c r="B65" i="48" s="1"/>
  <c r="A20" i="1"/>
  <c r="J19" i="1"/>
  <c r="J23" i="48"/>
  <c r="J24" i="48" s="1"/>
  <c r="J25" i="48" s="1"/>
  <c r="J26" i="48" s="1"/>
  <c r="J27" i="48" s="1"/>
  <c r="J28" i="48" s="1"/>
  <c r="J29" i="48" s="1"/>
  <c r="J30" i="48" s="1"/>
  <c r="J31" i="48" s="1"/>
  <c r="J32" i="48" s="1"/>
  <c r="J33" i="48" s="1"/>
  <c r="J34" i="48" s="1"/>
  <c r="J35" i="48" s="1"/>
  <c r="J36" i="48" s="1"/>
  <c r="J37" i="48" s="1"/>
  <c r="J38" i="48" s="1"/>
  <c r="J39" i="48" s="1"/>
  <c r="J40" i="48" s="1"/>
  <c r="J41" i="48" s="1"/>
  <c r="C23" i="48"/>
  <c r="C24" i="48" s="1"/>
  <c r="C25" i="48" s="1"/>
  <c r="C26" i="48" s="1"/>
  <c r="C27" i="48" s="1"/>
  <c r="C28" i="48" s="1"/>
  <c r="C29" i="48" s="1"/>
  <c r="C30" i="48" s="1"/>
  <c r="C31" i="48" s="1"/>
  <c r="C32" i="48" s="1"/>
  <c r="C33" i="48" s="1"/>
  <c r="C34" i="48" s="1"/>
  <c r="C35" i="48" s="1"/>
  <c r="C36" i="48" s="1"/>
  <c r="C37" i="48" s="1"/>
  <c r="C38" i="48" s="1"/>
  <c r="C39" i="48" s="1"/>
  <c r="C40" i="48" s="1"/>
  <c r="C41" i="48" s="1"/>
  <c r="M23" i="48"/>
  <c r="M24" i="48" s="1"/>
  <c r="M25" i="48" s="1"/>
  <c r="M26" i="48" s="1"/>
  <c r="M27" i="48" s="1"/>
  <c r="M28" i="48" s="1"/>
  <c r="M29" i="48" s="1"/>
  <c r="M30" i="48" s="1"/>
  <c r="M31" i="48" s="1"/>
  <c r="M32" i="48" s="1"/>
  <c r="M33" i="48" s="1"/>
  <c r="M34" i="48" s="1"/>
  <c r="M35" i="48" s="1"/>
  <c r="M36" i="48" s="1"/>
  <c r="M37" i="48" s="1"/>
  <c r="M38" i="48" s="1"/>
  <c r="M39" i="48" s="1"/>
  <c r="M40" i="48" s="1"/>
  <c r="M41" i="48" s="1"/>
  <c r="O23" i="48"/>
  <c r="O24" i="48" s="1"/>
  <c r="O25" i="48" s="1"/>
  <c r="O26" i="48" s="1"/>
  <c r="O27" i="48" s="1"/>
  <c r="O28" i="48" s="1"/>
  <c r="O29" i="48" s="1"/>
  <c r="O30" i="48" s="1"/>
  <c r="O31" i="48" s="1"/>
  <c r="O32" i="48" s="1"/>
  <c r="O33" i="48" s="1"/>
  <c r="O34" i="48" s="1"/>
  <c r="O35" i="48" s="1"/>
  <c r="O36" i="48" s="1"/>
  <c r="O37" i="48" s="1"/>
  <c r="O38" i="48" s="1"/>
  <c r="O39" i="48" s="1"/>
  <c r="O40" i="48" s="1"/>
  <c r="O41" i="48" s="1"/>
  <c r="AG23" i="48"/>
  <c r="AG24" i="48" s="1"/>
  <c r="AG25" i="48" s="1"/>
  <c r="AG26" i="48" s="1"/>
  <c r="AG27" i="48" s="1"/>
  <c r="AG28" i="48" s="1"/>
  <c r="AG29" i="48" s="1"/>
  <c r="AG30" i="48" s="1"/>
  <c r="AG31" i="48" s="1"/>
  <c r="AG32" i="48" s="1"/>
  <c r="AG33" i="48" s="1"/>
  <c r="AG34" i="48" s="1"/>
  <c r="AG35" i="48" s="1"/>
  <c r="AG36" i="48" s="1"/>
  <c r="AG37" i="48" s="1"/>
  <c r="AG38" i="48" s="1"/>
  <c r="AG39" i="48" s="1"/>
  <c r="AG40" i="48" s="1"/>
  <c r="AG41" i="48" s="1"/>
  <c r="R23" i="48"/>
  <c r="R24" i="48" s="1"/>
  <c r="R25" i="48" s="1"/>
  <c r="R26" i="48" s="1"/>
  <c r="R27" i="48" s="1"/>
  <c r="R28" i="48" s="1"/>
  <c r="R29" i="48" s="1"/>
  <c r="R30" i="48" s="1"/>
  <c r="R31" i="48" s="1"/>
  <c r="R32" i="48" s="1"/>
  <c r="R33" i="48" s="1"/>
  <c r="R34" i="48" s="1"/>
  <c r="R35" i="48" s="1"/>
  <c r="R36" i="48" s="1"/>
  <c r="R37" i="48" s="1"/>
  <c r="R38" i="48" s="1"/>
  <c r="R39" i="48" s="1"/>
  <c r="R40" i="48" s="1"/>
  <c r="R41" i="48" s="1"/>
  <c r="Y23" i="48"/>
  <c r="Y24" i="48" s="1"/>
  <c r="Y25" i="48" s="1"/>
  <c r="Y26" i="48" s="1"/>
  <c r="Y27" i="48" s="1"/>
  <c r="Y28" i="48" s="1"/>
  <c r="Y29" i="48" s="1"/>
  <c r="Y30" i="48" s="1"/>
  <c r="Y31" i="48" s="1"/>
  <c r="Y32" i="48" s="1"/>
  <c r="Y33" i="48" s="1"/>
  <c r="Y34" i="48" s="1"/>
  <c r="Y35" i="48" s="1"/>
  <c r="Y36" i="48" s="1"/>
  <c r="Y37" i="48" s="1"/>
  <c r="Y38" i="48" s="1"/>
  <c r="Y39" i="48" s="1"/>
  <c r="Y40" i="48" s="1"/>
  <c r="Y41" i="48" s="1"/>
  <c r="Q23" i="48"/>
  <c r="Q24" i="48" s="1"/>
  <c r="Q25" i="48" s="1"/>
  <c r="Q26" i="48" s="1"/>
  <c r="Q27" i="48" s="1"/>
  <c r="Q28" i="48" s="1"/>
  <c r="Q29" i="48" s="1"/>
  <c r="Q30" i="48" s="1"/>
  <c r="Q31" i="48" s="1"/>
  <c r="Q32" i="48" s="1"/>
  <c r="Q33" i="48" s="1"/>
  <c r="Q34" i="48" s="1"/>
  <c r="Q35" i="48" s="1"/>
  <c r="Q36" i="48" s="1"/>
  <c r="Q37" i="48" s="1"/>
  <c r="Q38" i="48" s="1"/>
  <c r="Q39" i="48" s="1"/>
  <c r="Q40" i="48" s="1"/>
  <c r="Q41" i="48" s="1"/>
  <c r="K23" i="48"/>
  <c r="K24" i="48" s="1"/>
  <c r="K25" i="48" s="1"/>
  <c r="K26" i="48" s="1"/>
  <c r="K27" i="48" s="1"/>
  <c r="K28" i="48" s="1"/>
  <c r="K29" i="48" s="1"/>
  <c r="K30" i="48" s="1"/>
  <c r="K31" i="48" s="1"/>
  <c r="K32" i="48" s="1"/>
  <c r="K33" i="48" s="1"/>
  <c r="K34" i="48" s="1"/>
  <c r="K35" i="48" s="1"/>
  <c r="K36" i="48" s="1"/>
  <c r="K37" i="48" s="1"/>
  <c r="K38" i="48" s="1"/>
  <c r="K39" i="48" s="1"/>
  <c r="K40" i="48" s="1"/>
  <c r="K41" i="48" s="1"/>
  <c r="I23" i="48"/>
  <c r="I24" i="48" s="1"/>
  <c r="I25" i="48" s="1"/>
  <c r="I26" i="48" s="1"/>
  <c r="I27" i="48" s="1"/>
  <c r="I28" i="48" s="1"/>
  <c r="I29" i="48" s="1"/>
  <c r="I30" i="48" s="1"/>
  <c r="I31" i="48" s="1"/>
  <c r="I32" i="48" s="1"/>
  <c r="I33" i="48" s="1"/>
  <c r="I34" i="48" s="1"/>
  <c r="I35" i="48" s="1"/>
  <c r="I36" i="48" s="1"/>
  <c r="I37" i="48" s="1"/>
  <c r="I38" i="48" s="1"/>
  <c r="I39" i="48" s="1"/>
  <c r="I40" i="48" s="1"/>
  <c r="I41" i="48" s="1"/>
  <c r="U23" i="48"/>
  <c r="U24" i="48" s="1"/>
  <c r="U25" i="48" s="1"/>
  <c r="U26" i="48" s="1"/>
  <c r="U27" i="48" s="1"/>
  <c r="U28" i="48" s="1"/>
  <c r="U29" i="48" s="1"/>
  <c r="U30" i="48" s="1"/>
  <c r="U31" i="48" s="1"/>
  <c r="U32" i="48" s="1"/>
  <c r="U33" i="48" s="1"/>
  <c r="U34" i="48" s="1"/>
  <c r="U35" i="48" s="1"/>
  <c r="U36" i="48" s="1"/>
  <c r="U37" i="48" s="1"/>
  <c r="U38" i="48" s="1"/>
  <c r="U39" i="48" s="1"/>
  <c r="U40" i="48" s="1"/>
  <c r="U41" i="48" s="1"/>
  <c r="AE23" i="48"/>
  <c r="AE24" i="48" s="1"/>
  <c r="AE25" i="48" s="1"/>
  <c r="AE26" i="48" s="1"/>
  <c r="AE27" i="48" s="1"/>
  <c r="AE28" i="48" s="1"/>
  <c r="AE29" i="48" s="1"/>
  <c r="AE30" i="48" s="1"/>
  <c r="AE31" i="48" s="1"/>
  <c r="AE32" i="48" s="1"/>
  <c r="AE33" i="48" s="1"/>
  <c r="AE34" i="48" s="1"/>
  <c r="AE35" i="48" s="1"/>
  <c r="AE36" i="48" s="1"/>
  <c r="AE37" i="48" s="1"/>
  <c r="AE38" i="48" s="1"/>
  <c r="AE39" i="48" s="1"/>
  <c r="AE40" i="48" s="1"/>
  <c r="AE41" i="48" s="1"/>
  <c r="AD23" i="48"/>
  <c r="AD24" i="48" s="1"/>
  <c r="AD25" i="48" s="1"/>
  <c r="AD26" i="48" s="1"/>
  <c r="AD27" i="48" s="1"/>
  <c r="AD28" i="48" s="1"/>
  <c r="AD29" i="48" s="1"/>
  <c r="AD30" i="48" s="1"/>
  <c r="AD31" i="48" s="1"/>
  <c r="AD32" i="48" s="1"/>
  <c r="AD33" i="48" s="1"/>
  <c r="AD34" i="48" s="1"/>
  <c r="AD35" i="48" s="1"/>
  <c r="AD36" i="48" s="1"/>
  <c r="AD37" i="48" s="1"/>
  <c r="AD38" i="48" s="1"/>
  <c r="AD39" i="48" s="1"/>
  <c r="AD40" i="48" s="1"/>
  <c r="AD41" i="48" s="1"/>
  <c r="H23" i="48"/>
  <c r="H24" i="48" s="1"/>
  <c r="H25" i="48" s="1"/>
  <c r="H26" i="48" s="1"/>
  <c r="H27" i="48" s="1"/>
  <c r="H28" i="48" s="1"/>
  <c r="H29" i="48" s="1"/>
  <c r="H30" i="48" s="1"/>
  <c r="H31" i="48" s="1"/>
  <c r="H32" i="48" s="1"/>
  <c r="H33" i="48" s="1"/>
  <c r="H34" i="48" s="1"/>
  <c r="H35" i="48" s="1"/>
  <c r="H36" i="48" s="1"/>
  <c r="H37" i="48" s="1"/>
  <c r="H38" i="48" s="1"/>
  <c r="H39" i="48" s="1"/>
  <c r="H40" i="48" s="1"/>
  <c r="H41" i="48" s="1"/>
  <c r="AF23" i="48"/>
  <c r="AF24" i="48" s="1"/>
  <c r="AF25" i="48" s="1"/>
  <c r="AF26" i="48" s="1"/>
  <c r="AF27" i="48" s="1"/>
  <c r="AF28" i="48" s="1"/>
  <c r="AF29" i="48" s="1"/>
  <c r="AF30" i="48" s="1"/>
  <c r="AF31" i="48" s="1"/>
  <c r="AF32" i="48" s="1"/>
  <c r="AF33" i="48" s="1"/>
  <c r="AF34" i="48" s="1"/>
  <c r="AF35" i="48" s="1"/>
  <c r="AF36" i="48" s="1"/>
  <c r="AF37" i="48" s="1"/>
  <c r="AF38" i="48" s="1"/>
  <c r="AF39" i="48" s="1"/>
  <c r="AF40" i="48" s="1"/>
  <c r="AF41" i="48" s="1"/>
  <c r="D23" i="48"/>
  <c r="D24" i="48" s="1"/>
  <c r="D25" i="48" s="1"/>
  <c r="D26" i="48" s="1"/>
  <c r="D27" i="48" s="1"/>
  <c r="D28" i="48" s="1"/>
  <c r="D29" i="48" s="1"/>
  <c r="D30" i="48" s="1"/>
  <c r="D31" i="48" s="1"/>
  <c r="D32" i="48" s="1"/>
  <c r="D33" i="48" s="1"/>
  <c r="D34" i="48" s="1"/>
  <c r="D35" i="48" s="1"/>
  <c r="D36" i="48" s="1"/>
  <c r="D37" i="48" s="1"/>
  <c r="D38" i="48" s="1"/>
  <c r="D39" i="48" s="1"/>
  <c r="D40" i="48" s="1"/>
  <c r="D41" i="48" s="1"/>
  <c r="L23" i="48"/>
  <c r="L24" i="48" s="1"/>
  <c r="L25" i="48" s="1"/>
  <c r="L26" i="48" s="1"/>
  <c r="L27" i="48" s="1"/>
  <c r="L28" i="48" s="1"/>
  <c r="L29" i="48" s="1"/>
  <c r="L30" i="48" s="1"/>
  <c r="L31" i="48" s="1"/>
  <c r="L32" i="48" s="1"/>
  <c r="L33" i="48" s="1"/>
  <c r="L34" i="48" s="1"/>
  <c r="L35" i="48" s="1"/>
  <c r="L36" i="48" s="1"/>
  <c r="L37" i="48" s="1"/>
  <c r="L38" i="48" s="1"/>
  <c r="L39" i="48" s="1"/>
  <c r="L40" i="48" s="1"/>
  <c r="L41" i="48" s="1"/>
  <c r="F23" i="48"/>
  <c r="F24" i="48" s="1"/>
  <c r="F25" i="48" s="1"/>
  <c r="F26" i="48" s="1"/>
  <c r="F27" i="48" s="1"/>
  <c r="F28" i="48" s="1"/>
  <c r="F29" i="48" s="1"/>
  <c r="F30" i="48" s="1"/>
  <c r="F31" i="48" s="1"/>
  <c r="F32" i="48" s="1"/>
  <c r="F33" i="48" s="1"/>
  <c r="F34" i="48" s="1"/>
  <c r="F35" i="48" s="1"/>
  <c r="F36" i="48" s="1"/>
  <c r="F37" i="48" s="1"/>
  <c r="F38" i="48" s="1"/>
  <c r="F39" i="48" s="1"/>
  <c r="F40" i="48" s="1"/>
  <c r="F41" i="48" s="1"/>
  <c r="X23" i="48"/>
  <c r="X24" i="48" s="1"/>
  <c r="X25" i="48" s="1"/>
  <c r="X26" i="48" s="1"/>
  <c r="X27" i="48" s="1"/>
  <c r="X28" i="48" s="1"/>
  <c r="X29" i="48" s="1"/>
  <c r="X30" i="48" s="1"/>
  <c r="X31" i="48" s="1"/>
  <c r="X32" i="48" s="1"/>
  <c r="X33" i="48" s="1"/>
  <c r="X34" i="48" s="1"/>
  <c r="X35" i="48" s="1"/>
  <c r="X36" i="48" s="1"/>
  <c r="X37" i="48" s="1"/>
  <c r="X38" i="48" s="1"/>
  <c r="X39" i="48" s="1"/>
  <c r="X40" i="48" s="1"/>
  <c r="X41" i="48" s="1"/>
  <c r="AA23" i="48"/>
  <c r="AA24" i="48" s="1"/>
  <c r="AA25" i="48" s="1"/>
  <c r="AA26" i="48" s="1"/>
  <c r="AA27" i="48" s="1"/>
  <c r="AA28" i="48" s="1"/>
  <c r="AA29" i="48" s="1"/>
  <c r="AA30" i="48" s="1"/>
  <c r="AA31" i="48" s="1"/>
  <c r="AA32" i="48" s="1"/>
  <c r="AA33" i="48" s="1"/>
  <c r="AA34" i="48" s="1"/>
  <c r="AA35" i="48" s="1"/>
  <c r="AA36" i="48" s="1"/>
  <c r="AA37" i="48" s="1"/>
  <c r="AA38" i="48" s="1"/>
  <c r="AA39" i="48" s="1"/>
  <c r="AA40" i="48" s="1"/>
  <c r="AA41" i="48" s="1"/>
  <c r="T23" i="48"/>
  <c r="T24" i="48" s="1"/>
  <c r="T25" i="48" s="1"/>
  <c r="T26" i="48" s="1"/>
  <c r="T27" i="48" s="1"/>
  <c r="T28" i="48" s="1"/>
  <c r="T29" i="48" s="1"/>
  <c r="T30" i="48" s="1"/>
  <c r="T31" i="48" s="1"/>
  <c r="T32" i="48" s="1"/>
  <c r="T33" i="48" s="1"/>
  <c r="T34" i="48" s="1"/>
  <c r="T35" i="48" s="1"/>
  <c r="T36" i="48" s="1"/>
  <c r="T37" i="48" s="1"/>
  <c r="T38" i="48" s="1"/>
  <c r="T39" i="48" s="1"/>
  <c r="T40" i="48" s="1"/>
  <c r="T41" i="48" s="1"/>
  <c r="E23" i="48"/>
  <c r="E24" i="48" s="1"/>
  <c r="E25" i="48" s="1"/>
  <c r="E26" i="48" s="1"/>
  <c r="E27" i="48" s="1"/>
  <c r="E28" i="48" s="1"/>
  <c r="E29" i="48" s="1"/>
  <c r="E30" i="48" s="1"/>
  <c r="E31" i="48" s="1"/>
  <c r="E32" i="48" s="1"/>
  <c r="E33" i="48" s="1"/>
  <c r="E34" i="48" s="1"/>
  <c r="E35" i="48" s="1"/>
  <c r="E36" i="48" s="1"/>
  <c r="E37" i="48" s="1"/>
  <c r="E38" i="48" s="1"/>
  <c r="E39" i="48" s="1"/>
  <c r="E40" i="48" s="1"/>
  <c r="E41" i="48" s="1"/>
  <c r="AB23" i="48"/>
  <c r="AB24" i="48" s="1"/>
  <c r="AB25" i="48" s="1"/>
  <c r="AB26" i="48" s="1"/>
  <c r="AB27" i="48" s="1"/>
  <c r="AB28" i="48" s="1"/>
  <c r="AB29" i="48" s="1"/>
  <c r="AB30" i="48" s="1"/>
  <c r="AB31" i="48" s="1"/>
  <c r="AB32" i="48" s="1"/>
  <c r="AB33" i="48" s="1"/>
  <c r="AB34" i="48" s="1"/>
  <c r="AB35" i="48" s="1"/>
  <c r="AB36" i="48" s="1"/>
  <c r="AB37" i="48" s="1"/>
  <c r="AB38" i="48" s="1"/>
  <c r="AB39" i="48" s="1"/>
  <c r="AB40" i="48" s="1"/>
  <c r="AB41" i="48" s="1"/>
  <c r="Z23" i="48"/>
  <c r="Z24" i="48" s="1"/>
  <c r="Z25" i="48" s="1"/>
  <c r="Z26" i="48" s="1"/>
  <c r="Z27" i="48" s="1"/>
  <c r="Z28" i="48" s="1"/>
  <c r="Z29" i="48" s="1"/>
  <c r="Z30" i="48" s="1"/>
  <c r="Z31" i="48" s="1"/>
  <c r="Z32" i="48" s="1"/>
  <c r="Z33" i="48" s="1"/>
  <c r="Z34" i="48" s="1"/>
  <c r="Z35" i="48" s="1"/>
  <c r="Z36" i="48" s="1"/>
  <c r="Z37" i="48" s="1"/>
  <c r="Z38" i="48" s="1"/>
  <c r="Z39" i="48" s="1"/>
  <c r="Z40" i="48" s="1"/>
  <c r="Z41" i="48" s="1"/>
  <c r="V23" i="48"/>
  <c r="V24" i="48" s="1"/>
  <c r="V25" i="48" s="1"/>
  <c r="V26" i="48" s="1"/>
  <c r="V27" i="48" s="1"/>
  <c r="V28" i="48" s="1"/>
  <c r="V29" i="48" s="1"/>
  <c r="V30" i="48" s="1"/>
  <c r="V31" i="48" s="1"/>
  <c r="V32" i="48" s="1"/>
  <c r="V33" i="48" s="1"/>
  <c r="V34" i="48" s="1"/>
  <c r="V35" i="48" s="1"/>
  <c r="V36" i="48" s="1"/>
  <c r="V37" i="48" s="1"/>
  <c r="V38" i="48" s="1"/>
  <c r="V39" i="48" s="1"/>
  <c r="V40" i="48" s="1"/>
  <c r="V41" i="48" s="1"/>
  <c r="AC23" i="48"/>
  <c r="AC24" i="48" s="1"/>
  <c r="AC25" i="48" s="1"/>
  <c r="AC26" i="48" s="1"/>
  <c r="AC27" i="48" s="1"/>
  <c r="AC28" i="48" s="1"/>
  <c r="AC29" i="48" s="1"/>
  <c r="AC30" i="48" s="1"/>
  <c r="AC31" i="48" s="1"/>
  <c r="AC32" i="48" s="1"/>
  <c r="AC33" i="48" s="1"/>
  <c r="AC34" i="48" s="1"/>
  <c r="AC35" i="48" s="1"/>
  <c r="AC36" i="48" s="1"/>
  <c r="AC37" i="48" s="1"/>
  <c r="AC38" i="48" s="1"/>
  <c r="AC39" i="48" s="1"/>
  <c r="AC40" i="48" s="1"/>
  <c r="AC41" i="48" s="1"/>
  <c r="G23" i="48"/>
  <c r="G24" i="48" s="1"/>
  <c r="G25" i="48" s="1"/>
  <c r="G26" i="48" s="1"/>
  <c r="G27" i="48" s="1"/>
  <c r="G28" i="48" s="1"/>
  <c r="G29" i="48" s="1"/>
  <c r="G30" i="48" s="1"/>
  <c r="G31" i="48" s="1"/>
  <c r="G32" i="48" s="1"/>
  <c r="G33" i="48" s="1"/>
  <c r="G34" i="48" s="1"/>
  <c r="G35" i="48" s="1"/>
  <c r="G36" i="48" s="1"/>
  <c r="G37" i="48" s="1"/>
  <c r="G38" i="48" s="1"/>
  <c r="G39" i="48" s="1"/>
  <c r="G40" i="48" s="1"/>
  <c r="G41" i="48" s="1"/>
  <c r="K19" i="1" l="1"/>
  <c r="A21" i="1"/>
  <c r="J20" i="1"/>
  <c r="K20" i="1" s="1"/>
  <c r="F19" i="52" s="1"/>
  <c r="A22" i="1" l="1"/>
  <c r="J21" i="1"/>
  <c r="K21" i="1" s="1"/>
  <c r="F20" i="52" s="1"/>
  <c r="F18" i="52"/>
  <c r="N42" i="48"/>
  <c r="S42" i="48"/>
  <c r="P42" i="48"/>
  <c r="W42" i="48"/>
  <c r="M42" i="48"/>
  <c r="AA42" i="48"/>
  <c r="V42" i="48"/>
  <c r="K42" i="48"/>
  <c r="X42" i="48"/>
  <c r="I42" i="48"/>
  <c r="Y42" i="48"/>
  <c r="AG42" i="48"/>
  <c r="O42" i="48"/>
  <c r="AF42" i="48"/>
  <c r="F42" i="48"/>
  <c r="D42" i="48"/>
  <c r="E42" i="48"/>
  <c r="C42" i="48"/>
  <c r="H42" i="48"/>
  <c r="T42" i="48"/>
  <c r="G42" i="48"/>
  <c r="U42" i="48"/>
  <c r="L42" i="48"/>
  <c r="AB42" i="48"/>
  <c r="R42" i="48"/>
  <c r="AD42" i="48"/>
  <c r="Z42" i="48"/>
  <c r="J42" i="48"/>
  <c r="AC42" i="48"/>
  <c r="Q42" i="48"/>
  <c r="AE42" i="48"/>
  <c r="A23" i="1" l="1"/>
  <c r="J22" i="1"/>
  <c r="K22" i="1" s="1"/>
  <c r="F21" i="52" s="1"/>
  <c r="B42" i="48"/>
  <c r="A24" i="1" l="1"/>
  <c r="J23" i="1"/>
  <c r="K23" i="1" s="1"/>
  <c r="F22" i="52" s="1"/>
  <c r="A25" i="1" l="1"/>
  <c r="J24" i="1"/>
  <c r="K24" i="1" s="1"/>
  <c r="F23" i="52" s="1"/>
  <c r="A26" i="1" l="1"/>
  <c r="J25" i="1"/>
  <c r="K25" i="1" s="1"/>
  <c r="F24" i="52" s="1"/>
  <c r="A27" i="1" l="1"/>
  <c r="J26" i="1"/>
  <c r="K26" i="1" s="1"/>
  <c r="F25" i="52" s="1"/>
  <c r="A28" i="1" l="1"/>
  <c r="J27" i="1"/>
  <c r="K27" i="1" s="1"/>
  <c r="F26" i="52" s="1"/>
  <c r="A29" i="1" l="1"/>
  <c r="J28" i="1"/>
  <c r="K28" i="1" s="1"/>
  <c r="F27" i="52" s="1"/>
  <c r="A30" i="1" l="1"/>
  <c r="J29" i="1"/>
  <c r="K29" i="1" s="1"/>
  <c r="F28" i="52" s="1"/>
  <c r="A31" i="1" l="1"/>
  <c r="J30" i="1"/>
  <c r="K30" i="1" s="1"/>
  <c r="F29" i="52" s="1"/>
  <c r="A32" i="1" l="1"/>
  <c r="J31" i="1"/>
  <c r="K31" i="1" s="1"/>
  <c r="F30" i="52" s="1"/>
  <c r="A33" i="1" l="1"/>
  <c r="J32" i="1"/>
  <c r="K32" i="1" s="1"/>
  <c r="F31" i="52" s="1"/>
  <c r="A34" i="1" l="1"/>
  <c r="J33" i="1"/>
  <c r="K33" i="1" s="1"/>
  <c r="F32" i="52" s="1"/>
  <c r="A35" i="1" l="1"/>
  <c r="J34" i="1"/>
  <c r="K34" i="1" s="1"/>
  <c r="F33" i="52" s="1"/>
  <c r="A36" i="1" l="1"/>
  <c r="J35" i="1"/>
  <c r="K35" i="1" s="1"/>
  <c r="F34" i="52" s="1"/>
  <c r="A37" i="1" l="1"/>
  <c r="J36" i="1"/>
  <c r="K36" i="1" s="1"/>
  <c r="F35" i="52" s="1"/>
  <c r="A38" i="1" l="1"/>
  <c r="J37" i="1"/>
  <c r="K37" i="1" s="1"/>
  <c r="F36" i="52" s="1"/>
  <c r="A39" i="1" l="1"/>
  <c r="J38" i="1"/>
  <c r="K38" i="1" s="1"/>
  <c r="F37" i="52" s="1"/>
  <c r="A40" i="1" l="1"/>
  <c r="J39" i="1"/>
  <c r="K39" i="1" s="1"/>
  <c r="F38" i="52" s="1"/>
  <c r="A41" i="1" l="1"/>
  <c r="J40" i="1"/>
  <c r="K40" i="1" s="1"/>
  <c r="F39" i="52" s="1"/>
  <c r="A42" i="1" l="1"/>
  <c r="J41" i="1"/>
  <c r="K41" i="1" s="1"/>
  <c r="F40" i="52" s="1"/>
  <c r="A43" i="1" l="1"/>
  <c r="J42" i="1"/>
  <c r="K42" i="1" s="1"/>
  <c r="F41" i="52" s="1"/>
  <c r="A44" i="1" l="1"/>
  <c r="J43" i="1"/>
  <c r="K43" i="1" s="1"/>
  <c r="F42" i="52" s="1"/>
  <c r="A45" i="1" l="1"/>
  <c r="J44" i="1"/>
  <c r="K44" i="1" s="1"/>
  <c r="F43" i="52" s="1"/>
  <c r="A46" i="1" l="1"/>
  <c r="J45" i="1"/>
  <c r="K45" i="1" s="1"/>
  <c r="F44" i="52" s="1"/>
  <c r="J46" i="1" l="1"/>
  <c r="K46" i="1" l="1"/>
  <c r="J47" i="1"/>
  <c r="F45" i="52" l="1"/>
  <c r="F46" i="52" s="1"/>
  <c r="K47" i="1"/>
  <c r="T31" i="62" l="1"/>
  <c r="W31" i="62" l="1"/>
  <c r="T60" i="62"/>
  <c r="W60" i="62" s="1"/>
  <c r="T47" i="62"/>
  <c r="W47" i="62" s="1"/>
  <c r="T51" i="62"/>
  <c r="W51" i="62" s="1"/>
  <c r="T43" i="62"/>
  <c r="W43" i="62" s="1"/>
  <c r="T48" i="62"/>
  <c r="W48" i="62" s="1"/>
  <c r="T59" i="62"/>
  <c r="W59" i="62" s="1"/>
  <c r="T62" i="62"/>
  <c r="W62" i="62" s="1"/>
  <c r="T45" i="62"/>
  <c r="W45" i="62" s="1"/>
  <c r="T55" i="62"/>
  <c r="W55" i="62" s="1"/>
  <c r="T57" i="62"/>
  <c r="W57" i="62" s="1"/>
  <c r="T42" i="62"/>
  <c r="W42" i="62" s="1"/>
  <c r="T34" i="62"/>
  <c r="W34" i="62" s="1"/>
  <c r="T32" i="62"/>
  <c r="W32" i="62" s="1"/>
  <c r="T58" i="62"/>
  <c r="W58" i="62" s="1"/>
  <c r="T49" i="62"/>
  <c r="W49" i="62" s="1"/>
  <c r="T40" i="62"/>
  <c r="W40" i="62" s="1"/>
  <c r="T38" i="62"/>
  <c r="W38" i="62" s="1"/>
  <c r="T53" i="62"/>
  <c r="W53" i="62" s="1"/>
  <c r="T46" i="62"/>
  <c r="W46" i="62" s="1"/>
  <c r="T50" i="62"/>
  <c r="W50" i="62" s="1"/>
  <c r="T44" i="62"/>
  <c r="W44" i="62" s="1"/>
  <c r="T41" i="62"/>
  <c r="W41" i="62" s="1"/>
  <c r="T56" i="62"/>
  <c r="W56" i="62" s="1"/>
  <c r="T37" i="62"/>
  <c r="W37" i="62" s="1"/>
  <c r="T36" i="62"/>
  <c r="W36" i="62" s="1"/>
  <c r="S63" i="62"/>
  <c r="T52" i="62"/>
  <c r="W52" i="62" s="1"/>
  <c r="T54" i="62"/>
  <c r="W54" i="62" s="1"/>
  <c r="T39" i="62"/>
  <c r="W39" i="62" s="1"/>
  <c r="T35" i="62"/>
  <c r="T33" i="62"/>
  <c r="W33" i="62" s="1"/>
  <c r="T61" i="62"/>
  <c r="W61" i="62" s="1"/>
  <c r="T63" i="62" l="1"/>
  <c r="W35" i="62"/>
  <c r="W63" i="62" s="1"/>
  <c r="D6" i="6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<sst xmlns="http://schemas.openxmlformats.org/spreadsheetml/2006/main" count="921" uniqueCount="394">
  <si>
    <t>Judicial Council of California Proposed Price Quotation Form</t>
  </si>
  <si>
    <t>Lists (sneaky)</t>
  </si>
  <si>
    <t>Yes</t>
  </si>
  <si>
    <t>Tie-In</t>
  </si>
  <si>
    <t>No</t>
  </si>
  <si>
    <t>NEMA</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</si>
  <si>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</si>
  <si>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</si>
  <si>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</si>
  <si>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</si>
  <si>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</si>
  <si>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</si>
  <si>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</si>
  <si>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</si>
  <si>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</si>
  <si>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</si>
  <si>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</si>
  <si>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</si>
  <si>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Size (kWh)</t>
  </si>
  <si>
    <t>Fremont Hall of Justice</t>
  </si>
  <si>
    <t>01-H1</t>
  </si>
  <si>
    <t>39439 PASEO PADRE PKWY., FREMONT, CA 94538</t>
  </si>
  <si>
    <t>PG&amp;E / EBCE</t>
  </si>
  <si>
    <t>A-6 BrightChoice</t>
  </si>
  <si>
    <t>Tie-in</t>
  </si>
  <si>
    <t>Amador Superior Court</t>
  </si>
  <si>
    <t>03-C1</t>
  </si>
  <si>
    <t>500 ARGONAUT LANE, JACKSON, CA 95642</t>
  </si>
  <si>
    <t>PG&amp;E</t>
  </si>
  <si>
    <t>B-10S</t>
  </si>
  <si>
    <t/>
  </si>
  <si>
    <t>North Butte County Courthouse</t>
  </si>
  <si>
    <t>04-F1</t>
  </si>
  <si>
    <t>1775 CONCORD AVENUE, CHICO, CA 95928</t>
  </si>
  <si>
    <t>Bray Courts</t>
  </si>
  <si>
    <t>07-A3</t>
  </si>
  <si>
    <t>1020 WARD ST., MARTINEZ, CA 94553</t>
  </si>
  <si>
    <t>0010715483</t>
  </si>
  <si>
    <t>9279R9</t>
  </si>
  <si>
    <t>Richard E. Arnason Justice Center</t>
  </si>
  <si>
    <t>07-E3</t>
  </si>
  <si>
    <t>1000 CENTER DRIVE, PITTSBURG, CA 94565</t>
  </si>
  <si>
    <t>PG&amp;E / MCE</t>
  </si>
  <si>
    <t>B-19S</t>
  </si>
  <si>
    <t>B-19S Option R</t>
  </si>
  <si>
    <t>Walnut Creek Courthouse</t>
  </si>
  <si>
    <t>07-C1</t>
  </si>
  <si>
    <t>640 YGNACIO VALLEY RD., WALNUT CREEK, CA 94596</t>
  </si>
  <si>
    <t>B. F. Sisk Courthouse</t>
  </si>
  <si>
    <t>10-O1</t>
  </si>
  <si>
    <t xml:space="preserve">1130 O ST., FRESNO, CA </t>
  </si>
  <si>
    <t>Imperial County Courthouse</t>
  </si>
  <si>
    <t>13-A1</t>
  </si>
  <si>
    <t>939 W. MAIN ST., EL CENTRO, CA 92243</t>
  </si>
  <si>
    <t>IID</t>
  </si>
  <si>
    <t>IID-2B6B-200136</t>
  </si>
  <si>
    <t>GS</t>
  </si>
  <si>
    <t>GS / DG</t>
  </si>
  <si>
    <t>Delano/North Kern Court</t>
  </si>
  <si>
    <t>15-D1</t>
  </si>
  <si>
    <t>1122 JEFFERSON ST., DELANO, CA 93215</t>
  </si>
  <si>
    <t>SCE</t>
  </si>
  <si>
    <t>259000-074761</t>
  </si>
  <si>
    <t>TOU-GS-2-D-CPP</t>
  </si>
  <si>
    <t>TOU-GS-2-E-CPP</t>
  </si>
  <si>
    <t>Kings Superior Court</t>
  </si>
  <si>
    <t>16-A5</t>
  </si>
  <si>
    <t>1640 KINGS COUNTY DRIVE, HANFORD, CA 93230</t>
  </si>
  <si>
    <t>259000-079230</t>
  </si>
  <si>
    <t>TOU-8-D</t>
  </si>
  <si>
    <t>TOU-8-E</t>
  </si>
  <si>
    <t>Whittier Courthouse</t>
  </si>
  <si>
    <t>19-AO1</t>
  </si>
  <si>
    <t>7339 PAINTER AVENUE, WHITTIER, CA 90602</t>
  </si>
  <si>
    <t>SCE / Clean Power Alliance</t>
  </si>
  <si>
    <t>359150-006456</t>
  </si>
  <si>
    <t>TOU-GS-3-D</t>
  </si>
  <si>
    <t>TOU-GS-3-E</t>
  </si>
  <si>
    <t>Santa Monica Courthouse</t>
  </si>
  <si>
    <t>19-AP1</t>
  </si>
  <si>
    <t>1725 MAIN STREET, SANTA MONICA, CA 90401</t>
  </si>
  <si>
    <t>V349P-006235</t>
  </si>
  <si>
    <t>Van Nuys Courthouse East</t>
  </si>
  <si>
    <t>19-AX1</t>
  </si>
  <si>
    <t>6230 SYLMAR AVENUE, VAN NUYS, CA 91401</t>
  </si>
  <si>
    <t>LADWP</t>
  </si>
  <si>
    <t>A-3</t>
  </si>
  <si>
    <t>Torrance Courthouse</t>
  </si>
  <si>
    <t>19-C1</t>
  </si>
  <si>
    <t>825 MAPLE AVENUE, TORRANCE, CA 90503</t>
  </si>
  <si>
    <t>V349P-000265</t>
  </si>
  <si>
    <t>Glendale Courthouse</t>
  </si>
  <si>
    <t>19-H1</t>
  </si>
  <si>
    <t>600 EAST BROADWAY, GLENDALE, CA 91206</t>
  </si>
  <si>
    <t>Glendale Water &amp; Power</t>
  </si>
  <si>
    <t>32092880-02</t>
  </si>
  <si>
    <t>LD2A2</t>
  </si>
  <si>
    <t>Monrovia Training Center</t>
  </si>
  <si>
    <t>19-N1</t>
  </si>
  <si>
    <t>300 W. MAPLE AVE., MONROVIA, CA 91016</t>
  </si>
  <si>
    <t>255000-001981</t>
  </si>
  <si>
    <t>Edmund D. Edelman Children's Court</t>
  </si>
  <si>
    <t>19-Q1</t>
  </si>
  <si>
    <t>201 CENTRE PLAZA DRIVE, MONTEREY PARK, CA 91754</t>
  </si>
  <si>
    <t>V349P-001660</t>
  </si>
  <si>
    <t>Hollywood Courthouse</t>
  </si>
  <si>
    <t>19-S1</t>
  </si>
  <si>
    <t>5925 HOLLYWOOD BOULEVARD, LOS ANGELES, CA 90028</t>
  </si>
  <si>
    <t>A-2</t>
  </si>
  <si>
    <t>Pomona Courthouse South</t>
  </si>
  <si>
    <t>19-W1</t>
  </si>
  <si>
    <t>400 CIVIC CENTER PLAZA, POMONA, CA 91766</t>
  </si>
  <si>
    <t>V349P-00637</t>
  </si>
  <si>
    <t>The Robert M. Falasco Justice Center</t>
  </si>
  <si>
    <t>24-G1</t>
  </si>
  <si>
    <t>1159 G STREET, LOS BANOS, CA 93635</t>
  </si>
  <si>
    <t>B-10S, PDP, Solar Choice</t>
  </si>
  <si>
    <t>Mammoth Lakes Courthouse</t>
  </si>
  <si>
    <t>26-B2</t>
  </si>
  <si>
    <t>100 THOMPSON WAY, MAMMOTH LAKES, CA 93546</t>
  </si>
  <si>
    <t>259000-062390</t>
  </si>
  <si>
    <t>TOU-GS-2-D</t>
  </si>
  <si>
    <t>TOU-GS-2-E</t>
  </si>
  <si>
    <t>Banning Justice Center</t>
  </si>
  <si>
    <t>33-G4</t>
  </si>
  <si>
    <t>311 EAST RAMSEY, BANNING, CA 92220</t>
  </si>
  <si>
    <t>City of Banning</t>
  </si>
  <si>
    <t>85791-55378</t>
  </si>
  <si>
    <t>16477E</t>
  </si>
  <si>
    <t>Commercial</t>
  </si>
  <si>
    <t>San Benito County Superior Court</t>
  </si>
  <si>
    <t>35-C1</t>
  </si>
  <si>
    <t>450 FOURTH STREET, HOLLISTER, CA 95023</t>
  </si>
  <si>
    <t>PG&amp;E / CCCE</t>
  </si>
  <si>
    <t>San Bernardino Justice Center</t>
  </si>
  <si>
    <t>36-R1</t>
  </si>
  <si>
    <t>247 WEST THIRD STREET, SAN BERNARDINO, CA 92415</t>
  </si>
  <si>
    <t>V349N-018597</t>
  </si>
  <si>
    <t>TOU-8-D CPP</t>
  </si>
  <si>
    <t>TOU-8-E CPP</t>
  </si>
  <si>
    <t>Kearny Mesa Court</t>
  </si>
  <si>
    <t>37-C1</t>
  </si>
  <si>
    <t>8950 CLAIREMONT MESA BLVD., SAN DIEGO, CA 92123</t>
  </si>
  <si>
    <t>SDG&amp;E / SDCP</t>
  </si>
  <si>
    <t>0030646900830</t>
  </si>
  <si>
    <t>06690564</t>
  </si>
  <si>
    <t>ALTOUCP2</t>
  </si>
  <si>
    <t>East County Regional Center</t>
  </si>
  <si>
    <t>37-I1</t>
  </si>
  <si>
    <t>250 E. MAIN ST., EL CAJON, CA 92020</t>
  </si>
  <si>
    <t>SDG&amp;E</t>
  </si>
  <si>
    <t>0031438695083</t>
  </si>
  <si>
    <t>06687284</t>
  </si>
  <si>
    <t>Northern Branch Courthouse</t>
  </si>
  <si>
    <t>41-C1</t>
  </si>
  <si>
    <t>1050 MISSION RD., SOUTH SAN FRANCISCO, CA 94080</t>
  </si>
  <si>
    <t>PG&amp;E / PCE</t>
  </si>
  <si>
    <t>Downtown Superior Court</t>
  </si>
  <si>
    <t>43-B1</t>
  </si>
  <si>
    <t>191 N. FIRST ST., SAN JOSE, CA 95113</t>
  </si>
  <si>
    <t>PG&amp;E / SJCE</t>
  </si>
  <si>
    <t>0P1390</t>
  </si>
  <si>
    <t>Sutter County Superior Courthouse</t>
  </si>
  <si>
    <t>51-C1</t>
  </si>
  <si>
    <t>1175 CIVIC CENTER BLVD., YUBA CITY, CA 95993</t>
  </si>
  <si>
    <t>Tehama County Courthouse</t>
  </si>
  <si>
    <t>52-E1</t>
  </si>
  <si>
    <t>1740 WALNUT STREET, RED BLUFF, CA 96080</t>
  </si>
  <si>
    <t>South County Justice Center</t>
  </si>
  <si>
    <t>54-I1</t>
  </si>
  <si>
    <t>300 EAST OLIVE AVENUE, PORTERVILLE, CA 93257</t>
  </si>
  <si>
    <t>V349N-003192</t>
  </si>
  <si>
    <t>TOU-GS-3-D CPP</t>
  </si>
  <si>
    <t>TOU-GS-3-E CPP</t>
  </si>
  <si>
    <t>Yolo Superior Court</t>
  </si>
  <si>
    <t>57-A10</t>
  </si>
  <si>
    <t>1000 MAIN STREET, WOODLAND, CA 95695</t>
  </si>
  <si>
    <t>PG&amp;E / VCEA</t>
  </si>
  <si>
    <t>Project Totals</t>
  </si>
  <si>
    <t>Notes:</t>
  </si>
  <si>
    <t>Current Annual Electricity Usage (kWh) is based on the interval usage profiles for CY2019</t>
  </si>
  <si>
    <t>DO NOT DELETE</t>
  </si>
  <si>
    <t>Proposing Company Name:</t>
  </si>
  <si>
    <t>System Specification</t>
  </si>
  <si>
    <t>Module Degradation Assumptions</t>
  </si>
  <si>
    <t>Year-1 Production Degradation (%)</t>
  </si>
  <si>
    <t>Years 2-25 Production Degradation (%)</t>
  </si>
  <si>
    <t>Recharge from Solar (%)</t>
  </si>
  <si>
    <t>Discharge Efficiency (%)</t>
  </si>
  <si>
    <t>Charge Efficiency (%)</t>
  </si>
  <si>
    <t>SOLAR PV SPECIFICATIONS</t>
  </si>
  <si>
    <t>BESS/MICROGRID SPECIFICATIONS</t>
  </si>
  <si>
    <t>PV Yr-1</t>
  </si>
  <si>
    <t>Minimum BESS Size (kW / kWh)</t>
  </si>
  <si>
    <t>Yr-1 Expected Production (kWh), Inclusive of Yr-1 Production Degradation</t>
  </si>
  <si>
    <t>kW</t>
  </si>
  <si>
    <t>kWh</t>
  </si>
  <si>
    <t>BESS Demand Savings ($)</t>
  </si>
  <si>
    <t>Other Value Streams ($)</t>
  </si>
  <si>
    <t>Total Yr-1 BESS Savings</t>
  </si>
  <si>
    <t>Site Details</t>
  </si>
  <si>
    <t>Production Guarantee (% of Expected Production, min 90%)</t>
  </si>
  <si>
    <t>Year</t>
  </si>
  <si>
    <t>Total</t>
  </si>
  <si>
    <t>Project Development Costs Assumptions Table</t>
  </si>
  <si>
    <t>Description</t>
  </si>
  <si>
    <t>Responsible Party</t>
  </si>
  <si>
    <t>Value</t>
  </si>
  <si>
    <t>Include in Cost Proposal</t>
  </si>
  <si>
    <t>Notes</t>
  </si>
  <si>
    <t>Roofing costs</t>
  </si>
  <si>
    <t>Proposer</t>
  </si>
  <si>
    <t>See table below</t>
  </si>
  <si>
    <t>JCC Legal Counsel Fees</t>
  </si>
  <si>
    <t>Consultant Fees</t>
  </si>
  <si>
    <t>ADA Upgrades (Within canopy footprint)</t>
  </si>
  <si>
    <t>Proposer Estimate</t>
  </si>
  <si>
    <t>All ADA design/permitting costs. All upgrade costs within canopy footprint.</t>
  </si>
  <si>
    <t>ADA Upgrades (Not within canopy footprint)</t>
  </si>
  <si>
    <t>JCC</t>
  </si>
  <si>
    <t>N/A</t>
  </si>
  <si>
    <t xml:space="preserve">ADA upgrade construction costs outside of the canopy footprint. </t>
  </si>
  <si>
    <t>Interconnection (Standard/Identified/Inferable)</t>
  </si>
  <si>
    <t>Routine and identifiable costs to interconnect with main service at each site. Costs should include any potential Utility transformer needed to support proposed system capacity based on the transformer kVA ratings identified in the RFP, and other readily inferable interconnection costs.</t>
  </si>
  <si>
    <t>Interconnection (Utility-side/Not-inferable)</t>
  </si>
  <si>
    <t>CEQA</t>
  </si>
  <si>
    <t>CEQA Mitigation</t>
  </si>
  <si>
    <t>CEQA mitigation is not expected for this project, however if any measures arise, contractor will be responsible for implementing them.</t>
  </si>
  <si>
    <t>Geotech &amp; California Geological Survey (CGS)</t>
  </si>
  <si>
    <t>Proposer to pay for all costs associated with CGS submittal as-needed.</t>
  </si>
  <si>
    <t>Division of the State Architect (DSA)</t>
  </si>
  <si>
    <t>All design, permitting, construction requirements, and close-out costs.</t>
  </si>
  <si>
    <t>Fire Department Fees</t>
  </si>
  <si>
    <t>Proposer to obtain permits and pay for all required permitting costs.</t>
  </si>
  <si>
    <t>Any other required permitting</t>
  </si>
  <si>
    <t>Total Assumed Project Development Costs</t>
  </si>
  <si>
    <t>PPA, 0% Escalation</t>
  </si>
  <si>
    <t>Project Development Costs Assumptions</t>
  </si>
  <si>
    <t>Year-1 Generation (kWh)</t>
  </si>
  <si>
    <t>BESS Size (kW / kWh)</t>
  </si>
  <si>
    <t>PPA Price ($/kWh)</t>
  </si>
  <si>
    <t>Contract Early Termination Value, Year 1 ($)</t>
  </si>
  <si>
    <t>PPA Buyout Price, End of Term</t>
  </si>
  <si>
    <t>PPA Price Adjustment per $25k Change from Assumed Project Development Costs (ITC-Eligibile)</t>
  </si>
  <si>
    <t>PPA Price Adjustment per $25k Change from Assumed Project Development Costs (Non-ITC-Eligibile)</t>
  </si>
  <si>
    <t>Unit Cost ($/W)</t>
  </si>
  <si>
    <t>Roofing Costs</t>
  </si>
  <si>
    <t>Other Project Development Costs</t>
  </si>
  <si>
    <t>Total Project Development Costs</t>
  </si>
  <si>
    <t>Term</t>
  </si>
  <si>
    <t>Dear Members of the Judicial Council of California:</t>
  </si>
  <si>
    <t>The undersigned, doing business under the name of:</t>
  </si>
  <si>
    <t>having carefully examined the location of the Project, the local conditions of the sites comprising the Project, the Project Request for Proposal and all appendices attached thereto, including but not limited to: Project Scope, Design Build Contract, the Project Schedule, and Historical Electrical Consumption Information, Project Site Plans, and Specifications, proposes to perform the Contract, including all of its component parts, and to furnish any and all required labor, materials, equipment, transportation and services required for the construction of the Project in strict conformity with the Specifications and Design Criteria, including all taxes as follows:</t>
  </si>
  <si>
    <t>Microgrid Proposal</t>
  </si>
  <si>
    <t>Solar + Storage Proposal</t>
  </si>
  <si>
    <t>Solar Only Proposal</t>
  </si>
  <si>
    <t>Totals:</t>
  </si>
  <si>
    <t>Signature, Microgrid, Solar+BESS, Solar-Only Cost Proposal
The undersigned has checked carefully all the above figures and understands that the Judical Council of California is not responsible for any errors or omissions on the part of the undersigned in making up this proposal.  The undersigned confirms that the proposed Solar PV system prices reflect pricing prior to any incentives or tax credits. If awarded the Contract the undersigned hereby agrees to sign the Contract and furnish the necessary bonds and certificates of insurance within ten (10) days after the Notice of the Award is issued and agrees to commence construction within ten (10) days after the Notice to Proceed is issued.  The undersigned agrees, on the acceptance of this proposal, to enter into and execute the Contract with the necessary bonds.  It is understood that this proposal is based upon completing the work within the number of calendar days as specified in the Contract Documents.</t>
  </si>
  <si>
    <t>Company:</t>
  </si>
  <si>
    <t>Address:</t>
  </si>
  <si>
    <t xml:space="preserve">By: </t>
  </si>
  <si>
    <t>(Please Print or Type)</t>
  </si>
  <si>
    <t xml:space="preserve">Signature: </t>
  </si>
  <si>
    <t xml:space="preserve">Title: </t>
  </si>
  <si>
    <t>Date:</t>
  </si>
  <si>
    <t>Phone:</t>
  </si>
  <si>
    <t>BESS Savings</t>
  </si>
  <si>
    <t>Utility Company</t>
  </si>
  <si>
    <t>Yes/No</t>
  </si>
  <si>
    <t>PPA Contact Term</t>
  </si>
  <si>
    <t>Wire Type</t>
  </si>
  <si>
    <t>Lease Types</t>
  </si>
  <si>
    <t>Copper</t>
  </si>
  <si>
    <t>Capital</t>
  </si>
  <si>
    <t>Aluminum</t>
  </si>
  <si>
    <t>Operating</t>
  </si>
  <si>
    <t>Municipal</t>
  </si>
  <si>
    <t>Tariff Lists</t>
  </si>
  <si>
    <t>Active Tariff</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</si>
  <si>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</si>
  <si>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</si>
  <si>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</si>
  <si>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</si>
  <si>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</si>
  <si>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</si>
  <si>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</si>
  <si>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</si>
  <si>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</si>
  <si>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</si>
  <si>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</si>
  <si>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</si>
  <si>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</si>
  <si>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</si>
  <si>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</si>
  <si>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</si>
  <si>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</si>
  <si>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</si>
  <si>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</si>
  <si>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</si>
  <si>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</si>
  <si>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</si>
  <si>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</si>
  <si>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</si>
  <si>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</si>
  <si>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</si>
  <si>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</si>
  <si>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</si>
  <si>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</si>
  <si>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</si>
  <si>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</si>
  <si>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</si>
  <si>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</si>
  <si>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</si>
  <si>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</si>
  <si>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</si>
  <si>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</si>
  <si>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</si>
  <si>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</si>
  <si>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</si>
  <si>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</si>
  <si>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</si>
  <si>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</si>
  <si>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</si>
  <si>
    <t>Utility-side improvements (e.g. transmission or distribution upgrades) not readily inferable from RFP info.  Major improvements to services not identified or inferable from RFP information. Included value based on estimate in "Interconnection (Utility-side/Not-inferable)" in table below.</t>
  </si>
  <si>
    <t>IA Status</t>
  </si>
  <si>
    <t>Submitted</t>
  </si>
  <si>
    <t>Not Submitted</t>
  </si>
  <si>
    <t>Roof Area only listed for sites that shall include Roof Replacement Costs as a Project Development Cost if the rooftop is used. If Rooftop is not used do not include rooop replacement. Other rooftop systems do not include full roof replacement.</t>
  </si>
  <si>
    <t>PPA or Lease</t>
  </si>
  <si>
    <t>PPA</t>
  </si>
  <si>
    <t>Solar PV Performance Guarantee (PeGu)</t>
  </si>
  <si>
    <t>Solar PV Performance Guarantee</t>
  </si>
  <si>
    <t>True-up Term</t>
  </si>
  <si>
    <t>Design includes Rooftop arrays?</t>
  </si>
  <si>
    <t>Roof Area to be Replaced (if Rooftop array included in design) (sqft)</t>
  </si>
  <si>
    <t>PPA/SEL Term (yrs)</t>
  </si>
  <si>
    <t>Some sites require a Solar Equipment Lease (SEL) rather than a PPA. Each Proposal sheet specifies which pricing is being requested.</t>
  </si>
  <si>
    <t>PPA or SEL</t>
  </si>
  <si>
    <t>SEL</t>
  </si>
  <si>
    <t>PPA/SEL pricing to be based on Total Project Development Cost Assumptions. Final PPA/SEL pricing will be adjusted based on actual Total Project Development Costs and the corresponding PPA/SEL Price Adjustment per $25,000 change from Total Assumed Project Development Costs.</t>
  </si>
  <si>
    <t>Microgrid PPA/SEL Cost Table</t>
  </si>
  <si>
    <t>Solar Equipment Lease (SEL) Terms</t>
  </si>
  <si>
    <t>Year-1 Monthly SEL Payment</t>
  </si>
  <si>
    <t>Monthly SEL Payment Adjustment per $25k Change from Assumed Project Development Costs (ITC-Eligible)</t>
  </si>
  <si>
    <t>Monthly SEL Payment Adjustment per $25k Change from Assumed Project Development Costs (Non-ITC-Eligible)</t>
  </si>
  <si>
    <r>
      <rPr>
        <b/>
        <sz val="12"/>
        <color rgb="FF000000"/>
        <rFont val="Calibri"/>
        <family val="2"/>
      </rPr>
      <t>DIRECTIONS FOR FILLING OUT THIS WORKSHEET</t>
    </r>
    <r>
      <rPr>
        <sz val="12"/>
        <color indexed="8"/>
        <rFont val="Calibri"/>
        <family val="2"/>
      </rPr>
      <t xml:space="preserve">
1)  Proposers must fill in all yellow cells that are applicable to their proposal. Proposers must provide a Power Purchase Price and Contract Termination Value and PPA Buyout Prices
      for at least as many years as assumed in the Assumptions Table. Proposer must provide Solar Equipment Lease (SEL) Terms for all sites in LADWP, Glendale Water and Power, and City of Banning
      territory. 
2) Proposers may </t>
    </r>
    <r>
      <rPr>
        <b/>
        <u/>
        <sz val="12"/>
        <color rgb="FF000000"/>
        <rFont val="Calibri"/>
        <family val="2"/>
      </rPr>
      <t>optionally</t>
    </r>
    <r>
      <rPr>
        <sz val="12"/>
        <color indexed="8"/>
        <rFont val="Calibri"/>
        <family val="2"/>
      </rPr>
      <t xml:space="preserve"> fill in all tan cells for PPA terms for sites in LADWP, Glendale Water and Power, and City of Banning territory if proposer believes such financing will
     be acceptable under the terms of those utilities.
3) Base PPA Proposal must include </t>
    </r>
    <r>
      <rPr>
        <b/>
        <u/>
        <sz val="12"/>
        <color rgb="FF000000"/>
        <rFont val="Calibri"/>
        <family val="2"/>
      </rPr>
      <t>zero annual escalator.</t>
    </r>
    <r>
      <rPr>
        <sz val="12"/>
        <color rgb="FF000000"/>
        <rFont val="Calibri"/>
        <family val="2"/>
      </rPr>
      <t xml:space="preserve"> 
4) PPA and SEL pricing for each site must include all Project Development Costs shown in the Project Development Costs Assumptions Table.</t>
    </r>
    <r>
      <rPr>
        <sz val="12"/>
        <color indexed="8"/>
        <rFont val="Calibri"/>
        <family val="2"/>
      </rPr>
      <t xml:space="preserve">
5) Proposers must allow for buyout at fair market value at the end of year 6.
6) Proposers must include a include </t>
    </r>
    <r>
      <rPr>
        <b/>
        <u/>
        <sz val="12"/>
        <color rgb="FF000000"/>
        <rFont val="Calibri"/>
        <family val="2"/>
      </rPr>
      <t>PPA Price and/or SEL Payment Adjustment per $25,000 Change from Assumed Project Development Costs for both ITC-eligible and non-ITC-eligble costs</t>
    </r>
    <r>
      <rPr>
        <sz val="12"/>
        <color rgb="FF000000"/>
        <rFont val="Calibri"/>
        <family val="2"/>
      </rPr>
      <t xml:space="preserve">
     for each site. These PPA Price Adjustments will also be utilized to adjust PPA Price resulting from approved Change Orders.</t>
    </r>
    <r>
      <rPr>
        <sz val="12"/>
        <color indexed="8"/>
        <rFont val="Calibri"/>
        <family val="2"/>
      </rPr>
      <t xml:space="preserve">
7) PPA price / SEL payment adjustments apply to the each site if the project development costs alter by $25,000.
8) PPA / SEL term applies to the full microgrid system.                                                                                                        
9) Do not alter gray cells.
10) If no value is proposed leave cell blank. </t>
    </r>
  </si>
  <si>
    <r>
      <rPr>
        <b/>
        <sz val="12"/>
        <color rgb="FF000000"/>
        <rFont val="Calibri"/>
        <family val="2"/>
      </rPr>
      <t>DIRECTIONS FOR FILLING OUT THIS WORKSHEET</t>
    </r>
    <r>
      <rPr>
        <sz val="12"/>
        <color indexed="8"/>
        <rFont val="Calibri"/>
        <family val="2"/>
      </rPr>
      <t xml:space="preserve">
1)  Proposers must fill in all yellow cells that are applicable to their proposal. Proposers must provide a Power Purchase Price and Contract Termination Value and PPA Buyout Prices
      for at least as many years as assumed in the Assumptions Table. Proposer must provide Solar Equipment Lease (SEL) Terms for all sites in LADWP, Glendale Water and Power, and City of Banning
      territory. 
2) Proposers may </t>
    </r>
    <r>
      <rPr>
        <b/>
        <u/>
        <sz val="12"/>
        <color rgb="FF000000"/>
        <rFont val="Calibri"/>
        <family val="2"/>
      </rPr>
      <t>optionally</t>
    </r>
    <r>
      <rPr>
        <sz val="12"/>
        <color indexed="8"/>
        <rFont val="Calibri"/>
        <family val="2"/>
      </rPr>
      <t xml:space="preserve"> fill in all tan cells for PPA terms for sites in LADWP, Glendale Water and Power, and City of Banning territory if proposer believes such financing will
     be acceptable under the terms of those utilities.
3) Base PPA Proposal must include </t>
    </r>
    <r>
      <rPr>
        <b/>
        <u/>
        <sz val="12"/>
        <color rgb="FF000000"/>
        <rFont val="Calibri"/>
        <family val="2"/>
      </rPr>
      <t>zero annual escalator.</t>
    </r>
    <r>
      <rPr>
        <sz val="12"/>
        <color rgb="FF000000"/>
        <rFont val="Calibri"/>
        <family val="2"/>
      </rPr>
      <t xml:space="preserve"> 
4) PPA and SEL pricing for each site must include all Project Development Costs shown in the Project Development Costs Assumptions Table.</t>
    </r>
    <r>
      <rPr>
        <sz val="12"/>
        <color indexed="8"/>
        <rFont val="Calibri"/>
        <family val="2"/>
      </rPr>
      <t xml:space="preserve">
5) Proposers must allow for buyout at fair market value at the end of year 6.
6) Proposers must include a include </t>
    </r>
    <r>
      <rPr>
        <b/>
        <u/>
        <sz val="12"/>
        <color rgb="FF000000"/>
        <rFont val="Calibri"/>
        <family val="2"/>
      </rPr>
      <t>PPA Price and/or SEL Payment Adjustment per $25,000 Change from Assumed Project Development Costs for both ITC-eligible and non-ITC-eligble costs</t>
    </r>
    <r>
      <rPr>
        <sz val="12"/>
        <color rgb="FF000000"/>
        <rFont val="Calibri"/>
        <family val="2"/>
      </rPr>
      <t xml:space="preserve">
     for each site. These PPA Price Adjustments will also be utilized to adjust PPA Price resulting from approved Change Orders.</t>
    </r>
    <r>
      <rPr>
        <sz val="12"/>
        <color indexed="8"/>
        <rFont val="Calibri"/>
        <family val="2"/>
      </rPr>
      <t xml:space="preserve">
7) PPA price / SEL payment adjustments apply to the each site if the project development costs alter by $25,000.                                                                                                        
8) PPA / SEL term applies to both the PV and BESS
9) Do not alter gray cells.
10) If no value is proposed leave cell blank. </t>
    </r>
  </si>
  <si>
    <r>
      <rPr>
        <b/>
        <sz val="12"/>
        <color rgb="FF000000"/>
        <rFont val="Calibri"/>
        <family val="2"/>
      </rPr>
      <t>DIRECTIONS FOR FILLING OUT THIS WORKSHEET</t>
    </r>
    <r>
      <rPr>
        <sz val="12"/>
        <color indexed="8"/>
        <rFont val="Calibri"/>
        <family val="2"/>
      </rPr>
      <t xml:space="preserve">
1)  Proposers must fill in all yellow cells that are applicable to their proposal. Proposers must provide a Power Purchase Price and Contract Termination Value and PPA Buyout Prices
      for at least as many years as assumed in the Assumptions Table. Proposer must provide Solar Equipment Lease (SEL) Terms for all sites in LADWP, Glendale Water and Power, and City of Banning
      territory. 
2) Proposers may </t>
    </r>
    <r>
      <rPr>
        <b/>
        <u/>
        <sz val="12"/>
        <color rgb="FF000000"/>
        <rFont val="Calibri"/>
        <family val="2"/>
      </rPr>
      <t>optionally</t>
    </r>
    <r>
      <rPr>
        <sz val="12"/>
        <color indexed="8"/>
        <rFont val="Calibri"/>
        <family val="2"/>
      </rPr>
      <t xml:space="preserve"> fill in all tan cells for PPA terms for sites in LADWP, Glendale Water and Power, and City of Banning territory if proposer believes such financing will
     be acceptable under the terms of those utilities.
3) Base PPA Proposal must include </t>
    </r>
    <r>
      <rPr>
        <b/>
        <u/>
        <sz val="12"/>
        <color rgb="FF000000"/>
        <rFont val="Calibri"/>
        <family val="2"/>
      </rPr>
      <t>zero annual escalator.</t>
    </r>
    <r>
      <rPr>
        <sz val="12"/>
        <color rgb="FF000000"/>
        <rFont val="Calibri"/>
        <family val="2"/>
      </rPr>
      <t xml:space="preserve"> 
4) PPA and SEL pricing for each site must include all Project Development Costs shown in the Project Development Costs Assumptions Table.</t>
    </r>
    <r>
      <rPr>
        <sz val="12"/>
        <color indexed="8"/>
        <rFont val="Calibri"/>
        <family val="2"/>
      </rPr>
      <t xml:space="preserve">
5) Proposers must allow for buyout at fair market value at the end of year 6.
6) Proposers must include a include </t>
    </r>
    <r>
      <rPr>
        <b/>
        <u/>
        <sz val="12"/>
        <color rgb="FF000000"/>
        <rFont val="Calibri"/>
        <family val="2"/>
      </rPr>
      <t>PPA Price and/or SEL Payment Adjustment per $25,000 Change from Assumed Project Development Costs for both ITC-eligible and non-ITC-eligble costs</t>
    </r>
    <r>
      <rPr>
        <sz val="12"/>
        <color rgb="FF000000"/>
        <rFont val="Calibri"/>
        <family val="2"/>
      </rPr>
      <t xml:space="preserve">
     for each site. These PPA Price Adjustments will also be utilized to adjust PPA Price resulting from approved Change Orders.</t>
    </r>
    <r>
      <rPr>
        <sz val="12"/>
        <color indexed="8"/>
        <rFont val="Calibri"/>
        <family val="2"/>
      </rPr>
      <t xml:space="preserve">
7) PPA price / SEL payment adjustments apply to the each site if the project development costs alter by $25,000.                                                                                                        
8) Do not alter gray cells.
9) If no value is proposed leave cell blank. </t>
    </r>
  </si>
  <si>
    <t>Solar+Storage PPA/SEL Cost Table</t>
  </si>
  <si>
    <t>Solar-Only PPA/SEL Cost Table</t>
  </si>
  <si>
    <t>PPA/SEL Cost Proposal</t>
  </si>
  <si>
    <t>Years 2 to End of Term Production (kWh)</t>
  </si>
  <si>
    <t>Total Term Production (kWh)</t>
  </si>
  <si>
    <t>Proposed BESS Size (kW / kWh)</t>
  </si>
  <si>
    <t>Deemed Complete</t>
  </si>
  <si>
    <t>Proposer to assume stated cost for necessary roof replacement. Roofing costs associated with PV specific work (attachments, flashing, etc) shall be included by Contractor in pricing. Final PPA/SEL pricing will be adjusted based on actual Total Project Development Costs and the corresponding PPA/SEL Price Adjustment per $25,000 change from Total Assumed Project Development Costs.</t>
  </si>
  <si>
    <t>CEQA consultant and filing fees. JCC will be the lead agency in filing CEQA notices. JCC has already filed for exempt status for all project sites.</t>
  </si>
  <si>
    <t>Included in "Other Project Development Costs"</t>
  </si>
  <si>
    <t>Inspector of Record (IOR), special inspections &amp; testing</t>
  </si>
  <si>
    <t>Shortfall Payment Rate, Year 1 ($/kWh)</t>
  </si>
  <si>
    <t>Shortfall Payment Rate, Annual Escalation</t>
  </si>
  <si>
    <r>
      <rPr>
        <b/>
        <sz val="12"/>
        <color rgb="FF000000"/>
        <rFont val="Calibri"/>
        <family val="2"/>
      </rPr>
      <t>DIRECTIONS FOR FILLING OUT THIS WORKSHEET</t>
    </r>
    <r>
      <rPr>
        <sz val="12"/>
        <color indexed="8"/>
        <rFont val="Calibri"/>
        <family val="2"/>
      </rPr>
      <t xml:space="preserve">
1)  Proposers must fill in </t>
    </r>
    <r>
      <rPr>
        <b/>
        <u/>
        <sz val="12"/>
        <color rgb="FF000000"/>
        <rFont val="Calibri"/>
        <family val="2"/>
      </rPr>
      <t>all yellow cells</t>
    </r>
    <r>
      <rPr>
        <sz val="12"/>
        <color indexed="8"/>
        <rFont val="Calibri"/>
        <family val="2"/>
      </rPr>
      <t xml:space="preserve"> that are applicable to their proposal.
2)  PeGu will be based on Performance Guarantee % and Annual Production Degradation.
3)  Upon shortfalls to the PeGu, vendor is expected to compensate JCC at the Shortfall Payment Rate.
4)  If no value is proposed leave cell blank.
5)  Do not alter gray cells.</t>
    </r>
  </si>
  <si>
    <t>PV Demand Savings ($)</t>
  </si>
  <si>
    <t>Annual Degradation Rate (%)</t>
  </si>
  <si>
    <r>
      <rPr>
        <b/>
        <sz val="12"/>
        <color rgb="FF000000"/>
        <rFont val="Gadugi"/>
        <family val="2"/>
      </rPr>
      <t>DIRECTIONS FOR FILLING OUT THIS WORKSHEET</t>
    </r>
    <r>
      <rPr>
        <sz val="12"/>
        <color indexed="8"/>
        <rFont val="Gadugi"/>
        <family val="2"/>
      </rPr>
      <t xml:space="preserve">
1) Proposers must fill in </t>
    </r>
    <r>
      <rPr>
        <b/>
        <u/>
        <sz val="12"/>
        <color rgb="FF000000"/>
        <rFont val="Gadugi"/>
        <family val="2"/>
      </rPr>
      <t>all yellow cells</t>
    </r>
    <r>
      <rPr>
        <sz val="12"/>
        <color indexed="8"/>
        <rFont val="Gadugi"/>
        <family val="2"/>
      </rPr>
      <t xml:space="preserve"> that are applicable to their proposal.
2) If no value is proposed leave cell blank.
3) Do not alter gray cells.</t>
    </r>
  </si>
  <si>
    <t>JCC will incur these costs directly</t>
  </si>
  <si>
    <t>Included in "Other Project Development Costs" in table below. JCC will contract DSA IOR(s), inspections, and testing. Selected firm to coordinate DSA special inspections and testing.  Proposer to reimburse JCC per schedule and values shown Agreements.</t>
  </si>
  <si>
    <t>BESS Capacity Guarantee</t>
  </si>
  <si>
    <t>Capacity Guarantee Assumptions</t>
  </si>
  <si>
    <t>Production Guarantee (PeGu) Assumptions</t>
  </si>
  <si>
    <t>Availability Guarantee (% of annual hours, min 95%) for SEL</t>
  </si>
  <si>
    <t>Average Annual Degradation (%)</t>
  </si>
  <si>
    <t>Capacity Guarantee (% of Rated Capacity)</t>
  </si>
  <si>
    <t>Annual Solar PV PeGu Production Table (kWh/yr of Production)</t>
  </si>
  <si>
    <t>Annual BESS Capacity Guarantee Table (kWh of Capacity)</t>
  </si>
  <si>
    <t>Shortfall Payment Rate, Year 1 ($/kWh-capacity)</t>
  </si>
  <si>
    <t>BESS Yr-1 (Microgrid Proposal)</t>
  </si>
  <si>
    <t>BESS Yr-1 (Solar+Storage Proposal)</t>
  </si>
  <si>
    <r>
      <rPr>
        <b/>
        <sz val="12"/>
        <color rgb="FF000000"/>
        <rFont val="Gadugi"/>
        <family val="2"/>
      </rPr>
      <t>DIRECTIONS FOR FILLING OUT THIS WORKSHEET</t>
    </r>
    <r>
      <rPr>
        <sz val="12"/>
        <color indexed="8"/>
        <rFont val="Gadugi"/>
        <family val="2"/>
      </rPr>
      <t xml:space="preserve">
1) Proposers must fill in </t>
    </r>
    <r>
      <rPr>
        <b/>
        <u/>
        <sz val="12"/>
        <color rgb="FF000000"/>
        <rFont val="Gadugi"/>
        <family val="2"/>
      </rPr>
      <t>all yellow cells</t>
    </r>
    <r>
      <rPr>
        <sz val="12"/>
        <color indexed="8"/>
        <rFont val="Gadugi"/>
        <family val="2"/>
      </rPr>
      <t xml:space="preserve"> that are applicable to their proposal.
2) If no value is proposed leave cell blank.
3) Do not alter gray cells.
4) Savings modeling assumptions: PV production shall be assumed to reduce demand (kW) by 70% of the modeled PV demand reduction. BESS may not take credit for this reduction. The intent of this requirement is to acknowledge that the PV system on its own will reduce demand for the site. The BESS system may not claim all demand reduction for the site and thereby over-state the savings from BESS. The analysis of savings from BESS should include interval data modeling for a non-TOU-Grandfathered system. As an example, for a given month, non-coincident demand:
   - Max demand before solar = 500 kW
   - Max modeled demand after solar = 400 kW 
   - For BESS modeling, baseline demand should be = 430 kW (100 kW x 70%)
   - If PV + BESS modeling shows max demand reduction to 350 kW, BESS may take credit for 80 kW demand reduction, not 150 kW demand reduction.
5) Savings modeling assumptions, part 2: for the microgrid proposal, </t>
    </r>
    <r>
      <rPr>
        <b/>
        <sz val="12"/>
        <color rgb="FF000000"/>
        <rFont val="Gadugi"/>
        <family val="2"/>
      </rPr>
      <t>the minimum BESS capacity listed in the table must be reserved for resiliency</t>
    </r>
    <r>
      <rPr>
        <sz val="12"/>
        <color indexed="8"/>
        <rFont val="Gadugi"/>
        <family val="2"/>
      </rPr>
      <t xml:space="preserve">, and should therefore generate no annual savings from demand shaving, energy arbitrage, etc.
6) If assumed tariff for BESS differs from the Post-Construction tariff shown in the Site Data tab, please note the new assumed tariff in the Notes section.
</t>
    </r>
    <r>
      <rPr>
        <b/>
        <sz val="12"/>
        <color rgb="FF000000"/>
        <rFont val="Gadugi"/>
        <family val="2"/>
      </rPr>
      <t>Notes:</t>
    </r>
    <r>
      <rPr>
        <sz val="12"/>
        <color indexed="8"/>
        <rFont val="Gadugi"/>
        <family val="2"/>
      </rPr>
      <t xml:space="preserve">
&gt; Demand savings should be based on the tariff in-place with solar implemented, not the original tariff.</t>
    </r>
  </si>
  <si>
    <t>BESS Yr-1 Savings</t>
  </si>
  <si>
    <t>Solar+Storage Proposal</t>
  </si>
  <si>
    <t>Rooftop Solar Available</t>
  </si>
  <si>
    <t>Roof Material</t>
  </si>
  <si>
    <t>Rooftop notes</t>
  </si>
  <si>
    <t>Modified Bitumen</t>
  </si>
  <si>
    <t>Roof replacement required if roof is used</t>
  </si>
  <si>
    <t>Single Ply Roofing</t>
  </si>
  <si>
    <t>Post fall 2022 solar install after reroof by JCC</t>
  </si>
  <si>
    <t>Single ply</t>
  </si>
  <si>
    <t>Multiple</t>
  </si>
  <si>
    <t>Single ply membrane, TPO / PVC</t>
  </si>
  <si>
    <t>IA (PV kW AC)</t>
  </si>
  <si>
    <t>IA (BESS kW AC)</t>
  </si>
  <si>
    <t>Minimum BESS Size (kW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</si>
</sst>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quot;$&quot;#,##0"/>
    <numFmt numFmtId="168" formatCode="&quot;$&quot;#,##0.0000"/>
    <numFmt numFmtId="169" formatCode="&quot;$&quot;#,##0.0000_);[Red]\(&quot;$&quot;#,##0.0000\)"/>
    <numFmt numFmtId="170" formatCode="0_);[Red]\(0\)"/>
  </numFmts>
  <fonts count="66"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indexed="8"/>
      <name val="Arial"/>
      <family val="2"/>
    </font>
    <font>
      <b/>
      <sz val="11"/>
      <color indexed="8"/>
      <name val="Calibri"/>
      <family val="2"/>
    </font>
    <font>
      <b/>
      <sz val="14"/>
      <color indexed="8"/>
      <name val="Calibri"/>
      <family val="2"/>
    </font>
    <font>
      <b/>
      <sz val="12"/>
      <color indexed="8"/>
      <name val="Calibri"/>
      <family val="2"/>
    </font>
    <font>
      <sz val="12"/>
      <color indexed="8"/>
      <name val="Arial Narrow"/>
      <family val="2"/>
    </font>
    <font>
      <sz val="12"/>
      <color indexed="8"/>
      <name val="Calibri"/>
      <family val="2"/>
    </font>
    <font>
      <sz val="8"/>
      <name val="Arial"/>
      <family val="2"/>
    </font>
    <font>
      <sz val="10"/>
      <color indexed="8"/>
      <name val="Calibri"/>
      <family val="2"/>
    </font>
    <font>
      <sz val="16"/>
      <color indexed="8"/>
      <name val="Calibri"/>
      <family val="2"/>
    </font>
    <font>
      <sz val="14"/>
      <color indexed="8"/>
      <name val="Calibri"/>
      <family val="2"/>
    </font>
    <font>
      <sz val="10"/>
      <color indexed="8"/>
      <name val="Arial"/>
      <family val="2"/>
    </font>
    <font>
      <sz val="24"/>
      <color indexed="63"/>
      <name val="Arial Narrow"/>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b/>
      <sz val="11"/>
      <color indexed="8"/>
      <name val="Calibri"/>
      <family val="2"/>
      <scheme val="minor"/>
    </font>
    <font>
      <sz val="10"/>
      <name val="Calibri"/>
      <family val="1"/>
      <scheme val="minor"/>
    </font>
    <font>
      <sz val="10"/>
      <color rgb="FF000000"/>
      <name val="Times New Roman"/>
      <family val="1"/>
    </font>
    <font>
      <sz val="12"/>
      <color theme="1"/>
      <name val="Arial"/>
      <family val="2"/>
    </font>
    <font>
      <sz val="20"/>
      <color indexed="8"/>
      <name val="Calibri"/>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b/>
      <sz val="12"/>
      <color theme="1"/>
      <name val="Calibri"/>
      <family val="2"/>
      <scheme val="minor"/>
    </font>
    <font>
      <b/>
      <sz val="11"/>
      <color theme="0"/>
      <name val="Calibri"/>
      <family val="2"/>
      <scheme val="minor"/>
    </font>
    <font>
      <b/>
      <sz val="12"/>
      <color rgb="FF000000"/>
      <name val="Calibri"/>
      <family val="2"/>
    </font>
    <font>
      <sz val="16"/>
      <color indexed="8"/>
      <name val="Calibri"/>
      <family val="2"/>
      <scheme val="minor"/>
    </font>
    <font>
      <b/>
      <u/>
      <sz val="12"/>
      <color rgb="FF000000"/>
      <name val="Calibri"/>
      <family val="2"/>
    </font>
    <font>
      <b/>
      <sz val="12"/>
      <color theme="0"/>
      <name val="Calibri"/>
      <family val="2"/>
    </font>
    <font>
      <b/>
      <sz val="14"/>
      <color theme="0"/>
      <name val="Calibri"/>
      <family val="2"/>
    </font>
    <font>
      <b/>
      <sz val="16"/>
      <color theme="0"/>
      <name val="Calibri"/>
      <family val="2"/>
      <scheme val="minor"/>
    </font>
    <font>
      <sz val="10"/>
      <color theme="1"/>
      <name val="Calibri"/>
      <family val="2"/>
      <scheme val="minor"/>
    </font>
    <font>
      <sz val="12"/>
      <color indexed="8"/>
      <name val="Gadugi"/>
      <family val="2"/>
    </font>
    <font>
      <b/>
      <sz val="12"/>
      <color rgb="FF000000"/>
      <name val="Gadugi"/>
      <family val="2"/>
    </font>
    <font>
      <b/>
      <u/>
      <sz val="12"/>
      <color rgb="FF000000"/>
      <name val="Gadugi"/>
      <family val="2"/>
    </font>
    <font>
      <sz val="20"/>
      <color indexed="63"/>
      <name val="Arial Narrow"/>
      <family val="2"/>
    </font>
    <font>
      <sz val="10"/>
      <name val="Calibri"/>
      <family val="2"/>
    </font>
    <font>
      <sz val="11"/>
      <color rgb="FF000000"/>
      <name val="Calibri"/>
      <family val="2"/>
    </font>
    <font>
      <sz val="12"/>
      <color rgb="FF000000"/>
      <name val="Calibri"/>
      <family val="2"/>
    </font>
    <font>
      <b/>
      <sz val="10"/>
      <color indexed="8"/>
      <name val="Calibri"/>
      <family val="2"/>
      <scheme val="minor"/>
    </font>
    <font>
      <b/>
      <sz val="10"/>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sz val="10"/>
      <color indexed="8"/>
      <name val="Calibri"/>
      <family val="2"/>
    </font>
    <font>
      <b/>
      <sz val="11"/>
      <color theme="0"/>
      <name val="Calibri"/>
      <family val="2"/>
    </font>
    <font>
      <sz val="10"/>
      <name val="Calibri"/>
      <family val="2"/>
      <scheme val="minor"/>
    </font>
    <font>
      <b/>
      <sz val="14"/>
      <color theme="0"/>
      <name val="Calibri"/>
      <family val="2"/>
      <scheme val="minor"/>
    </font>
    <font>
      <b/>
      <sz val="16"/>
      <color theme="0"/>
      <name val="Calibri"/>
      <family val="2"/>
    </font>
    <font>
      <sz val="14"/>
      <color indexed="63"/>
      <name val="Calibri"/>
      <family val="2"/>
      <scheme val="minor"/>
    </font>
    <font>
      <sz val="14"/>
      <color theme="1"/>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D9D9D9"/>
        <bgColor rgb="FF000000"/>
      </patternFill>
    </fill>
    <fill>
      <patternFill patternType="solid">
        <fgColor rgb="FFE3DAC9"/>
        <bgColor indexed="64"/>
      </patternFill>
    </fill>
    <fill>
      <patternFill patternType="solid">
        <fgColor rgb="FFFFFFA7"/>
        <bgColor indexed="64"/>
      </patternFill>
    </fill>
  </fills>
  <borders count="61">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thin">
        <color auto="1"/>
      </left>
      <right/>
      <top/>
      <bottom style="medium">
        <color indexed="64"/>
      </bottom>
      <diagonal/>
    </border>
    <border>
      <left style="medium">
        <color indexed="64"/>
      </left>
      <right/>
      <top/>
      <bottom style="medium">
        <color indexed="64"/>
      </bottom>
      <diagonal/>
    </border>
    <border>
      <left/>
      <right style="medium">
        <color auto="1"/>
      </right>
      <top/>
      <bottom style="medium">
        <color auto="1"/>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indexed="64"/>
      </left>
      <right/>
      <top style="thin">
        <color auto="1"/>
      </top>
      <bottom style="medium">
        <color indexed="64"/>
      </bottom>
      <diagonal/>
    </border>
    <border>
      <left style="thin">
        <color auto="1"/>
      </left>
      <right style="medium">
        <color indexed="64"/>
      </right>
      <top/>
      <bottom/>
      <diagonal/>
    </border>
    <border>
      <left/>
      <right/>
      <top style="thin">
        <color indexed="64"/>
      </top>
      <bottom style="medium">
        <color indexed="64"/>
      </bottom>
      <diagonal/>
    </border>
    <border>
      <left style="medium">
        <color auto="1"/>
      </left>
      <right style="thin">
        <color auto="1"/>
      </right>
      <top/>
      <bottom/>
      <diagonal/>
    </border>
    <border>
      <left/>
      <right style="medium">
        <color auto="1"/>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s>
  <cellStyleXfs count="13">
    <xf numFmtId="0" fontId="0"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8" fillId="0" borderId="0"/>
    <xf numFmtId="0" fontId="29"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0" fillId="0" borderId="0"/>
    <xf numFmtId="0" fontId="35" fillId="0" borderId="0"/>
    <xf numFmtId="0" fontId="3" fillId="0" borderId="0"/>
  </cellStyleXfs>
  <cellXfs count="547">
    <xf numFmtId="0" fontId="0" fillId="0" borderId="0" xfId="0"/>
    <xf numFmtId="0" fontId="12" fillId="0" borderId="0" xfId="0" applyFont="1" applyFill="1" applyBorder="1" applyAlignment="1" applyProtection="1"/>
    <xf numFmtId="0" fontId="10" fillId="0" borderId="0" xfId="0" applyFont="1" applyFill="1" applyBorder="1" applyProtection="1"/>
    <xf numFmtId="0" fontId="10" fillId="0" borderId="0" xfId="0" applyFont="1" applyBorder="1" applyProtection="1"/>
    <xf numFmtId="0" fontId="14" fillId="0" borderId="0" xfId="0" applyFont="1" applyFill="1" applyBorder="1" applyAlignment="1" applyProtection="1"/>
    <xf numFmtId="0" fontId="16" fillId="0" borderId="0" xfId="0" applyFont="1" applyFill="1" applyBorder="1" applyProtection="1"/>
    <xf numFmtId="0" fontId="9" fillId="0" borderId="0" xfId="0" applyFont="1" applyBorder="1" applyProtection="1"/>
    <xf numFmtId="0" fontId="19" fillId="0" borderId="0" xfId="0" applyFont="1" applyFill="1" applyBorder="1" applyAlignment="1" applyProtection="1"/>
    <xf numFmtId="0" fontId="15" fillId="0" borderId="0" xfId="0" applyFont="1" applyFill="1" applyBorder="1" applyAlignment="1" applyProtection="1"/>
    <xf numFmtId="0" fontId="6" fillId="0" borderId="0" xfId="0" applyFont="1" applyFill="1" applyBorder="1" applyAlignment="1" applyProtection="1">
      <alignment wrapText="1"/>
    </xf>
    <xf numFmtId="0" fontId="21" fillId="0" borderId="0" xfId="0" applyFont="1" applyProtection="1"/>
    <xf numFmtId="0" fontId="0" fillId="0" borderId="0" xfId="0" applyProtection="1"/>
    <xf numFmtId="0" fontId="23" fillId="0" borderId="0" xfId="0" applyFont="1" applyProtection="1"/>
    <xf numFmtId="0" fontId="6" fillId="0" borderId="4" xfId="0" applyFont="1" applyBorder="1" applyAlignment="1" applyProtection="1">
      <alignment horizontal="right"/>
    </xf>
    <xf numFmtId="0" fontId="6" fillId="0" borderId="3" xfId="0" applyFont="1" applyBorder="1" applyAlignment="1" applyProtection="1">
      <alignment horizontal="right"/>
    </xf>
    <xf numFmtId="0" fontId="12" fillId="0" borderId="0" xfId="0" applyFont="1" applyFill="1" applyBorder="1" applyAlignment="1" applyProtection="1">
      <alignment horizontal="left"/>
    </xf>
    <xf numFmtId="0" fontId="10" fillId="0" borderId="0" xfId="0" applyFont="1" applyFill="1" applyBorder="1" applyAlignment="1" applyProtection="1">
      <alignment wrapText="1"/>
    </xf>
    <xf numFmtId="0" fontId="25" fillId="0" borderId="0" xfId="0" applyFont="1" applyFill="1" applyBorder="1" applyAlignment="1" applyProtection="1">
      <alignment wrapText="1"/>
    </xf>
    <xf numFmtId="0" fontId="6" fillId="6" borderId="5" xfId="0" applyFont="1" applyFill="1" applyBorder="1" applyProtection="1"/>
    <xf numFmtId="0" fontId="24" fillId="5" borderId="6" xfId="0" applyFont="1" applyFill="1" applyBorder="1" applyAlignment="1" applyProtection="1">
      <alignment horizontal="center" wrapText="1"/>
    </xf>
    <xf numFmtId="0" fontId="8" fillId="0" borderId="0" xfId="0" applyFont="1" applyProtection="1"/>
    <xf numFmtId="0" fontId="6" fillId="7" borderId="5" xfId="0" applyFont="1" applyFill="1" applyBorder="1" applyProtection="1"/>
    <xf numFmtId="0" fontId="12" fillId="3" borderId="5" xfId="0" applyFont="1" applyFill="1" applyBorder="1" applyProtection="1"/>
    <xf numFmtId="0" fontId="12" fillId="3" borderId="6" xfId="0" applyFont="1" applyFill="1" applyBorder="1" applyAlignment="1" applyProtection="1"/>
    <xf numFmtId="0" fontId="12" fillId="3" borderId="1" xfId="0" applyFont="1" applyFill="1" applyBorder="1" applyAlignment="1" applyProtection="1"/>
    <xf numFmtId="0" fontId="12" fillId="3" borderId="7" xfId="0" applyFont="1" applyFill="1" applyBorder="1" applyAlignment="1" applyProtection="1"/>
    <xf numFmtId="0" fontId="12" fillId="7" borderId="5" xfId="0" applyFont="1" applyFill="1" applyBorder="1" applyAlignment="1" applyProtection="1"/>
    <xf numFmtId="0" fontId="12" fillId="7" borderId="5" xfId="0" applyFont="1" applyFill="1" applyBorder="1" applyProtection="1"/>
    <xf numFmtId="0" fontId="6" fillId="0" borderId="4" xfId="0" applyFont="1" applyBorder="1" applyProtection="1"/>
    <xf numFmtId="0" fontId="6" fillId="0" borderId="3" xfId="0" applyFont="1" applyBorder="1" applyProtection="1"/>
    <xf numFmtId="0" fontId="6" fillId="0" borderId="2" xfId="0" applyFont="1" applyBorder="1" applyProtection="1"/>
    <xf numFmtId="0" fontId="6" fillId="0" borderId="0" xfId="0" applyFont="1" applyFill="1" applyBorder="1" applyProtection="1"/>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3" fontId="25"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left"/>
    </xf>
    <xf numFmtId="0" fontId="22" fillId="0" borderId="0" xfId="0" applyFont="1" applyFill="1" applyBorder="1" applyAlignment="1" applyProtection="1">
      <alignment vertical="center"/>
    </xf>
    <xf numFmtId="0" fontId="33" fillId="0" borderId="0" xfId="0" applyFont="1" applyProtection="1"/>
    <xf numFmtId="0" fontId="0" fillId="8" borderId="0" xfId="0" applyFill="1"/>
    <xf numFmtId="0" fontId="23"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0" fillId="0" borderId="0" xfId="0"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3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horizontal="left" vertical="center"/>
    </xf>
    <xf numFmtId="0" fontId="32" fillId="0" borderId="0" xfId="0" applyFont="1" applyAlignment="1" applyProtection="1">
      <alignment horizontal="center" vertical="center" wrapText="1"/>
    </xf>
    <xf numFmtId="0" fontId="32" fillId="0" borderId="0" xfId="0" applyFont="1" applyAlignment="1" applyProtection="1">
      <alignment vertical="center"/>
    </xf>
    <xf numFmtId="0" fontId="32" fillId="0" borderId="0" xfId="0" applyFont="1" applyAlignment="1" applyProtection="1">
      <alignment horizontal="left" vertical="center"/>
    </xf>
    <xf numFmtId="0" fontId="24" fillId="0" borderId="0" xfId="0" applyFont="1" applyBorder="1" applyAlignment="1" applyProtection="1">
      <alignment horizontal="right" vertical="center"/>
    </xf>
    <xf numFmtId="9" fontId="36" fillId="0" borderId="0" xfId="3"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0" fontId="0" fillId="0" borderId="0" xfId="0" applyBorder="1" applyAlignment="1" applyProtection="1">
      <alignment vertical="center"/>
    </xf>
    <xf numFmtId="9" fontId="36" fillId="0" borderId="0" xfId="3" applyFont="1" applyFill="1" applyBorder="1" applyAlignment="1" applyProtection="1">
      <alignment horizontal="center" vertical="center"/>
    </xf>
    <xf numFmtId="0" fontId="6" fillId="0" borderId="0" xfId="0" applyFont="1"/>
    <xf numFmtId="0" fontId="12" fillId="0" borderId="0" xfId="0" applyFont="1"/>
    <xf numFmtId="0" fontId="16" fillId="0" borderId="0" xfId="0" applyFont="1"/>
    <xf numFmtId="0" fontId="38" fillId="10" borderId="26" xfId="0" applyFont="1" applyFill="1" applyBorder="1" applyAlignment="1">
      <alignment horizontal="center" vertical="center" wrapText="1"/>
    </xf>
    <xf numFmtId="0" fontId="26" fillId="5" borderId="28" xfId="0" applyFont="1" applyFill="1" applyBorder="1" applyAlignment="1">
      <alignment horizontal="center" vertical="top"/>
    </xf>
    <xf numFmtId="0" fontId="26" fillId="5" borderId="19" xfId="0" applyFont="1" applyFill="1" applyBorder="1" applyAlignment="1">
      <alignment horizontal="center" vertical="top"/>
    </xf>
    <xf numFmtId="166" fontId="6" fillId="6" borderId="7" xfId="3" applyNumberFormat="1" applyFont="1" applyFill="1" applyBorder="1" applyAlignment="1" applyProtection="1">
      <alignment horizontal="center"/>
      <protection locked="0"/>
    </xf>
    <xf numFmtId="164" fontId="38" fillId="10" borderId="23" xfId="1" applyNumberFormat="1" applyFont="1" applyFill="1" applyBorder="1" applyAlignment="1" applyProtection="1">
      <alignment horizontal="center" vertical="center" wrapText="1"/>
    </xf>
    <xf numFmtId="0" fontId="16" fillId="8" borderId="0" xfId="0" applyFont="1" applyFill="1" applyBorder="1" applyAlignment="1" applyProtection="1">
      <alignment horizontal="center" vertical="center" wrapText="1"/>
    </xf>
    <xf numFmtId="0" fontId="16" fillId="8" borderId="0" xfId="0" applyFont="1" applyFill="1" applyBorder="1" applyAlignment="1" applyProtection="1">
      <alignment vertical="top" wrapText="1"/>
    </xf>
    <xf numFmtId="0" fontId="7" fillId="8" borderId="0" xfId="0" applyFont="1" applyFill="1" applyBorder="1" applyProtection="1"/>
    <xf numFmtId="0" fontId="38" fillId="10" borderId="20" xfId="0" applyFont="1" applyFill="1" applyBorder="1" applyAlignment="1">
      <alignment horizontal="center" vertical="center" wrapText="1"/>
    </xf>
    <xf numFmtId="0" fontId="38" fillId="10" borderId="21" xfId="0" applyFont="1" applyFill="1" applyBorder="1" applyAlignment="1">
      <alignment horizontal="center" vertical="center" wrapText="1"/>
    </xf>
    <xf numFmtId="0" fontId="38" fillId="10" borderId="23" xfId="0" applyFont="1" applyFill="1" applyBorder="1" applyAlignment="1">
      <alignment horizontal="center" vertical="center" wrapText="1"/>
    </xf>
    <xf numFmtId="0" fontId="22" fillId="0" borderId="0" xfId="0" applyFont="1"/>
    <xf numFmtId="0" fontId="0" fillId="9" borderId="0" xfId="0" applyFill="1"/>
    <xf numFmtId="0" fontId="24" fillId="9" borderId="0" xfId="0" applyFont="1" applyFill="1" applyBorder="1" applyAlignment="1" applyProtection="1">
      <alignment vertical="center"/>
    </xf>
    <xf numFmtId="0" fontId="23" fillId="9" borderId="0" xfId="0" applyFont="1" applyFill="1" applyProtection="1"/>
    <xf numFmtId="0" fontId="19" fillId="9" borderId="0" xfId="0" applyFont="1" applyFill="1"/>
    <xf numFmtId="0" fontId="12" fillId="9" borderId="0" xfId="0" applyFont="1" applyFill="1" applyAlignment="1">
      <alignment wrapText="1"/>
    </xf>
    <xf numFmtId="0" fontId="6" fillId="9" borderId="0" xfId="0" applyFont="1" applyFill="1" applyAlignment="1">
      <alignment wrapText="1"/>
    </xf>
    <xf numFmtId="0" fontId="6" fillId="9" borderId="0" xfId="0" applyFont="1" applyFill="1"/>
    <xf numFmtId="0" fontId="15" fillId="9" borderId="0" xfId="0" applyFont="1" applyFill="1"/>
    <xf numFmtId="0" fontId="14" fillId="9" borderId="0" xfId="0" applyFont="1" applyFill="1" applyAlignment="1">
      <alignment wrapText="1"/>
    </xf>
    <xf numFmtId="0" fontId="16" fillId="9" borderId="0" xfId="0" applyFont="1" applyFill="1" applyAlignment="1">
      <alignment wrapText="1"/>
    </xf>
    <xf numFmtId="0" fontId="16" fillId="9" borderId="0" xfId="0" applyFont="1" applyFill="1"/>
    <xf numFmtId="0" fontId="6" fillId="9" borderId="0" xfId="0" applyFont="1" applyFill="1" applyAlignment="1">
      <alignment horizontal="center"/>
    </xf>
    <xf numFmtId="0" fontId="6" fillId="9" borderId="0" xfId="0" applyFont="1" applyFill="1" applyAlignment="1">
      <alignment horizontal="center" wrapText="1"/>
    </xf>
    <xf numFmtId="0" fontId="49" fillId="0" borderId="0" xfId="0" applyFont="1" applyAlignment="1">
      <alignment vertical="center"/>
    </xf>
    <xf numFmtId="0" fontId="50" fillId="11" borderId="5" xfId="0" applyFont="1" applyFill="1" applyBorder="1" applyAlignment="1">
      <alignment horizontal="center" vertical="center" wrapText="1"/>
    </xf>
    <xf numFmtId="0" fontId="51" fillId="11" borderId="4" xfId="0" applyFont="1" applyFill="1" applyBorder="1" applyAlignment="1">
      <alignment horizontal="center" vertical="center"/>
    </xf>
    <xf numFmtId="0" fontId="51" fillId="0" borderId="5" xfId="0" applyFont="1" applyBorder="1" applyAlignment="1">
      <alignment horizontal="center" vertical="center"/>
    </xf>
    <xf numFmtId="0" fontId="6" fillId="8" borderId="0" xfId="0" applyFont="1" applyFill="1"/>
    <xf numFmtId="0" fontId="25" fillId="9" borderId="0" xfId="0" applyFont="1" applyFill="1"/>
    <xf numFmtId="0" fontId="23" fillId="9" borderId="0" xfId="0" applyFont="1" applyFill="1"/>
    <xf numFmtId="0" fontId="49" fillId="9" borderId="0" xfId="11" applyFont="1" applyFill="1"/>
    <xf numFmtId="0" fontId="40" fillId="9" borderId="0" xfId="0" applyFont="1" applyFill="1" applyAlignment="1">
      <alignment horizontal="left"/>
    </xf>
    <xf numFmtId="0" fontId="27" fillId="0" borderId="0" xfId="0" applyFont="1" applyAlignment="1">
      <alignment horizontal="left" vertical="top"/>
    </xf>
    <xf numFmtId="0" fontId="26" fillId="5" borderId="29" xfId="0" applyFont="1" applyFill="1" applyBorder="1" applyAlignment="1" applyProtection="1">
      <alignment horizontal="center" vertical="top"/>
    </xf>
    <xf numFmtId="0" fontId="26" fillId="5" borderId="19" xfId="0" applyFont="1" applyFill="1" applyBorder="1" applyAlignment="1" applyProtection="1">
      <alignment horizontal="center" vertical="top"/>
    </xf>
    <xf numFmtId="3" fontId="25" fillId="5" borderId="5" xfId="0" applyNumberFormat="1" applyFont="1" applyFill="1" applyBorder="1" applyAlignment="1" applyProtection="1">
      <alignment horizontal="center" vertical="top"/>
    </xf>
    <xf numFmtId="0" fontId="16" fillId="9" borderId="0" xfId="0" applyFont="1" applyFill="1" applyAlignment="1">
      <alignment horizontal="right"/>
    </xf>
    <xf numFmtId="0" fontId="16" fillId="9" borderId="0" xfId="0" applyFont="1" applyFill="1" applyAlignment="1">
      <alignment horizontal="left"/>
    </xf>
    <xf numFmtId="0" fontId="37" fillId="0" borderId="0" xfId="0" applyFont="1"/>
    <xf numFmtId="0" fontId="25" fillId="0" borderId="6" xfId="0" applyFont="1" applyFill="1" applyBorder="1" applyAlignment="1" applyProtection="1">
      <alignment horizontal="center" vertical="center"/>
    </xf>
    <xf numFmtId="3" fontId="25" fillId="5" borderId="14" xfId="0" applyNumberFormat="1" applyFont="1" applyFill="1" applyBorder="1" applyAlignment="1" applyProtection="1">
      <alignment horizontal="center" vertical="top"/>
    </xf>
    <xf numFmtId="0" fontId="4" fillId="9" borderId="0" xfId="0" applyFont="1" applyFill="1"/>
    <xf numFmtId="0" fontId="4" fillId="8" borderId="51" xfId="0" applyFont="1" applyFill="1" applyBorder="1" applyAlignment="1">
      <alignment horizontal="center" vertical="center" wrapText="1"/>
    </xf>
    <xf numFmtId="0" fontId="26" fillId="5" borderId="49" xfId="0" applyFont="1" applyFill="1" applyBorder="1" applyAlignment="1">
      <alignment horizontal="center" vertical="top"/>
    </xf>
    <xf numFmtId="6" fontId="25" fillId="6" borderId="14" xfId="0" applyNumberFormat="1" applyFont="1" applyFill="1" applyBorder="1" applyAlignment="1" applyProtection="1">
      <alignment horizontal="right" vertical="center"/>
      <protection locked="0"/>
    </xf>
    <xf numFmtId="164" fontId="38" fillId="10" borderId="26" xfId="1" applyNumberFormat="1" applyFont="1" applyFill="1" applyBorder="1" applyAlignment="1" applyProtection="1">
      <alignment horizontal="center" vertical="center" wrapText="1"/>
    </xf>
    <xf numFmtId="164" fontId="38" fillId="10" borderId="24" xfId="1" applyNumberFormat="1" applyFont="1" applyFill="1" applyBorder="1" applyAlignment="1" applyProtection="1">
      <alignment horizontal="center" vertical="center" wrapText="1"/>
    </xf>
    <xf numFmtId="0" fontId="44" fillId="10" borderId="20" xfId="0" applyFont="1" applyFill="1" applyBorder="1" applyAlignment="1">
      <alignment horizontal="center" vertical="center" wrapText="1"/>
    </xf>
    <xf numFmtId="0" fontId="21" fillId="0" borderId="0" xfId="0" applyFont="1"/>
    <xf numFmtId="0" fontId="23" fillId="0" borderId="0" xfId="0" applyFont="1"/>
    <xf numFmtId="0" fontId="19" fillId="0" borderId="0" xfId="0" applyFont="1"/>
    <xf numFmtId="0" fontId="20" fillId="0" borderId="0" xfId="0" applyFont="1"/>
    <xf numFmtId="0" fontId="15" fillId="0" borderId="0" xfId="0" applyFont="1"/>
    <xf numFmtId="0" fontId="14" fillId="0" borderId="0" xfId="0" applyFont="1"/>
    <xf numFmtId="49" fontId="13" fillId="0" borderId="0" xfId="0" applyNumberFormat="1" applyFont="1" applyAlignment="1">
      <alignment horizontal="left"/>
    </xf>
    <xf numFmtId="167" fontId="54" fillId="5" borderId="5" xfId="0" applyNumberFormat="1" applyFont="1" applyFill="1" applyBorder="1" applyAlignment="1">
      <alignment horizontal="center" vertical="center" wrapText="1"/>
    </xf>
    <xf numFmtId="0" fontId="18" fillId="0" borderId="0" xfId="0" applyFont="1"/>
    <xf numFmtId="0" fontId="18" fillId="0" borderId="0" xfId="0" applyFont="1" applyAlignment="1">
      <alignment vertical="top"/>
    </xf>
    <xf numFmtId="0" fontId="60" fillId="10" borderId="5" xfId="0" applyFont="1" applyFill="1" applyBorder="1" applyAlignment="1">
      <alignment horizontal="center" vertical="center" wrapText="1"/>
    </xf>
    <xf numFmtId="167" fontId="38" fillId="10" borderId="5" xfId="0" applyNumberFormat="1" applyFont="1" applyFill="1" applyBorder="1" applyAlignment="1">
      <alignment horizontal="center" vertical="center" wrapText="1"/>
    </xf>
    <xf numFmtId="167" fontId="57" fillId="5" borderId="5" xfId="0" applyNumberFormat="1" applyFont="1" applyFill="1" applyBorder="1" applyAlignment="1">
      <alignment horizontal="center" vertical="center" wrapText="1"/>
    </xf>
    <xf numFmtId="164" fontId="38" fillId="10" borderId="39" xfId="1" applyNumberFormat="1" applyFont="1" applyFill="1" applyBorder="1" applyAlignment="1" applyProtection="1">
      <alignment horizontal="center" vertical="center" wrapText="1"/>
    </xf>
    <xf numFmtId="164" fontId="38" fillId="10" borderId="22" xfId="1" applyNumberFormat="1" applyFont="1" applyFill="1" applyBorder="1" applyAlignment="1" applyProtection="1">
      <alignment horizontal="center" vertical="center" wrapText="1"/>
    </xf>
    <xf numFmtId="6" fontId="25" fillId="6" borderId="17" xfId="0" applyNumberFormat="1" applyFont="1" applyFill="1" applyBorder="1" applyAlignment="1" applyProtection="1">
      <alignment horizontal="right" vertical="center"/>
      <protection locked="0"/>
    </xf>
    <xf numFmtId="6" fontId="25" fillId="6" borderId="5" xfId="0" applyNumberFormat="1" applyFont="1" applyFill="1" applyBorder="1" applyAlignment="1" applyProtection="1">
      <alignment horizontal="right" vertical="center"/>
      <protection locked="0"/>
    </xf>
    <xf numFmtId="6" fontId="12" fillId="0" borderId="22" xfId="0" applyNumberFormat="1" applyFont="1" applyBorder="1" applyAlignment="1">
      <alignment horizontal="right"/>
    </xf>
    <xf numFmtId="6" fontId="24" fillId="0" borderId="22" xfId="0" applyNumberFormat="1" applyFont="1" applyBorder="1"/>
    <xf numFmtId="6" fontId="24" fillId="0" borderId="23" xfId="0" applyNumberFormat="1" applyFont="1" applyBorder="1"/>
    <xf numFmtId="8" fontId="24" fillId="0" borderId="23" xfId="0" applyNumberFormat="1" applyFont="1" applyBorder="1"/>
    <xf numFmtId="8" fontId="4" fillId="8" borderId="18" xfId="0" applyNumberFormat="1" applyFont="1" applyFill="1" applyBorder="1"/>
    <xf numFmtId="8" fontId="4" fillId="8" borderId="36" xfId="0" applyNumberFormat="1" applyFont="1" applyFill="1" applyBorder="1"/>
    <xf numFmtId="8" fontId="4" fillId="8" borderId="35" xfId="0" applyNumberFormat="1" applyFont="1" applyFill="1" applyBorder="1"/>
    <xf numFmtId="0" fontId="6" fillId="0" borderId="0" xfId="0" applyFont="1" applyFill="1" applyBorder="1" applyAlignment="1" applyProtection="1">
      <alignment vertical="center"/>
    </xf>
    <xf numFmtId="0" fontId="4" fillId="8" borderId="16" xfId="0" applyFont="1" applyFill="1" applyBorder="1" applyAlignment="1" applyProtection="1">
      <alignment horizontal="center" vertical="center" wrapText="1"/>
    </xf>
    <xf numFmtId="0" fontId="4" fillId="8" borderId="17" xfId="0" applyFont="1" applyFill="1" applyBorder="1" applyAlignment="1">
      <alignment horizontal="left" vertical="center" wrapText="1"/>
    </xf>
    <xf numFmtId="0" fontId="4" fillId="8" borderId="17" xfId="0" applyFont="1" applyFill="1" applyBorder="1" applyAlignment="1">
      <alignment horizontal="center" vertical="center" wrapText="1"/>
    </xf>
    <xf numFmtId="0" fontId="4" fillId="8" borderId="17" xfId="0" applyFont="1" applyFill="1" applyBorder="1" applyAlignment="1">
      <alignment horizontal="left" vertical="center"/>
    </xf>
    <xf numFmtId="0" fontId="4" fillId="8" borderId="17" xfId="0" applyFont="1" applyFill="1" applyBorder="1" applyAlignment="1">
      <alignment horizontal="center" vertical="center"/>
    </xf>
    <xf numFmtId="0" fontId="4" fillId="8" borderId="33" xfId="0" applyFont="1" applyFill="1" applyBorder="1" applyAlignment="1" applyProtection="1">
      <alignment horizontal="center" vertical="center" wrapText="1"/>
    </xf>
    <xf numFmtId="0" fontId="4" fillId="8" borderId="51" xfId="0" applyFont="1" applyFill="1" applyBorder="1" applyAlignment="1">
      <alignment horizontal="left" vertical="center" wrapText="1"/>
    </xf>
    <xf numFmtId="0" fontId="4" fillId="8" borderId="51" xfId="0" applyFont="1" applyFill="1" applyBorder="1" applyAlignment="1">
      <alignment horizontal="left" vertical="center"/>
    </xf>
    <xf numFmtId="0" fontId="4" fillId="8" borderId="51" xfId="0" applyFont="1" applyFill="1" applyBorder="1" applyAlignment="1">
      <alignment horizontal="center" vertical="center"/>
    </xf>
    <xf numFmtId="0" fontId="4" fillId="0" borderId="0" xfId="0" applyFont="1" applyAlignment="1">
      <alignment horizontal="left"/>
    </xf>
    <xf numFmtId="0" fontId="6" fillId="8" borderId="0" xfId="0" applyFont="1" applyFill="1" applyBorder="1" applyProtection="1"/>
    <xf numFmtId="0" fontId="6" fillId="0" borderId="0" xfId="0" applyFont="1" applyFill="1" applyBorder="1" applyAlignment="1" applyProtection="1"/>
    <xf numFmtId="0" fontId="6" fillId="0" borderId="0" xfId="0" applyFont="1" applyBorder="1" applyProtection="1"/>
    <xf numFmtId="0" fontId="6" fillId="0" borderId="0" xfId="0" applyFont="1" applyFill="1" applyBorder="1" applyAlignment="1" applyProtection="1">
      <alignment horizontal="left" inden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center" wrapText="1"/>
    </xf>
    <xf numFmtId="10" fontId="6" fillId="0" borderId="0" xfId="0" applyNumberFormat="1" applyFont="1" applyFill="1" applyBorder="1" applyProtection="1"/>
    <xf numFmtId="164" fontId="4" fillId="9" borderId="5" xfId="1" applyNumberFormat="1" applyFont="1" applyFill="1" applyBorder="1"/>
    <xf numFmtId="164" fontId="4" fillId="9" borderId="6" xfId="1" applyNumberFormat="1" applyFont="1" applyFill="1" applyBorder="1"/>
    <xf numFmtId="0" fontId="6" fillId="0" borderId="0" xfId="0" applyFont="1" applyProtection="1"/>
    <xf numFmtId="0" fontId="6" fillId="2" borderId="8" xfId="0" applyFont="1" applyFill="1" applyBorder="1" applyProtection="1"/>
    <xf numFmtId="0" fontId="6" fillId="2" borderId="0" xfId="0" applyFont="1" applyFill="1" applyBorder="1" applyProtection="1"/>
    <xf numFmtId="0" fontId="6" fillId="2" borderId="9" xfId="0" applyFont="1" applyFill="1" applyBorder="1" applyProtection="1"/>
    <xf numFmtId="0" fontId="6" fillId="2" borderId="5" xfId="0" applyFont="1" applyFill="1" applyBorder="1" applyProtection="1"/>
    <xf numFmtId="0" fontId="6" fillId="0" borderId="4" xfId="0" applyFont="1" applyFill="1" applyBorder="1" applyProtection="1"/>
    <xf numFmtId="0" fontId="6" fillId="0" borderId="3" xfId="0" applyFont="1" applyFill="1" applyBorder="1" applyProtection="1"/>
    <xf numFmtId="0" fontId="6" fillId="2" borderId="6" xfId="0" applyFont="1" applyFill="1" applyBorder="1" applyAlignment="1" applyProtection="1">
      <alignment horizontal="left" indent="1"/>
    </xf>
    <xf numFmtId="0" fontId="6" fillId="2" borderId="7" xfId="0" applyFont="1" applyFill="1" applyBorder="1" applyProtection="1"/>
    <xf numFmtId="0" fontId="6" fillId="0" borderId="8" xfId="0" applyFont="1" applyBorder="1" applyAlignment="1" applyProtection="1">
      <alignment horizontal="left" indent="2"/>
    </xf>
    <xf numFmtId="0" fontId="6" fillId="0" borderId="9" xfId="0" applyFont="1" applyBorder="1" applyProtection="1"/>
    <xf numFmtId="0" fontId="6" fillId="0" borderId="10" xfId="0" applyFont="1" applyBorder="1" applyAlignment="1" applyProtection="1">
      <alignment horizontal="left" indent="2"/>
    </xf>
    <xf numFmtId="0" fontId="6" fillId="0" borderId="11" xfId="0" applyFont="1" applyBorder="1" applyProtection="1"/>
    <xf numFmtId="0" fontId="38" fillId="10" borderId="25" xfId="0" applyFont="1" applyFill="1" applyBorder="1" applyAlignment="1">
      <alignment horizontal="center" vertical="center" wrapText="1"/>
    </xf>
    <xf numFmtId="6" fontId="4" fillId="8" borderId="11" xfId="0" applyNumberFormat="1" applyFont="1" applyFill="1" applyBorder="1"/>
    <xf numFmtId="38" fontId="4" fillId="8" borderId="49" xfId="0" applyNumberFormat="1" applyFont="1" applyFill="1" applyBorder="1"/>
    <xf numFmtId="38" fontId="24" fillId="0" borderId="26" xfId="0" applyNumberFormat="1" applyFont="1" applyBorder="1"/>
    <xf numFmtId="6" fontId="24" fillId="0" borderId="39" xfId="0" applyNumberFormat="1" applyFont="1" applyBorder="1"/>
    <xf numFmtId="6" fontId="4" fillId="8" borderId="50" xfId="0" applyNumberFormat="1" applyFont="1" applyFill="1" applyBorder="1"/>
    <xf numFmtId="6" fontId="4" fillId="8" borderId="5" xfId="0" applyNumberFormat="1" applyFont="1" applyFill="1" applyBorder="1"/>
    <xf numFmtId="6" fontId="4" fillId="8" borderId="36" xfId="0" applyNumberFormat="1" applyFont="1" applyFill="1" applyBorder="1"/>
    <xf numFmtId="6" fontId="4" fillId="8" borderId="31" xfId="0" applyNumberFormat="1" applyFont="1" applyFill="1" applyBorder="1"/>
    <xf numFmtId="164" fontId="25" fillId="5" borderId="5" xfId="1" applyNumberFormat="1" applyFont="1" applyFill="1" applyBorder="1" applyAlignment="1">
      <alignment horizontal="right" vertical="top"/>
    </xf>
    <xf numFmtId="0" fontId="38" fillId="10" borderId="16" xfId="0" applyFont="1" applyFill="1" applyBorder="1" applyAlignment="1">
      <alignment horizontal="center" vertical="center" wrapText="1"/>
    </xf>
    <xf numFmtId="0" fontId="38" fillId="10" borderId="18" xfId="0" applyFont="1" applyFill="1" applyBorder="1" applyAlignment="1">
      <alignment horizontal="center" vertical="center" wrapText="1"/>
    </xf>
    <xf numFmtId="164" fontId="25" fillId="5" borderId="6" xfId="1" applyNumberFormat="1" applyFont="1" applyFill="1" applyBorder="1" applyAlignment="1">
      <alignment horizontal="center" vertical="top"/>
    </xf>
    <xf numFmtId="6" fontId="4" fillId="7" borderId="17" xfId="0" applyNumberFormat="1" applyFont="1" applyFill="1" applyBorder="1"/>
    <xf numFmtId="6" fontId="4" fillId="7" borderId="5" xfId="0" applyNumberFormat="1" applyFont="1" applyFill="1" applyBorder="1"/>
    <xf numFmtId="6" fontId="4" fillId="7" borderId="14" xfId="0" applyNumberFormat="1" applyFont="1" applyFill="1" applyBorder="1"/>
    <xf numFmtId="6" fontId="25" fillId="12" borderId="5" xfId="0" applyNumberFormat="1" applyFont="1" applyFill="1" applyBorder="1" applyAlignment="1" applyProtection="1">
      <alignment horizontal="right" vertical="center"/>
      <protection locked="0"/>
    </xf>
    <xf numFmtId="3" fontId="4" fillId="8" borderId="14" xfId="1" applyNumberFormat="1" applyFont="1" applyFill="1" applyBorder="1" applyAlignment="1" applyProtection="1">
      <alignment horizontal="center" vertical="center" wrapText="1"/>
    </xf>
    <xf numFmtId="0" fontId="4" fillId="8" borderId="5" xfId="0" applyFont="1" applyFill="1" applyBorder="1" applyAlignment="1" applyProtection="1">
      <alignment horizontal="center" vertical="center" wrapText="1"/>
    </xf>
    <xf numFmtId="0" fontId="4" fillId="8" borderId="5" xfId="0" applyFont="1" applyFill="1" applyBorder="1" applyAlignment="1">
      <alignment horizontal="left" vertical="center" wrapText="1"/>
    </xf>
    <xf numFmtId="0" fontId="4" fillId="8" borderId="5" xfId="0" applyFont="1" applyFill="1" applyBorder="1" applyAlignment="1">
      <alignment horizontal="center" vertical="center" wrapText="1"/>
    </xf>
    <xf numFmtId="0" fontId="4" fillId="8" borderId="5" xfId="0" applyFont="1" applyFill="1" applyBorder="1" applyAlignment="1">
      <alignment horizontal="left" vertical="center"/>
    </xf>
    <xf numFmtId="0" fontId="4" fillId="8" borderId="5" xfId="0" applyFont="1" applyFill="1" applyBorder="1" applyAlignment="1">
      <alignment horizontal="center" vertical="center"/>
    </xf>
    <xf numFmtId="0" fontId="38" fillId="10" borderId="24" xfId="0" applyFont="1" applyFill="1" applyBorder="1" applyAlignment="1">
      <alignment horizontal="center" vertical="center" wrapText="1"/>
    </xf>
    <xf numFmtId="0" fontId="25" fillId="5" borderId="30" xfId="0" applyFont="1" applyFill="1" applyBorder="1" applyAlignment="1" applyProtection="1">
      <alignment horizontal="center" vertical="top" wrapText="1"/>
    </xf>
    <xf numFmtId="0" fontId="25" fillId="5" borderId="7" xfId="0" applyFont="1" applyFill="1" applyBorder="1" applyAlignment="1" applyProtection="1">
      <alignment horizontal="center" vertical="top" wrapText="1"/>
    </xf>
    <xf numFmtId="0" fontId="25" fillId="5" borderId="43" xfId="0" applyFont="1" applyFill="1" applyBorder="1" applyAlignment="1" applyProtection="1">
      <alignment horizontal="center" vertical="top" wrapText="1"/>
    </xf>
    <xf numFmtId="164" fontId="6" fillId="0" borderId="51" xfId="1" applyNumberFormat="1" applyFont="1" applyBorder="1" applyAlignment="1">
      <alignment horizontal="right"/>
    </xf>
    <xf numFmtId="164" fontId="6" fillId="0" borderId="45" xfId="1" applyNumberFormat="1" applyFont="1" applyBorder="1" applyAlignment="1">
      <alignment horizontal="right"/>
    </xf>
    <xf numFmtId="164" fontId="6" fillId="0" borderId="34" xfId="1" applyNumberFormat="1" applyFont="1" applyBorder="1" applyAlignment="1">
      <alignment horizontal="right"/>
    </xf>
    <xf numFmtId="164" fontId="25" fillId="5" borderId="14" xfId="1" applyNumberFormat="1" applyFont="1" applyFill="1" applyBorder="1" applyAlignment="1">
      <alignment horizontal="right" vertical="top"/>
    </xf>
    <xf numFmtId="164" fontId="25" fillId="5" borderId="37" xfId="1" applyNumberFormat="1" applyFont="1" applyFill="1" applyBorder="1" applyAlignment="1">
      <alignment horizontal="center" vertical="top"/>
    </xf>
    <xf numFmtId="0" fontId="25" fillId="5" borderId="5" xfId="0" applyFont="1" applyFill="1" applyBorder="1" applyAlignment="1">
      <alignment horizontal="center" vertical="top"/>
    </xf>
    <xf numFmtId="0" fontId="25" fillId="5" borderId="14" xfId="0" applyFont="1" applyFill="1" applyBorder="1" applyAlignment="1">
      <alignment horizontal="center" vertical="top" wrapText="1"/>
    </xf>
    <xf numFmtId="6" fontId="4" fillId="7" borderId="3" xfId="0" applyNumberFormat="1" applyFont="1" applyFill="1" applyBorder="1"/>
    <xf numFmtId="6" fontId="4" fillId="7" borderId="2" xfId="0" applyNumberFormat="1" applyFont="1" applyFill="1" applyBorder="1"/>
    <xf numFmtId="0" fontId="26" fillId="5" borderId="28" xfId="0" applyFont="1" applyFill="1" applyBorder="1" applyAlignment="1" applyProtection="1">
      <alignment horizontal="center" vertical="top"/>
    </xf>
    <xf numFmtId="0" fontId="25" fillId="5" borderId="36" xfId="0" applyFont="1" applyFill="1" applyBorder="1" applyAlignment="1" applyProtection="1">
      <alignment horizontal="center" vertical="top" wrapText="1"/>
    </xf>
    <xf numFmtId="0" fontId="25" fillId="5" borderId="35" xfId="0" applyFont="1" applyFill="1" applyBorder="1" applyAlignment="1" applyProtection="1">
      <alignment horizontal="center" vertical="top" wrapText="1"/>
    </xf>
    <xf numFmtId="164" fontId="4" fillId="5" borderId="24" xfId="1" applyNumberFormat="1" applyFont="1" applyFill="1" applyBorder="1"/>
    <xf numFmtId="0" fontId="64" fillId="9" borderId="0" xfId="11" applyFont="1" applyFill="1"/>
    <xf numFmtId="0" fontId="65" fillId="9" borderId="0" xfId="0" applyFont="1" applyFill="1"/>
    <xf numFmtId="167" fontId="4" fillId="9" borderId="5" xfId="0" applyNumberFormat="1" applyFont="1" applyFill="1" applyBorder="1"/>
    <xf numFmtId="164" fontId="4" fillId="9" borderId="2" xfId="1" applyNumberFormat="1" applyFont="1" applyFill="1" applyBorder="1"/>
    <xf numFmtId="164" fontId="4" fillId="9" borderId="12" xfId="1" applyNumberFormat="1" applyFont="1" applyFill="1" applyBorder="1"/>
    <xf numFmtId="167" fontId="4" fillId="9" borderId="2" xfId="0" applyNumberFormat="1" applyFont="1" applyFill="1" applyBorder="1"/>
    <xf numFmtId="167" fontId="4" fillId="5" borderId="22" xfId="0" applyNumberFormat="1" applyFont="1" applyFill="1" applyBorder="1"/>
    <xf numFmtId="0" fontId="4" fillId="5" borderId="23" xfId="0" applyFont="1" applyFill="1" applyBorder="1"/>
    <xf numFmtId="165" fontId="4" fillId="9" borderId="36" xfId="0" applyNumberFormat="1" applyFont="1" applyFill="1" applyBorder="1"/>
    <xf numFmtId="0" fontId="25" fillId="5" borderId="3" xfId="0" applyFont="1" applyFill="1" applyBorder="1" applyAlignment="1">
      <alignment horizontal="center" vertical="top"/>
    </xf>
    <xf numFmtId="164" fontId="25" fillId="5" borderId="3" xfId="1" applyNumberFormat="1" applyFont="1" applyFill="1" applyBorder="1" applyAlignment="1">
      <alignment horizontal="right" vertical="top"/>
    </xf>
    <xf numFmtId="164" fontId="25" fillId="5" borderId="10" xfId="1" applyNumberFormat="1" applyFont="1" applyFill="1" applyBorder="1" applyAlignment="1">
      <alignment horizontal="center" vertical="top"/>
    </xf>
    <xf numFmtId="164" fontId="4" fillId="5" borderId="23" xfId="1" applyNumberFormat="1" applyFont="1" applyFill="1" applyBorder="1"/>
    <xf numFmtId="164" fontId="4" fillId="9" borderId="3" xfId="1" applyNumberFormat="1" applyFont="1" applyFill="1" applyBorder="1"/>
    <xf numFmtId="164" fontId="4" fillId="9" borderId="10" xfId="1" applyNumberFormat="1" applyFont="1" applyFill="1" applyBorder="1"/>
    <xf numFmtId="0" fontId="4" fillId="8" borderId="29" xfId="0" applyFont="1" applyFill="1" applyBorder="1" applyAlignment="1" applyProtection="1">
      <alignment horizontal="center" vertical="center" wrapText="1"/>
    </xf>
    <xf numFmtId="0" fontId="4" fillId="8" borderId="2"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horizontal="left" vertical="center"/>
    </xf>
    <xf numFmtId="0" fontId="4" fillId="8" borderId="2" xfId="0" applyFont="1" applyFill="1" applyBorder="1" applyAlignment="1">
      <alignment horizontal="center" vertical="center"/>
    </xf>
    <xf numFmtId="3" fontId="4" fillId="8" borderId="5" xfId="1" applyNumberFormat="1" applyFont="1" applyFill="1" applyBorder="1" applyAlignment="1" applyProtection="1">
      <alignment horizontal="center" vertical="center" wrapText="1"/>
    </xf>
    <xf numFmtId="0" fontId="4" fillId="8" borderId="49" xfId="0" applyFont="1" applyFill="1" applyBorder="1" applyAlignment="1" applyProtection="1">
      <alignment horizontal="center" vertical="center" wrapText="1"/>
    </xf>
    <xf numFmtId="0" fontId="4" fillId="8"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4" fillId="8" borderId="3" xfId="0" applyFont="1" applyFill="1" applyBorder="1" applyAlignment="1">
      <alignment horizontal="left" vertical="center"/>
    </xf>
    <xf numFmtId="0" fontId="4" fillId="8" borderId="3" xfId="0" applyFont="1" applyFill="1" applyBorder="1" applyAlignment="1">
      <alignment horizontal="center" vertical="center"/>
    </xf>
    <xf numFmtId="3" fontId="36" fillId="0" borderId="0" xfId="1" applyNumberFormat="1" applyFont="1" applyFill="1" applyBorder="1" applyAlignment="1" applyProtection="1">
      <alignment horizontal="center" vertical="center" wrapText="1"/>
    </xf>
    <xf numFmtId="0" fontId="38" fillId="10" borderId="32" xfId="0" applyFont="1" applyFill="1" applyBorder="1" applyAlignment="1">
      <alignment horizontal="center" vertical="center" wrapText="1"/>
    </xf>
    <xf numFmtId="0" fontId="38" fillId="10" borderId="22" xfId="0" applyFont="1" applyFill="1" applyBorder="1" applyAlignment="1">
      <alignment horizontal="center" vertical="center" wrapText="1"/>
    </xf>
    <xf numFmtId="167" fontId="45" fillId="8" borderId="6" xfId="0" applyNumberFormat="1" applyFont="1" applyFill="1" applyBorder="1" applyAlignment="1">
      <alignment horizontal="center" vertical="center" wrapText="1"/>
    </xf>
    <xf numFmtId="167" fontId="58" fillId="5" borderId="6" xfId="0" applyNumberFormat="1" applyFont="1" applyFill="1" applyBorder="1" applyAlignment="1">
      <alignment horizontal="center" vertical="center" wrapText="1"/>
    </xf>
    <xf numFmtId="167" fontId="45" fillId="8" borderId="5" xfId="0" applyNumberFormat="1" applyFont="1" applyFill="1" applyBorder="1" applyAlignment="1">
      <alignment horizontal="center" vertical="center" wrapText="1"/>
    </xf>
    <xf numFmtId="167" fontId="38" fillId="10" borderId="6" xfId="0" applyNumberFormat="1" applyFont="1" applyFill="1" applyBorder="1" applyAlignment="1">
      <alignment horizontal="center" vertical="center" wrapText="1"/>
    </xf>
    <xf numFmtId="0" fontId="16" fillId="8" borderId="0" xfId="0" applyFont="1" applyFill="1" applyAlignment="1">
      <alignment vertical="top" wrapText="1"/>
    </xf>
    <xf numFmtId="38" fontId="4" fillId="7" borderId="28" xfId="0" applyNumberFormat="1" applyFont="1" applyFill="1" applyBorder="1"/>
    <xf numFmtId="6" fontId="4" fillId="7" borderId="7" xfId="0" applyNumberFormat="1" applyFont="1" applyFill="1" applyBorder="1"/>
    <xf numFmtId="38" fontId="4" fillId="7" borderId="29" xfId="0" applyNumberFormat="1" applyFont="1" applyFill="1" applyBorder="1"/>
    <xf numFmtId="6" fontId="4" fillId="7" borderId="30" xfId="0" applyNumberFormat="1" applyFont="1" applyFill="1" applyBorder="1"/>
    <xf numFmtId="169" fontId="25" fillId="6" borderId="16" xfId="0" applyNumberFormat="1" applyFont="1" applyFill="1" applyBorder="1" applyAlignment="1" applyProtection="1">
      <alignment horizontal="right" vertical="center"/>
      <protection locked="0"/>
    </xf>
    <xf numFmtId="169" fontId="25" fillId="6" borderId="28" xfId="0" applyNumberFormat="1" applyFont="1" applyFill="1" applyBorder="1" applyAlignment="1" applyProtection="1">
      <alignment horizontal="right" vertical="center"/>
      <protection locked="0"/>
    </xf>
    <xf numFmtId="169" fontId="25" fillId="12" borderId="28" xfId="0" applyNumberFormat="1" applyFont="1" applyFill="1" applyBorder="1" applyAlignment="1" applyProtection="1">
      <alignment horizontal="right" vertical="center"/>
      <protection locked="0"/>
    </xf>
    <xf numFmtId="169" fontId="25" fillId="6" borderId="19" xfId="0" applyNumberFormat="1" applyFont="1" applyFill="1" applyBorder="1" applyAlignment="1" applyProtection="1">
      <alignment horizontal="right" vertical="center"/>
      <protection locked="0"/>
    </xf>
    <xf numFmtId="169" fontId="12" fillId="0" borderId="26" xfId="0" applyNumberFormat="1" applyFont="1" applyBorder="1" applyAlignment="1">
      <alignment horizontal="right"/>
    </xf>
    <xf numFmtId="0" fontId="4" fillId="8" borderId="27" xfId="0" applyFont="1" applyFill="1" applyBorder="1" applyAlignment="1">
      <alignment horizontal="center" vertical="center"/>
    </xf>
    <xf numFmtId="0" fontId="4" fillId="8" borderId="10" xfId="0" applyFont="1" applyFill="1" applyBorder="1" applyAlignment="1">
      <alignment horizontal="center" vertical="center" wrapText="1"/>
    </xf>
    <xf numFmtId="0" fontId="4" fillId="8" borderId="45" xfId="0" applyFont="1" applyFill="1" applyBorder="1" applyAlignment="1">
      <alignment horizontal="center" vertical="center" wrapText="1"/>
    </xf>
    <xf numFmtId="3" fontId="4" fillId="8" borderId="28" xfId="0" applyNumberFormat="1" applyFont="1" applyFill="1" applyBorder="1" applyAlignment="1">
      <alignment horizontal="center" vertical="center" wrapText="1"/>
    </xf>
    <xf numFmtId="3" fontId="24" fillId="5" borderId="33" xfId="1" applyNumberFormat="1" applyFont="1" applyFill="1" applyBorder="1" applyAlignment="1" applyProtection="1">
      <alignment horizontal="center" vertical="center" wrapText="1"/>
    </xf>
    <xf numFmtId="3" fontId="24" fillId="5" borderId="51" xfId="1" applyNumberFormat="1" applyFont="1" applyFill="1" applyBorder="1" applyAlignment="1" applyProtection="1">
      <alignment horizontal="center" vertical="center" wrapText="1"/>
    </xf>
    <xf numFmtId="3" fontId="4" fillId="8" borderId="19" xfId="0" applyNumberFormat="1" applyFont="1" applyFill="1" applyBorder="1" applyAlignment="1">
      <alignment horizontal="center" vertical="center" wrapText="1"/>
    </xf>
    <xf numFmtId="3" fontId="4" fillId="8" borderId="40" xfId="1" applyNumberFormat="1" applyFont="1" applyFill="1" applyBorder="1" applyAlignment="1" applyProtection="1">
      <alignment horizontal="center" vertical="center" wrapText="1"/>
    </xf>
    <xf numFmtId="3" fontId="4" fillId="8" borderId="42" xfId="1" applyNumberFormat="1" applyFont="1" applyFill="1" applyBorder="1" applyAlignment="1" applyProtection="1">
      <alignment horizontal="center" vertical="center" wrapText="1"/>
    </xf>
    <xf numFmtId="3" fontId="4" fillId="8" borderId="44" xfId="1" applyNumberFormat="1" applyFont="1" applyFill="1" applyBorder="1" applyAlignment="1" applyProtection="1">
      <alignment horizontal="center" vertical="center" wrapText="1"/>
    </xf>
    <xf numFmtId="38" fontId="25" fillId="5" borderId="50" xfId="1" applyNumberFormat="1" applyFont="1" applyFill="1" applyBorder="1" applyAlignment="1">
      <alignment horizontal="center" vertical="top"/>
    </xf>
    <xf numFmtId="38" fontId="25" fillId="5" borderId="36" xfId="1" applyNumberFormat="1" applyFont="1" applyFill="1" applyBorder="1" applyAlignment="1">
      <alignment horizontal="center" vertical="top"/>
    </xf>
    <xf numFmtId="38" fontId="25" fillId="5" borderId="35" xfId="1" applyNumberFormat="1" applyFont="1" applyFill="1" applyBorder="1" applyAlignment="1">
      <alignment horizontal="center" vertical="top"/>
    </xf>
    <xf numFmtId="164" fontId="38" fillId="10" borderId="32" xfId="1" applyNumberFormat="1" applyFont="1" applyFill="1" applyBorder="1" applyAlignment="1" applyProtection="1">
      <alignment horizontal="center" vertical="center" wrapText="1"/>
    </xf>
    <xf numFmtId="6" fontId="4" fillId="7" borderId="27" xfId="0" applyNumberFormat="1" applyFont="1" applyFill="1" applyBorder="1"/>
    <xf numFmtId="6" fontId="4" fillId="7" borderId="6" xfId="0" applyNumberFormat="1" applyFont="1" applyFill="1" applyBorder="1"/>
    <xf numFmtId="6" fontId="4" fillId="7" borderId="37" xfId="0" applyNumberFormat="1" applyFont="1" applyFill="1" applyBorder="1"/>
    <xf numFmtId="6" fontId="24" fillId="0" borderId="32" xfId="0" applyNumberFormat="1" applyFont="1" applyBorder="1"/>
    <xf numFmtId="3" fontId="25" fillId="5" borderId="3" xfId="0" applyNumberFormat="1" applyFont="1" applyFill="1" applyBorder="1" applyAlignment="1" applyProtection="1">
      <alignment horizontal="center" vertical="top"/>
    </xf>
    <xf numFmtId="0" fontId="26" fillId="5" borderId="56" xfId="0" applyFont="1" applyFill="1" applyBorder="1" applyAlignment="1" applyProtection="1">
      <alignment horizontal="center" vertical="top"/>
    </xf>
    <xf numFmtId="0" fontId="25" fillId="5" borderId="9" xfId="0" applyFont="1" applyFill="1" applyBorder="1" applyAlignment="1" applyProtection="1">
      <alignment horizontal="center" vertical="top" wrapText="1"/>
    </xf>
    <xf numFmtId="3" fontId="4" fillId="8" borderId="57" xfId="1" applyNumberFormat="1" applyFont="1" applyFill="1" applyBorder="1" applyAlignment="1" applyProtection="1">
      <alignment horizontal="center" vertical="center" wrapText="1"/>
    </xf>
    <xf numFmtId="3" fontId="24" fillId="0" borderId="0" xfId="1" applyNumberFormat="1" applyFont="1" applyFill="1" applyBorder="1" applyAlignment="1" applyProtection="1">
      <alignment horizontal="center" vertical="center" wrapText="1"/>
    </xf>
    <xf numFmtId="0" fontId="25" fillId="0" borderId="50" xfId="1" applyNumberFormat="1" applyFont="1" applyFill="1" applyBorder="1" applyAlignment="1">
      <alignment horizontal="center" vertical="top"/>
    </xf>
    <xf numFmtId="0" fontId="4" fillId="9" borderId="36" xfId="1" applyNumberFormat="1" applyFont="1" applyFill="1" applyBorder="1" applyAlignment="1">
      <alignment horizontal="center"/>
    </xf>
    <xf numFmtId="0" fontId="4" fillId="9" borderId="31" xfId="1" applyNumberFormat="1" applyFont="1" applyFill="1" applyBorder="1" applyAlignment="1">
      <alignment horizontal="center"/>
    </xf>
    <xf numFmtId="168" fontId="4" fillId="9" borderId="5" xfId="0" applyNumberFormat="1" applyFont="1" applyFill="1" applyBorder="1"/>
    <xf numFmtId="168" fontId="4" fillId="9" borderId="2" xfId="0" applyNumberFormat="1" applyFont="1" applyFill="1" applyBorder="1"/>
    <xf numFmtId="167" fontId="4" fillId="5" borderId="32" xfId="0" applyNumberFormat="1" applyFont="1" applyFill="1" applyBorder="1"/>
    <xf numFmtId="0" fontId="6" fillId="0" borderId="0" xfId="0" applyFont="1" applyBorder="1" applyAlignment="1">
      <alignment horizontal="left" vertical="top" wrapText="1"/>
    </xf>
    <xf numFmtId="168" fontId="4" fillId="9" borderId="7" xfId="0" applyNumberFormat="1" applyFont="1" applyFill="1" applyBorder="1"/>
    <xf numFmtId="168" fontId="4" fillId="9" borderId="30" xfId="0" applyNumberFormat="1" applyFont="1" applyFill="1" applyBorder="1"/>
    <xf numFmtId="168" fontId="4" fillId="5" borderId="39" xfId="0" applyNumberFormat="1" applyFont="1" applyFill="1" applyBorder="1"/>
    <xf numFmtId="168" fontId="4" fillId="9" borderId="11" xfId="0" applyNumberFormat="1" applyFont="1" applyFill="1" applyBorder="1"/>
    <xf numFmtId="167" fontId="4" fillId="9" borderId="3" xfId="0" applyNumberFormat="1" applyFont="1" applyFill="1" applyBorder="1"/>
    <xf numFmtId="168" fontId="4" fillId="9" borderId="3" xfId="0" applyNumberFormat="1" applyFont="1" applyFill="1" applyBorder="1"/>
    <xf numFmtId="43" fontId="0" fillId="0" borderId="0" xfId="0" applyNumberFormat="1"/>
    <xf numFmtId="6" fontId="4" fillId="8" borderId="6" xfId="0" applyNumberFormat="1" applyFont="1" applyFill="1" applyBorder="1"/>
    <xf numFmtId="6" fontId="4" fillId="8" borderId="10" xfId="0" applyNumberFormat="1" applyFont="1" applyFill="1" applyBorder="1"/>
    <xf numFmtId="6" fontId="4" fillId="8" borderId="12" xfId="0" applyNumberFormat="1" applyFont="1" applyFill="1" applyBorder="1"/>
    <xf numFmtId="0" fontId="38" fillId="10" borderId="32" xfId="0" applyFont="1" applyFill="1" applyBorder="1" applyAlignment="1">
      <alignment horizontal="center" vertical="center" wrapText="1"/>
    </xf>
    <xf numFmtId="0" fontId="38" fillId="10" borderId="22" xfId="0" applyFont="1" applyFill="1" applyBorder="1" applyAlignment="1">
      <alignment horizontal="center" vertical="center" wrapText="1"/>
    </xf>
    <xf numFmtId="0" fontId="16" fillId="8" borderId="0" xfId="0" applyFont="1" applyFill="1" applyAlignment="1">
      <alignment vertical="top" wrapText="1"/>
    </xf>
    <xf numFmtId="167" fontId="56" fillId="0" borderId="5" xfId="0" applyNumberFormat="1" applyFont="1" applyFill="1" applyBorder="1" applyAlignment="1">
      <alignment horizontal="center" vertical="center" wrapText="1"/>
    </xf>
    <xf numFmtId="167" fontId="61" fillId="0" borderId="5" xfId="0" applyNumberFormat="1" applyFont="1" applyFill="1" applyBorder="1" applyAlignment="1">
      <alignment horizontal="center" vertical="center" wrapText="1"/>
    </xf>
    <xf numFmtId="167" fontId="45" fillId="0" borderId="5" xfId="0" applyNumberFormat="1" applyFont="1" applyFill="1" applyBorder="1" applyAlignment="1">
      <alignment horizontal="center" vertical="center" wrapText="1"/>
    </xf>
    <xf numFmtId="167" fontId="4" fillId="7" borderId="3" xfId="0" applyNumberFormat="1" applyFont="1" applyFill="1" applyBorder="1"/>
    <xf numFmtId="165" fontId="4" fillId="7" borderId="50" xfId="0" applyNumberFormat="1" applyFont="1" applyFill="1" applyBorder="1"/>
    <xf numFmtId="167" fontId="4" fillId="7" borderId="5" xfId="0" applyNumberFormat="1" applyFont="1" applyFill="1" applyBorder="1"/>
    <xf numFmtId="165" fontId="4" fillId="7" borderId="36" xfId="0" applyNumberFormat="1" applyFont="1" applyFill="1" applyBorder="1"/>
    <xf numFmtId="167" fontId="4" fillId="7" borderId="2" xfId="0" applyNumberFormat="1" applyFont="1" applyFill="1" applyBorder="1"/>
    <xf numFmtId="165" fontId="4" fillId="7" borderId="31" xfId="0" applyNumberFormat="1" applyFont="1" applyFill="1" applyBorder="1"/>
    <xf numFmtId="169" fontId="24" fillId="0" borderId="22" xfId="0" applyNumberFormat="1" applyFont="1" applyBorder="1"/>
    <xf numFmtId="169" fontId="24" fillId="0" borderId="23" xfId="0" applyNumberFormat="1" applyFont="1" applyBorder="1"/>
    <xf numFmtId="168" fontId="4" fillId="5" borderId="22" xfId="0" applyNumberFormat="1" applyFont="1" applyFill="1" applyBorder="1"/>
    <xf numFmtId="3" fontId="2" fillId="8" borderId="42" xfId="1" applyNumberFormat="1" applyFont="1" applyFill="1" applyBorder="1" applyAlignment="1" applyProtection="1">
      <alignment horizontal="center" vertical="center" wrapText="1"/>
    </xf>
    <xf numFmtId="0" fontId="1" fillId="0" borderId="0" xfId="0" applyFont="1" applyAlignment="1">
      <alignment horizontal="left"/>
    </xf>
    <xf numFmtId="0" fontId="38" fillId="10" borderId="32" xfId="0" applyFont="1" applyFill="1" applyBorder="1" applyAlignment="1">
      <alignment horizontal="center" vertical="center" wrapText="1"/>
    </xf>
    <xf numFmtId="0" fontId="38" fillId="10" borderId="22" xfId="0" applyFont="1" applyFill="1" applyBorder="1" applyAlignment="1">
      <alignment horizontal="center" vertical="center" wrapText="1"/>
    </xf>
    <xf numFmtId="10" fontId="51" fillId="11" borderId="5" xfId="3" applyNumberFormat="1" applyFont="1" applyFill="1" applyBorder="1" applyAlignment="1" applyProtection="1">
      <alignment horizontal="center" vertical="center" wrapText="1"/>
    </xf>
    <xf numFmtId="10" fontId="51" fillId="11" borderId="2" xfId="3" applyNumberFormat="1" applyFont="1" applyFill="1" applyBorder="1" applyAlignment="1" applyProtection="1">
      <alignment horizontal="center" vertical="center" wrapText="1"/>
    </xf>
    <xf numFmtId="170" fontId="51" fillId="11" borderId="2" xfId="3" applyNumberFormat="1" applyFont="1" applyFill="1" applyBorder="1" applyAlignment="1" applyProtection="1">
      <alignment horizontal="center" vertical="center" wrapText="1"/>
    </xf>
    <xf numFmtId="164" fontId="25" fillId="5" borderId="45" xfId="1" applyNumberFormat="1" applyFont="1" applyFill="1" applyBorder="1" applyAlignment="1">
      <alignment horizontal="center" vertical="top"/>
    </xf>
    <xf numFmtId="38" fontId="51" fillId="11" borderId="2" xfId="0" applyNumberFormat="1" applyFont="1" applyFill="1" applyBorder="1" applyAlignment="1">
      <alignment horizontal="center" vertical="center"/>
    </xf>
    <xf numFmtId="38" fontId="51" fillId="11" borderId="4" xfId="0" applyNumberFormat="1" applyFont="1" applyFill="1" applyBorder="1" applyAlignment="1">
      <alignment horizontal="center" vertical="center"/>
    </xf>
    <xf numFmtId="38" fontId="51" fillId="0" borderId="6" xfId="0" applyNumberFormat="1" applyFont="1" applyBorder="1" applyAlignment="1">
      <alignment horizontal="center" vertical="center" wrapText="1"/>
    </xf>
    <xf numFmtId="6" fontId="6" fillId="5" borderId="54" xfId="1" applyNumberFormat="1" applyFont="1" applyFill="1" applyBorder="1" applyAlignment="1" applyProtection="1">
      <alignment horizontal="center" vertical="center"/>
    </xf>
    <xf numFmtId="38" fontId="12" fillId="5" borderId="22" xfId="1" applyNumberFormat="1" applyFont="1" applyFill="1" applyBorder="1" applyAlignment="1" applyProtection="1">
      <alignment horizontal="center"/>
    </xf>
    <xf numFmtId="6" fontId="6" fillId="5" borderId="31" xfId="1" applyNumberFormat="1" applyFont="1" applyFill="1" applyBorder="1" applyAlignment="1" applyProtection="1">
      <alignment horizontal="center" vertical="center"/>
    </xf>
    <xf numFmtId="6" fontId="12" fillId="5" borderId="20" xfId="1" applyNumberFormat="1" applyFont="1" applyFill="1" applyBorder="1" applyAlignment="1" applyProtection="1">
      <alignment horizontal="center"/>
    </xf>
    <xf numFmtId="6" fontId="12" fillId="5" borderId="26" xfId="1" applyNumberFormat="1" applyFont="1" applyFill="1" applyBorder="1" applyAlignment="1" applyProtection="1">
      <alignment horizontal="center"/>
    </xf>
    <xf numFmtId="6" fontId="12" fillId="5" borderId="22" xfId="1" applyNumberFormat="1" applyFont="1" applyFill="1" applyBorder="1" applyAlignment="1" applyProtection="1">
      <alignment horizontal="center"/>
    </xf>
    <xf numFmtId="6" fontId="12" fillId="5" borderId="23" xfId="1" applyNumberFormat="1" applyFont="1" applyFill="1" applyBorder="1" applyAlignment="1" applyProtection="1">
      <alignment horizontal="center"/>
    </xf>
    <xf numFmtId="10" fontId="6" fillId="5" borderId="9" xfId="3" applyNumberFormat="1" applyFont="1" applyFill="1" applyBorder="1" applyAlignment="1" applyProtection="1">
      <alignment horizontal="center"/>
    </xf>
    <xf numFmtId="10" fontId="6" fillId="5" borderId="30" xfId="3" applyNumberFormat="1" applyFont="1" applyFill="1" applyBorder="1" applyAlignment="1" applyProtection="1">
      <alignment horizontal="center"/>
    </xf>
    <xf numFmtId="10" fontId="1" fillId="9" borderId="5" xfId="0" applyNumberFormat="1" applyFont="1" applyFill="1" applyBorder="1"/>
    <xf numFmtId="166" fontId="1" fillId="9" borderId="5" xfId="0" applyNumberFormat="1" applyFont="1" applyFill="1" applyBorder="1"/>
    <xf numFmtId="0" fontId="16" fillId="8" borderId="0" xfId="0" applyFont="1" applyFill="1" applyAlignment="1">
      <alignment vertical="top" wrapText="1"/>
    </xf>
    <xf numFmtId="0" fontId="25" fillId="6" borderId="41" xfId="0" applyFont="1" applyFill="1" applyBorder="1" applyAlignment="1" applyProtection="1">
      <alignment horizontal="left" vertical="center"/>
      <protection locked="0"/>
    </xf>
    <xf numFmtId="0" fontId="25" fillId="6" borderId="42" xfId="0" applyFont="1" applyFill="1" applyBorder="1" applyAlignment="1" applyProtection="1">
      <alignment horizontal="left" vertical="center"/>
      <protection locked="0"/>
    </xf>
    <xf numFmtId="8" fontId="24" fillId="0" borderId="24" xfId="0" applyNumberFormat="1" applyFont="1" applyBorder="1"/>
    <xf numFmtId="0" fontId="4" fillId="8" borderId="1" xfId="0" applyNumberFormat="1" applyFont="1" applyFill="1" applyBorder="1"/>
    <xf numFmtId="0" fontId="4" fillId="8" borderId="13" xfId="0" applyNumberFormat="1" applyFont="1" applyFill="1" applyBorder="1"/>
    <xf numFmtId="0" fontId="38" fillId="10" borderId="22" xfId="0" applyFont="1" applyFill="1" applyBorder="1" applyAlignment="1">
      <alignment horizontal="center" vertical="center" wrapText="1"/>
    </xf>
    <xf numFmtId="9" fontId="1" fillId="9" borderId="5" xfId="3" applyFont="1" applyFill="1" applyBorder="1"/>
    <xf numFmtId="1" fontId="1" fillId="9" borderId="5" xfId="0" applyNumberFormat="1" applyFont="1" applyFill="1" applyBorder="1"/>
    <xf numFmtId="38" fontId="10" fillId="0" borderId="0" xfId="0" applyNumberFormat="1" applyFont="1" applyFill="1" applyBorder="1" applyProtection="1"/>
    <xf numFmtId="0" fontId="25" fillId="5" borderId="5" xfId="0" applyFont="1" applyFill="1" applyBorder="1" applyAlignment="1" applyProtection="1">
      <alignment horizontal="center" vertical="top" wrapText="1"/>
    </xf>
    <xf numFmtId="3" fontId="25" fillId="5" borderId="36" xfId="0" applyNumberFormat="1" applyFont="1" applyFill="1" applyBorder="1" applyAlignment="1" applyProtection="1">
      <alignment horizontal="center" vertical="top"/>
    </xf>
    <xf numFmtId="0" fontId="25" fillId="5" borderId="14" xfId="0" applyFont="1" applyFill="1" applyBorder="1" applyAlignment="1" applyProtection="1">
      <alignment horizontal="center" vertical="top" wrapText="1"/>
    </xf>
    <xf numFmtId="3" fontId="25" fillId="5" borderId="35" xfId="0" applyNumberFormat="1" applyFont="1" applyFill="1" applyBorder="1" applyAlignment="1" applyProtection="1">
      <alignment horizontal="center" vertical="top"/>
    </xf>
    <xf numFmtId="0" fontId="26" fillId="5" borderId="49" xfId="0" applyFont="1" applyFill="1" applyBorder="1" applyAlignment="1" applyProtection="1">
      <alignment horizontal="center" vertical="top"/>
    </xf>
    <xf numFmtId="0" fontId="25" fillId="5" borderId="3" xfId="0" applyFont="1" applyFill="1" applyBorder="1" applyAlignment="1" applyProtection="1">
      <alignment horizontal="center" vertical="top" wrapText="1"/>
    </xf>
    <xf numFmtId="3" fontId="25" fillId="5" borderId="50" xfId="0" applyNumberFormat="1" applyFont="1" applyFill="1" applyBorder="1" applyAlignment="1" applyProtection="1">
      <alignment horizontal="center" vertical="top"/>
    </xf>
    <xf numFmtId="3" fontId="1" fillId="8" borderId="40" xfId="1" applyNumberFormat="1" applyFont="1" applyFill="1" applyBorder="1" applyAlignment="1" applyProtection="1">
      <alignment horizontal="center" vertical="center" wrapText="1"/>
    </xf>
    <xf numFmtId="3" fontId="1" fillId="8" borderId="42" xfId="1" applyNumberFormat="1" applyFont="1" applyFill="1" applyBorder="1" applyAlignment="1" applyProtection="1">
      <alignment horizontal="center" vertical="center" wrapText="1"/>
    </xf>
    <xf numFmtId="3" fontId="1" fillId="8" borderId="44" xfId="1" applyNumberFormat="1" applyFont="1" applyFill="1" applyBorder="1" applyAlignment="1" applyProtection="1">
      <alignment horizontal="center" vertical="center" wrapText="1"/>
    </xf>
    <xf numFmtId="0" fontId="38" fillId="10" borderId="39" xfId="0" applyFont="1" applyFill="1" applyBorder="1" applyAlignment="1">
      <alignment horizontal="center" vertical="center" wrapText="1"/>
    </xf>
    <xf numFmtId="0" fontId="38" fillId="10" borderId="22" xfId="0" applyFont="1" applyFill="1" applyBorder="1" applyAlignment="1">
      <alignment horizontal="center" vertical="center" wrapText="1"/>
    </xf>
    <xf numFmtId="167" fontId="45" fillId="8" borderId="6" xfId="0" applyNumberFormat="1" applyFont="1" applyFill="1" applyBorder="1" applyAlignment="1">
      <alignment horizontal="center" vertical="center" wrapText="1"/>
    </xf>
    <xf numFmtId="167" fontId="58" fillId="5" borderId="6" xfId="0" applyNumberFormat="1" applyFont="1" applyFill="1" applyBorder="1" applyAlignment="1">
      <alignment horizontal="center" vertical="center" wrapText="1"/>
    </xf>
    <xf numFmtId="167" fontId="45" fillId="8" borderId="5" xfId="0" applyNumberFormat="1" applyFont="1" applyFill="1" applyBorder="1" applyAlignment="1">
      <alignment horizontal="center" vertical="center" wrapText="1"/>
    </xf>
    <xf numFmtId="167" fontId="38" fillId="10" borderId="6" xfId="0" applyNumberFormat="1" applyFont="1" applyFill="1" applyBorder="1" applyAlignment="1">
      <alignment horizontal="center" vertical="center" wrapText="1"/>
    </xf>
    <xf numFmtId="3" fontId="25" fillId="5" borderId="15" xfId="0" applyNumberFormat="1" applyFont="1" applyFill="1" applyBorder="1" applyAlignment="1" applyProtection="1">
      <alignment horizontal="center" vertical="top"/>
    </xf>
    <xf numFmtId="3" fontId="25" fillId="5" borderId="1" xfId="0" applyNumberFormat="1" applyFont="1" applyFill="1" applyBorder="1" applyAlignment="1" applyProtection="1">
      <alignment horizontal="center" vertical="top"/>
    </xf>
    <xf numFmtId="3" fontId="25" fillId="5" borderId="55" xfId="0" applyNumberFormat="1" applyFont="1" applyFill="1" applyBorder="1" applyAlignment="1" applyProtection="1">
      <alignment horizontal="center" vertical="top"/>
    </xf>
    <xf numFmtId="164" fontId="12" fillId="5" borderId="46" xfId="1" applyNumberFormat="1" applyFont="1" applyFill="1" applyBorder="1" applyAlignment="1" applyProtection="1">
      <alignment horizontal="center"/>
    </xf>
    <xf numFmtId="164" fontId="12" fillId="5" borderId="51" xfId="1" applyNumberFormat="1" applyFont="1" applyFill="1" applyBorder="1" applyAlignment="1" applyProtection="1">
      <alignment horizontal="center"/>
    </xf>
    <xf numFmtId="164" fontId="12" fillId="5" borderId="34" xfId="1" applyNumberFormat="1" applyFont="1" applyFill="1" applyBorder="1" applyAlignment="1" applyProtection="1">
      <alignment horizontal="center"/>
    </xf>
    <xf numFmtId="164" fontId="6" fillId="5" borderId="5" xfId="1" applyNumberFormat="1" applyFont="1" applyFill="1" applyBorder="1" applyAlignment="1" applyProtection="1">
      <alignment horizontal="center" vertical="center"/>
    </xf>
    <xf numFmtId="164" fontId="6" fillId="5" borderId="36" xfId="1" applyNumberFormat="1" applyFont="1" applyFill="1" applyBorder="1" applyAlignment="1" applyProtection="1">
      <alignment horizontal="center" vertical="center"/>
    </xf>
    <xf numFmtId="164" fontId="6" fillId="5" borderId="14" xfId="1" applyNumberFormat="1" applyFont="1" applyFill="1" applyBorder="1" applyAlignment="1" applyProtection="1">
      <alignment horizontal="center" vertical="center"/>
    </xf>
    <xf numFmtId="164" fontId="6" fillId="5" borderId="35" xfId="1" applyNumberFormat="1" applyFont="1" applyFill="1" applyBorder="1" applyAlignment="1" applyProtection="1">
      <alignment horizontal="center" vertical="center"/>
    </xf>
    <xf numFmtId="164" fontId="6" fillId="5" borderId="3" xfId="1" applyNumberFormat="1" applyFont="1" applyFill="1" applyBorder="1" applyAlignment="1" applyProtection="1">
      <alignment horizontal="center" vertical="center"/>
    </xf>
    <xf numFmtId="164" fontId="6" fillId="5" borderId="50" xfId="1" applyNumberFormat="1" applyFont="1" applyFill="1" applyBorder="1" applyAlignment="1" applyProtection="1">
      <alignment horizontal="center" vertical="center"/>
    </xf>
    <xf numFmtId="0" fontId="1" fillId="8" borderId="15" xfId="0" applyFont="1" applyFill="1" applyBorder="1"/>
    <xf numFmtId="10" fontId="12" fillId="13" borderId="7" xfId="3" applyNumberFormat="1" applyFont="1" applyFill="1" applyBorder="1" applyAlignment="1" applyProtection="1">
      <alignment horizontal="center" vertical="center"/>
      <protection locked="0"/>
    </xf>
    <xf numFmtId="10" fontId="12" fillId="13" borderId="11" xfId="3" applyNumberFormat="1" applyFont="1" applyFill="1" applyBorder="1" applyAlignment="1" applyProtection="1">
      <alignment horizontal="center" vertical="center"/>
      <protection locked="0"/>
    </xf>
    <xf numFmtId="37" fontId="25" fillId="13" borderId="49" xfId="1" applyNumberFormat="1" applyFont="1" applyFill="1" applyBorder="1" applyAlignment="1" applyProtection="1">
      <alignment vertical="center"/>
      <protection locked="0"/>
    </xf>
    <xf numFmtId="37" fontId="25" fillId="13" borderId="28" xfId="1" applyNumberFormat="1" applyFont="1" applyFill="1" applyBorder="1" applyAlignment="1" applyProtection="1">
      <alignment vertical="center"/>
      <protection locked="0"/>
    </xf>
    <xf numFmtId="37" fontId="25" fillId="13" borderId="19" xfId="1" applyNumberFormat="1" applyFont="1" applyFill="1" applyBorder="1" applyAlignment="1" applyProtection="1">
      <alignment vertical="center"/>
      <protection locked="0"/>
    </xf>
    <xf numFmtId="0" fontId="12" fillId="0" borderId="0" xfId="0" applyFont="1" applyBorder="1" applyProtection="1"/>
    <xf numFmtId="0" fontId="38" fillId="10" borderId="22" xfId="0" applyFont="1" applyFill="1" applyBorder="1" applyAlignment="1">
      <alignment horizontal="center" vertical="center" wrapText="1"/>
    </xf>
    <xf numFmtId="38" fontId="12" fillId="5" borderId="26" xfId="1" applyNumberFormat="1" applyFont="1" applyFill="1" applyBorder="1" applyAlignment="1" applyProtection="1">
      <alignment horizontal="center"/>
    </xf>
    <xf numFmtId="10" fontId="12" fillId="5" borderId="23" xfId="3" applyNumberFormat="1" applyFont="1" applyFill="1" applyBorder="1" applyAlignment="1" applyProtection="1">
      <alignment horizontal="center"/>
    </xf>
    <xf numFmtId="165" fontId="1" fillId="9" borderId="5" xfId="0" applyNumberFormat="1" applyFont="1" applyFill="1" applyBorder="1"/>
    <xf numFmtId="9" fontId="1" fillId="9" borderId="0" xfId="3" applyFont="1" applyFill="1" applyBorder="1"/>
    <xf numFmtId="165" fontId="6" fillId="13" borderId="7" xfId="3" applyNumberFormat="1" applyFont="1" applyFill="1" applyBorder="1" applyAlignment="1" applyProtection="1">
      <alignment horizontal="center"/>
      <protection locked="0"/>
    </xf>
    <xf numFmtId="38" fontId="51" fillId="0" borderId="5" xfId="0" applyNumberFormat="1" applyFont="1" applyBorder="1" applyAlignment="1">
      <alignment horizontal="center" vertical="center" wrapText="1"/>
    </xf>
    <xf numFmtId="0" fontId="51" fillId="11" borderId="3" xfId="0" applyFont="1" applyFill="1" applyBorder="1" applyAlignment="1">
      <alignment horizontal="center" vertical="center"/>
    </xf>
    <xf numFmtId="38" fontId="51" fillId="11" borderId="3" xfId="0" applyNumberFormat="1" applyFont="1" applyFill="1" applyBorder="1" applyAlignment="1">
      <alignment horizontal="center" vertical="center"/>
    </xf>
    <xf numFmtId="164" fontId="4" fillId="5" borderId="26" xfId="1" applyNumberFormat="1" applyFont="1" applyFill="1" applyBorder="1"/>
    <xf numFmtId="164" fontId="4" fillId="5" borderId="25" xfId="1" applyNumberFormat="1" applyFont="1" applyFill="1" applyBorder="1"/>
    <xf numFmtId="0" fontId="38" fillId="10" borderId="27" xfId="0" applyFont="1" applyFill="1" applyBorder="1" applyAlignment="1">
      <alignment horizontal="center" vertical="center" wrapText="1"/>
    </xf>
    <xf numFmtId="0" fontId="25" fillId="5" borderId="6" xfId="0" applyFont="1" applyFill="1" applyBorder="1" applyAlignment="1" applyProtection="1">
      <alignment horizontal="center" vertical="top" wrapText="1"/>
    </xf>
    <xf numFmtId="0" fontId="25" fillId="5" borderId="37" xfId="0" applyFont="1" applyFill="1" applyBorder="1" applyAlignment="1" applyProtection="1">
      <alignment horizontal="center" vertical="top" wrapText="1"/>
    </xf>
    <xf numFmtId="164" fontId="4" fillId="9" borderId="49" xfId="1" applyNumberFormat="1" applyFont="1" applyFill="1" applyBorder="1"/>
    <xf numFmtId="164" fontId="4" fillId="9" borderId="50" xfId="1" applyNumberFormat="1" applyFont="1" applyFill="1" applyBorder="1"/>
    <xf numFmtId="164" fontId="4" fillId="9" borderId="28" xfId="1" applyNumberFormat="1" applyFont="1" applyFill="1" applyBorder="1"/>
    <xf numFmtId="164" fontId="4" fillId="9" borderId="36" xfId="1" applyNumberFormat="1" applyFont="1" applyFill="1" applyBorder="1"/>
    <xf numFmtId="164" fontId="4" fillId="9" borderId="29" xfId="1" applyNumberFormat="1" applyFont="1" applyFill="1" applyBorder="1"/>
    <xf numFmtId="164" fontId="4" fillId="9" borderId="31" xfId="1" applyNumberFormat="1" applyFont="1" applyFill="1" applyBorder="1"/>
    <xf numFmtId="3" fontId="4" fillId="8" borderId="58" xfId="1" applyNumberFormat="1" applyFont="1" applyFill="1" applyBorder="1" applyAlignment="1" applyProtection="1">
      <alignment horizontal="center" vertical="center" wrapText="1"/>
    </xf>
    <xf numFmtId="3" fontId="4" fillId="8" borderId="59" xfId="1" applyNumberFormat="1" applyFont="1" applyFill="1" applyBorder="1" applyAlignment="1" applyProtection="1">
      <alignment horizontal="center" vertical="center" wrapText="1"/>
    </xf>
    <xf numFmtId="3" fontId="4" fillId="8" borderId="57" xfId="1" applyNumberFormat="1" applyFont="1" applyFill="1" applyBorder="1" applyAlignment="1" applyProtection="1">
      <alignment horizontal="left" vertical="center" wrapText="1"/>
    </xf>
    <xf numFmtId="3" fontId="4" fillId="8" borderId="58" xfId="1" quotePrefix="1" applyNumberFormat="1" applyFont="1" applyFill="1" applyBorder="1" applyAlignment="1" applyProtection="1">
      <alignment horizontal="left" vertical="center" wrapText="1"/>
    </xf>
    <xf numFmtId="3" fontId="4" fillId="8" borderId="58" xfId="1" applyNumberFormat="1" applyFont="1" applyFill="1" applyBorder="1" applyAlignment="1" applyProtection="1">
      <alignment horizontal="left" vertical="center" wrapText="1"/>
    </xf>
    <xf numFmtId="3" fontId="4" fillId="8" borderId="59" xfId="1" applyNumberFormat="1" applyFont="1" applyFill="1" applyBorder="1" applyAlignment="1" applyProtection="1">
      <alignment horizontal="left" vertical="center" wrapText="1"/>
    </xf>
    <xf numFmtId="3" fontId="4" fillId="8" borderId="49" xfId="0" applyNumberFormat="1" applyFont="1" applyFill="1" applyBorder="1" applyAlignment="1">
      <alignment horizontal="center" vertical="center" wrapText="1"/>
    </xf>
    <xf numFmtId="3" fontId="4" fillId="8" borderId="3" xfId="1" applyNumberFormat="1" applyFont="1" applyFill="1" applyBorder="1" applyAlignment="1" applyProtection="1">
      <alignment horizontal="center" vertical="center" wrapText="1"/>
    </xf>
    <xf numFmtId="3" fontId="24" fillId="5" borderId="47" xfId="1" applyNumberFormat="1" applyFont="1" applyFill="1" applyBorder="1" applyAlignment="1" applyProtection="1">
      <alignment horizontal="center" vertical="center" wrapText="1"/>
    </xf>
    <xf numFmtId="3" fontId="4" fillId="8" borderId="49" xfId="1" applyNumberFormat="1" applyFont="1" applyFill="1" applyBorder="1" applyAlignment="1" applyProtection="1">
      <alignment horizontal="center" vertical="center" wrapText="1"/>
    </xf>
    <xf numFmtId="3" fontId="4" fillId="8" borderId="28" xfId="1" applyNumberFormat="1" applyFont="1" applyFill="1" applyBorder="1" applyAlignment="1" applyProtection="1">
      <alignment horizontal="center" vertical="center" wrapText="1"/>
    </xf>
    <xf numFmtId="3" fontId="4" fillId="8" borderId="19" xfId="1" applyNumberFormat="1" applyFont="1" applyFill="1" applyBorder="1" applyAlignment="1" applyProtection="1">
      <alignment horizontal="center" vertical="center" wrapText="1"/>
    </xf>
    <xf numFmtId="3" fontId="4" fillId="8" borderId="3" xfId="1" applyNumberFormat="1" applyFont="1" applyFill="1" applyBorder="1" applyAlignment="1" applyProtection="1">
      <alignment horizontal="left" vertical="center" wrapText="1"/>
    </xf>
    <xf numFmtId="3" fontId="4" fillId="8" borderId="5" xfId="1" quotePrefix="1" applyNumberFormat="1" applyFont="1" applyFill="1" applyBorder="1" applyAlignment="1" applyProtection="1">
      <alignment horizontal="left" vertical="center" wrapText="1"/>
    </xf>
    <xf numFmtId="3" fontId="4" fillId="8" borderId="5" xfId="1" applyNumberFormat="1" applyFont="1" applyFill="1" applyBorder="1" applyAlignment="1" applyProtection="1">
      <alignment horizontal="left" vertical="center" wrapText="1"/>
    </xf>
    <xf numFmtId="3" fontId="4" fillId="8" borderId="14" xfId="1" applyNumberFormat="1" applyFont="1" applyFill="1" applyBorder="1" applyAlignment="1" applyProtection="1">
      <alignment horizontal="left" vertical="center" wrapText="1"/>
    </xf>
    <xf numFmtId="3" fontId="4" fillId="8" borderId="5" xfId="1" quotePrefix="1" applyNumberFormat="1" applyFont="1" applyFill="1" applyBorder="1" applyAlignment="1" applyProtection="1">
      <alignment horizontal="center" vertical="center" wrapText="1"/>
    </xf>
    <xf numFmtId="0" fontId="25" fillId="6" borderId="44" xfId="0" applyFont="1" applyFill="1" applyBorder="1" applyAlignment="1" applyProtection="1">
      <alignment horizontal="left" vertical="center"/>
      <protection locked="0"/>
    </xf>
    <xf numFmtId="3" fontId="36" fillId="0" borderId="0" xfId="1" applyNumberFormat="1" applyFont="1" applyFill="1" applyBorder="1" applyAlignment="1" applyProtection="1">
      <alignment horizontal="center" vertical="center" wrapText="1"/>
    </xf>
    <xf numFmtId="0" fontId="46" fillId="8" borderId="0" xfId="0" applyFont="1" applyFill="1" applyAlignment="1">
      <alignment horizontal="left" vertical="top" wrapText="1"/>
    </xf>
    <xf numFmtId="49" fontId="12" fillId="6" borderId="15" xfId="0" applyNumberFormat="1" applyFont="1" applyFill="1" applyBorder="1" applyAlignment="1" applyProtection="1">
      <alignment horizontal="center" vertical="center"/>
      <protection locked="0"/>
    </xf>
    <xf numFmtId="0" fontId="42" fillId="10" borderId="6" xfId="0" applyFont="1" applyFill="1" applyBorder="1" applyAlignment="1">
      <alignment horizontal="center" vertical="center"/>
    </xf>
    <xf numFmtId="0" fontId="42" fillId="10" borderId="1" xfId="0" applyFont="1" applyFill="1" applyBorder="1" applyAlignment="1">
      <alignment horizontal="center" vertical="center"/>
    </xf>
    <xf numFmtId="0" fontId="42" fillId="10" borderId="7" xfId="0" applyFont="1" applyFill="1" applyBorder="1" applyAlignment="1">
      <alignment horizontal="center" vertical="center"/>
    </xf>
    <xf numFmtId="0" fontId="4" fillId="5" borderId="6"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7" xfId="0" applyFont="1" applyFill="1" applyBorder="1" applyAlignment="1">
      <alignment horizontal="left" vertical="center" wrapText="1"/>
    </xf>
    <xf numFmtId="0" fontId="63" fillId="10" borderId="52" xfId="0" applyFont="1" applyFill="1" applyBorder="1" applyAlignment="1" applyProtection="1">
      <alignment horizontal="center" vertical="center"/>
    </xf>
    <xf numFmtId="0" fontId="63" fillId="10" borderId="38" xfId="0" applyFont="1" applyFill="1" applyBorder="1" applyAlignment="1" applyProtection="1">
      <alignment horizontal="center" vertical="center"/>
    </xf>
    <xf numFmtId="0" fontId="63" fillId="10" borderId="48" xfId="0" applyFont="1" applyFill="1" applyBorder="1" applyAlignment="1" applyProtection="1">
      <alignment horizontal="center" vertical="center"/>
    </xf>
    <xf numFmtId="0" fontId="63" fillId="10" borderId="21" xfId="0" applyFont="1" applyFill="1" applyBorder="1" applyAlignment="1" applyProtection="1">
      <alignment horizontal="center" vertical="center"/>
    </xf>
    <xf numFmtId="0" fontId="63" fillId="10" borderId="24" xfId="0" applyFont="1" applyFill="1" applyBorder="1" applyAlignment="1" applyProtection="1">
      <alignment horizontal="center" vertical="center"/>
    </xf>
    <xf numFmtId="0" fontId="63" fillId="10" borderId="25" xfId="0" applyFont="1" applyFill="1" applyBorder="1" applyAlignment="1" applyProtection="1">
      <alignment horizontal="center" vertical="center"/>
    </xf>
    <xf numFmtId="0" fontId="25" fillId="5" borderId="37" xfId="0" applyFont="1" applyFill="1" applyBorder="1" applyAlignment="1" applyProtection="1">
      <alignment horizontal="left" vertical="top" wrapText="1"/>
    </xf>
    <xf numFmtId="0" fontId="25" fillId="5" borderId="43" xfId="0" applyFont="1" applyFill="1" applyBorder="1" applyAlignment="1" applyProtection="1">
      <alignment horizontal="left" vertical="top" wrapText="1"/>
    </xf>
    <xf numFmtId="0" fontId="25" fillId="5" borderId="12" xfId="0" applyFont="1" applyFill="1" applyBorder="1" applyAlignment="1" applyProtection="1">
      <alignment horizontal="left" vertical="top" wrapText="1"/>
    </xf>
    <xf numFmtId="0" fontId="25" fillId="5" borderId="30" xfId="0" applyFont="1" applyFill="1" applyBorder="1" applyAlignment="1" applyProtection="1">
      <alignment horizontal="left" vertical="top" wrapText="1"/>
    </xf>
    <xf numFmtId="0" fontId="25" fillId="5" borderId="8" xfId="0" applyFont="1" applyFill="1" applyBorder="1" applyAlignment="1" applyProtection="1">
      <alignment horizontal="left" vertical="top" wrapText="1"/>
    </xf>
    <xf numFmtId="0" fontId="25" fillId="5" borderId="9" xfId="0" applyFont="1" applyFill="1" applyBorder="1" applyAlignment="1" applyProtection="1">
      <alignment horizontal="left" vertical="top" wrapText="1"/>
    </xf>
    <xf numFmtId="0" fontId="38" fillId="10" borderId="32" xfId="0" applyFont="1" applyFill="1" applyBorder="1" applyAlignment="1">
      <alignment horizontal="center" vertical="center" wrapText="1"/>
    </xf>
    <xf numFmtId="0" fontId="38" fillId="10" borderId="39" xfId="0" applyFont="1" applyFill="1" applyBorder="1" applyAlignment="1">
      <alignment horizontal="center" vertical="center" wrapText="1"/>
    </xf>
    <xf numFmtId="0" fontId="25" fillId="5" borderId="6" xfId="0" applyFont="1" applyFill="1" applyBorder="1" applyAlignment="1" applyProtection="1">
      <alignment horizontal="left" vertical="top" wrapText="1"/>
    </xf>
    <xf numFmtId="0" fontId="25" fillId="5" borderId="7" xfId="0" applyFont="1" applyFill="1" applyBorder="1" applyAlignment="1" applyProtection="1">
      <alignment horizontal="left" vertical="top" wrapText="1"/>
    </xf>
    <xf numFmtId="0" fontId="25" fillId="5" borderId="5" xfId="0" applyFont="1" applyFill="1" applyBorder="1" applyAlignment="1" applyProtection="1">
      <alignment horizontal="left" vertical="top" wrapText="1"/>
    </xf>
    <xf numFmtId="0" fontId="44" fillId="10" borderId="21" xfId="0" applyFont="1" applyFill="1" applyBorder="1" applyAlignment="1">
      <alignment horizontal="center" vertical="center" wrapText="1"/>
    </xf>
    <xf numFmtId="0" fontId="44" fillId="10" borderId="24" xfId="0" applyFont="1" applyFill="1" applyBorder="1" applyAlignment="1">
      <alignment horizontal="center" vertical="center" wrapText="1"/>
    </xf>
    <xf numFmtId="0" fontId="44" fillId="10" borderId="25" xfId="0" applyFont="1" applyFill="1" applyBorder="1" applyAlignment="1">
      <alignment horizontal="center" vertical="center" wrapText="1"/>
    </xf>
    <xf numFmtId="0" fontId="38" fillId="10" borderId="22" xfId="0" applyFont="1" applyFill="1" applyBorder="1" applyAlignment="1">
      <alignment horizontal="center" vertical="center" wrapText="1"/>
    </xf>
    <xf numFmtId="0" fontId="25" fillId="5" borderId="3" xfId="0" applyFont="1" applyFill="1" applyBorder="1" applyAlignment="1" applyProtection="1">
      <alignment horizontal="left" vertical="top" wrapText="1"/>
    </xf>
    <xf numFmtId="0" fontId="25" fillId="5" borderId="14" xfId="0" applyFont="1" applyFill="1" applyBorder="1" applyAlignment="1" applyProtection="1">
      <alignment horizontal="left" vertical="top" wrapText="1"/>
    </xf>
    <xf numFmtId="0" fontId="13" fillId="5" borderId="15" xfId="0" applyNumberFormat="1" applyFont="1" applyFill="1" applyBorder="1" applyAlignment="1">
      <alignment horizontal="left"/>
    </xf>
    <xf numFmtId="0" fontId="6" fillId="0" borderId="6" xfId="0" applyFont="1" applyFill="1" applyBorder="1" applyAlignment="1">
      <alignment horizontal="left"/>
    </xf>
    <xf numFmtId="0" fontId="6" fillId="0" borderId="1" xfId="0" applyFont="1" applyFill="1" applyBorder="1" applyAlignment="1">
      <alignment horizontal="left"/>
    </xf>
    <xf numFmtId="0" fontId="6" fillId="0" borderId="7" xfId="0" applyFont="1" applyFill="1" applyBorder="1" applyAlignment="1">
      <alignment horizontal="left"/>
    </xf>
    <xf numFmtId="0" fontId="16" fillId="8" borderId="0" xfId="0" applyFont="1" applyFill="1" applyAlignment="1">
      <alignment horizontal="left" vertical="top" wrapText="1"/>
    </xf>
    <xf numFmtId="0" fontId="12" fillId="0" borderId="0" xfId="0" applyFont="1" applyAlignment="1">
      <alignment horizontal="center"/>
    </xf>
    <xf numFmtId="0" fontId="6" fillId="0" borderId="6" xfId="0" applyFont="1" applyBorder="1" applyAlignment="1">
      <alignment horizontal="left"/>
    </xf>
    <xf numFmtId="0" fontId="6" fillId="0" borderId="1" xfId="0" applyFont="1" applyBorder="1" applyAlignment="1">
      <alignment horizontal="left"/>
    </xf>
    <xf numFmtId="0" fontId="6" fillId="0" borderId="7" xfId="0" applyFont="1" applyBorder="1" applyAlignment="1">
      <alignment horizontal="left"/>
    </xf>
    <xf numFmtId="0" fontId="43" fillId="10" borderId="21" xfId="0" applyFont="1" applyFill="1" applyBorder="1" applyAlignment="1">
      <alignment horizontal="center" vertical="center"/>
    </xf>
    <xf numFmtId="0" fontId="43" fillId="10" borderId="24" xfId="0" applyFont="1" applyFill="1" applyBorder="1" applyAlignment="1">
      <alignment horizontal="center" vertical="center"/>
    </xf>
    <xf numFmtId="0" fontId="43" fillId="10" borderId="25" xfId="0" applyFont="1" applyFill="1" applyBorder="1" applyAlignment="1">
      <alignment horizontal="center" vertical="center"/>
    </xf>
    <xf numFmtId="0" fontId="18" fillId="0" borderId="5"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9" fillId="5" borderId="5" xfId="0" applyFont="1" applyFill="1" applyBorder="1" applyAlignment="1">
      <alignment horizontal="left" vertical="center" wrapText="1"/>
    </xf>
    <xf numFmtId="0" fontId="44" fillId="10" borderId="21" xfId="0" applyFont="1" applyFill="1" applyBorder="1" applyAlignment="1">
      <alignment horizontal="center" vertical="center"/>
    </xf>
    <xf numFmtId="0" fontId="44" fillId="10" borderId="24" xfId="0" applyFont="1" applyFill="1" applyBorder="1" applyAlignment="1">
      <alignment horizontal="center" vertical="center"/>
    </xf>
    <xf numFmtId="0" fontId="44" fillId="10" borderId="25" xfId="0" applyFont="1" applyFill="1" applyBorder="1" applyAlignment="1">
      <alignment horizontal="center" vertical="center"/>
    </xf>
    <xf numFmtId="0" fontId="25" fillId="5" borderId="6" xfId="0" applyFont="1" applyFill="1" applyBorder="1" applyAlignment="1">
      <alignment vertical="top"/>
    </xf>
    <xf numFmtId="0" fontId="25" fillId="5" borderId="7" xfId="0" applyFont="1" applyFill="1" applyBorder="1" applyAlignment="1">
      <alignment vertical="top"/>
    </xf>
    <xf numFmtId="0" fontId="25" fillId="5" borderId="10" xfId="0" applyFont="1" applyFill="1" applyBorder="1" applyAlignment="1">
      <alignment vertical="top"/>
    </xf>
    <xf numFmtId="0" fontId="25" fillId="5" borderId="11" xfId="0" applyFont="1" applyFill="1" applyBorder="1" applyAlignment="1">
      <alignment vertical="top"/>
    </xf>
    <xf numFmtId="0" fontId="53" fillId="5" borderId="6" xfId="0" applyFont="1" applyFill="1" applyBorder="1" applyAlignment="1">
      <alignment horizontal="left" vertical="center" wrapText="1"/>
    </xf>
    <xf numFmtId="0" fontId="53" fillId="5" borderId="1" xfId="0" applyFont="1" applyFill="1" applyBorder="1" applyAlignment="1">
      <alignment horizontal="left" vertical="center" wrapText="1"/>
    </xf>
    <xf numFmtId="0" fontId="53" fillId="5" borderId="7" xfId="0" applyFont="1" applyFill="1" applyBorder="1" applyAlignment="1">
      <alignment horizontal="left" vertical="center" wrapText="1"/>
    </xf>
    <xf numFmtId="0" fontId="18" fillId="0" borderId="5" xfId="0" applyFont="1" applyFill="1" applyBorder="1" applyAlignment="1">
      <alignment horizontal="left" vertical="top" wrapText="1"/>
    </xf>
    <xf numFmtId="167" fontId="38" fillId="10" borderId="6" xfId="0" applyNumberFormat="1" applyFont="1" applyFill="1" applyBorder="1" applyAlignment="1">
      <alignment horizontal="left" vertical="center" wrapText="1"/>
    </xf>
    <xf numFmtId="167" fontId="38" fillId="10" borderId="1" xfId="0" applyNumberFormat="1" applyFont="1" applyFill="1" applyBorder="1" applyAlignment="1">
      <alignment horizontal="left" vertical="center" wrapText="1"/>
    </xf>
    <xf numFmtId="0" fontId="38" fillId="10" borderId="6" xfId="0" applyFont="1" applyFill="1" applyBorder="1" applyAlignment="1">
      <alignment horizontal="left" vertical="center"/>
    </xf>
    <xf numFmtId="0" fontId="38" fillId="10" borderId="1" xfId="0" applyFont="1" applyFill="1" applyBorder="1" applyAlignment="1">
      <alignment horizontal="left" vertical="center"/>
    </xf>
    <xf numFmtId="0" fontId="38" fillId="10" borderId="7" xfId="0" applyFont="1" applyFill="1" applyBorder="1" applyAlignment="1">
      <alignment horizontal="left" vertical="center"/>
    </xf>
    <xf numFmtId="0" fontId="50" fillId="0" borderId="5" xfId="0" applyFont="1" applyFill="1" applyBorder="1" applyAlignment="1">
      <alignment horizontal="left" vertical="center" wrapText="1"/>
    </xf>
    <xf numFmtId="0" fontId="25" fillId="5" borderId="37" xfId="0" applyFont="1" applyFill="1" applyBorder="1" applyAlignment="1">
      <alignment vertical="top" wrapText="1"/>
    </xf>
    <xf numFmtId="0" fontId="25" fillId="5" borderId="43" xfId="0" applyFont="1" applyFill="1" applyBorder="1" applyAlignment="1">
      <alignment vertical="top" wrapText="1"/>
    </xf>
    <xf numFmtId="0" fontId="6" fillId="0" borderId="0" xfId="0" applyFont="1" applyBorder="1" applyAlignment="1">
      <alignment horizontal="left"/>
    </xf>
    <xf numFmtId="0" fontId="6" fillId="0" borderId="5" xfId="0" applyFont="1" applyBorder="1" applyAlignment="1">
      <alignment horizontal="left"/>
    </xf>
    <xf numFmtId="0" fontId="38" fillId="10" borderId="5" xfId="0" applyFont="1" applyFill="1" applyBorder="1" applyAlignment="1">
      <alignment horizontal="center" vertical="center" wrapText="1"/>
    </xf>
    <xf numFmtId="0" fontId="25" fillId="5" borderId="6" xfId="0" applyFont="1" applyFill="1" applyBorder="1" applyAlignment="1" applyProtection="1">
      <alignment vertical="top" wrapText="1"/>
    </xf>
    <xf numFmtId="0" fontId="25" fillId="5" borderId="7" xfId="0" applyFont="1" applyFill="1" applyBorder="1" applyAlignment="1" applyProtection="1">
      <alignment vertical="top" wrapText="1"/>
    </xf>
    <xf numFmtId="0" fontId="16" fillId="4" borderId="15" xfId="0" applyFont="1" applyFill="1" applyBorder="1" applyAlignment="1" applyProtection="1">
      <alignment horizontal="center"/>
      <protection locked="0"/>
    </xf>
    <xf numFmtId="0" fontId="16" fillId="4" borderId="1" xfId="0" applyFont="1" applyFill="1" applyBorder="1" applyAlignment="1" applyProtection="1">
      <alignment horizontal="center"/>
      <protection locked="0"/>
    </xf>
    <xf numFmtId="0" fontId="16" fillId="0" borderId="15" xfId="0" applyNumberFormat="1" applyFont="1" applyBorder="1" applyAlignment="1">
      <alignment horizontal="center"/>
    </xf>
    <xf numFmtId="0" fontId="6" fillId="0" borderId="0" xfId="0" applyFont="1" applyBorder="1" applyAlignment="1">
      <alignment horizontal="left" vertical="top" wrapText="1"/>
    </xf>
    <xf numFmtId="0" fontId="16" fillId="6" borderId="15" xfId="0" applyFont="1" applyFill="1" applyBorder="1" applyAlignment="1" applyProtection="1">
      <alignment horizontal="center"/>
      <protection locked="0"/>
    </xf>
    <xf numFmtId="0" fontId="25" fillId="5" borderId="37" xfId="0" applyFont="1" applyFill="1" applyBorder="1" applyAlignment="1" applyProtection="1">
      <alignment vertical="top" wrapText="1"/>
    </xf>
    <xf numFmtId="0" fontId="25" fillId="5" borderId="43" xfId="0" applyFont="1" applyFill="1" applyBorder="1" applyAlignment="1" applyProtection="1">
      <alignment vertical="top" wrapText="1"/>
    </xf>
    <xf numFmtId="0" fontId="40" fillId="9" borderId="15" xfId="0" applyNumberFormat="1" applyFont="1" applyFill="1" applyBorder="1" applyAlignment="1">
      <alignment horizontal="left"/>
    </xf>
    <xf numFmtId="0" fontId="25" fillId="9" borderId="0" xfId="0" applyFont="1" applyFill="1" applyAlignment="1">
      <alignment horizontal="left" vertical="top" wrapText="1"/>
    </xf>
    <xf numFmtId="0" fontId="38" fillId="10" borderId="17" xfId="0" applyFont="1" applyFill="1" applyBorder="1" applyAlignment="1">
      <alignment horizontal="center" vertical="center" wrapText="1"/>
    </xf>
    <xf numFmtId="0" fontId="62" fillId="10" borderId="16" xfId="0" applyFont="1" applyFill="1" applyBorder="1" applyAlignment="1">
      <alignment horizontal="center"/>
    </xf>
    <xf numFmtId="0" fontId="62" fillId="10" borderId="17" xfId="0" applyFont="1" applyFill="1" applyBorder="1" applyAlignment="1">
      <alignment horizontal="center"/>
    </xf>
    <xf numFmtId="0" fontId="62" fillId="10" borderId="27" xfId="0" applyFont="1" applyFill="1" applyBorder="1" applyAlignment="1">
      <alignment horizontal="center"/>
    </xf>
    <xf numFmtId="0" fontId="62" fillId="10" borderId="18" xfId="0" applyFont="1" applyFill="1" applyBorder="1" applyAlignment="1">
      <alignment horizontal="center"/>
    </xf>
    <xf numFmtId="0" fontId="62" fillId="10" borderId="19" xfId="0" applyFont="1" applyFill="1" applyBorder="1" applyAlignment="1">
      <alignment horizontal="center"/>
    </xf>
    <xf numFmtId="0" fontId="62" fillId="10" borderId="14" xfId="0" applyFont="1" applyFill="1" applyBorder="1" applyAlignment="1">
      <alignment horizontal="center"/>
    </xf>
    <xf numFmtId="0" fontId="62" fillId="10" borderId="53" xfId="0" applyFont="1" applyFill="1" applyBorder="1" applyAlignment="1">
      <alignment horizontal="center"/>
    </xf>
    <xf numFmtId="0" fontId="62" fillId="10" borderId="55" xfId="0" applyFont="1" applyFill="1" applyBorder="1" applyAlignment="1">
      <alignment horizontal="center"/>
    </xf>
    <xf numFmtId="0" fontId="62" fillId="10" borderId="43" xfId="0" applyFont="1" applyFill="1" applyBorder="1" applyAlignment="1">
      <alignment horizontal="center"/>
    </xf>
    <xf numFmtId="0" fontId="62" fillId="10" borderId="37" xfId="0" applyFont="1" applyFill="1" applyBorder="1" applyAlignment="1">
      <alignment horizontal="center"/>
    </xf>
    <xf numFmtId="0" fontId="62" fillId="10" borderId="59" xfId="0" applyFont="1" applyFill="1" applyBorder="1" applyAlignment="1">
      <alignment horizontal="center"/>
    </xf>
    <xf numFmtId="0" fontId="62" fillId="10" borderId="21" xfId="0" applyFont="1" applyFill="1" applyBorder="1" applyAlignment="1">
      <alignment horizontal="center"/>
    </xf>
    <xf numFmtId="0" fontId="62" fillId="10" borderId="25" xfId="0" applyFont="1" applyFill="1" applyBorder="1" applyAlignment="1">
      <alignment horizontal="center"/>
    </xf>
    <xf numFmtId="0" fontId="12" fillId="3" borderId="6" xfId="0" applyFont="1" applyFill="1" applyBorder="1" applyAlignment="1" applyProtection="1">
      <alignment horizontal="left"/>
    </xf>
    <xf numFmtId="0" fontId="12" fillId="3" borderId="7" xfId="0" applyFont="1" applyFill="1" applyBorder="1" applyAlignment="1" applyProtection="1">
      <alignment horizontal="left"/>
    </xf>
    <xf numFmtId="0" fontId="25" fillId="5" borderId="42" xfId="0" applyFont="1" applyFill="1" applyBorder="1" applyAlignment="1" applyProtection="1">
      <alignment horizontal="left" vertical="center"/>
    </xf>
    <xf numFmtId="38" fontId="6" fillId="13" borderId="11" xfId="0" applyNumberFormat="1" applyFont="1" applyFill="1" applyBorder="1" applyProtection="1">
      <protection locked="0"/>
    </xf>
    <xf numFmtId="38" fontId="6" fillId="13" borderId="3" xfId="0" applyNumberFormat="1" applyFont="1" applyFill="1" applyBorder="1" applyProtection="1">
      <protection locked="0"/>
    </xf>
    <xf numFmtId="166" fontId="6" fillId="13" borderId="3" xfId="3" applyNumberFormat="1" applyFont="1" applyFill="1" applyBorder="1" applyProtection="1">
      <protection locked="0"/>
    </xf>
    <xf numFmtId="166" fontId="6" fillId="13" borderId="50" xfId="3" applyNumberFormat="1" applyFont="1" applyFill="1" applyBorder="1" applyProtection="1">
      <protection locked="0"/>
    </xf>
    <xf numFmtId="38" fontId="6" fillId="13" borderId="7" xfId="0" applyNumberFormat="1" applyFont="1" applyFill="1" applyBorder="1" applyProtection="1">
      <protection locked="0"/>
    </xf>
    <xf numFmtId="38" fontId="6" fillId="13" borderId="5" xfId="0" applyNumberFormat="1" applyFont="1" applyFill="1" applyBorder="1" applyProtection="1">
      <protection locked="0"/>
    </xf>
    <xf numFmtId="166" fontId="6" fillId="13" borderId="5" xfId="3" applyNumberFormat="1" applyFont="1" applyFill="1" applyBorder="1" applyProtection="1">
      <protection locked="0"/>
    </xf>
    <xf numFmtId="166" fontId="6" fillId="13" borderId="36" xfId="3" applyNumberFormat="1" applyFont="1" applyFill="1" applyBorder="1" applyProtection="1">
      <protection locked="0"/>
    </xf>
    <xf numFmtId="38" fontId="6" fillId="13" borderId="43" xfId="0" applyNumberFormat="1" applyFont="1" applyFill="1" applyBorder="1" applyProtection="1">
      <protection locked="0"/>
    </xf>
    <xf numFmtId="38" fontId="6" fillId="13" borderId="14" xfId="0" applyNumberFormat="1" applyFont="1" applyFill="1" applyBorder="1" applyProtection="1">
      <protection locked="0"/>
    </xf>
    <xf numFmtId="166" fontId="6" fillId="13" borderId="14" xfId="3" applyNumberFormat="1" applyFont="1" applyFill="1" applyBorder="1" applyProtection="1">
      <protection locked="0"/>
    </xf>
    <xf numFmtId="166" fontId="6" fillId="13" borderId="35" xfId="3" applyNumberFormat="1" applyFont="1" applyFill="1" applyBorder="1" applyProtection="1">
      <protection locked="0"/>
    </xf>
    <xf numFmtId="6" fontId="6" fillId="13" borderId="57" xfId="0" applyNumberFormat="1" applyFont="1" applyFill="1" applyBorder="1" applyProtection="1">
      <protection locked="0"/>
    </xf>
    <xf numFmtId="6" fontId="6" fillId="13" borderId="49" xfId="0" applyNumberFormat="1" applyFont="1" applyFill="1" applyBorder="1" applyProtection="1">
      <protection locked="0"/>
    </xf>
    <xf numFmtId="6" fontId="6" fillId="13" borderId="3" xfId="0" applyNumberFormat="1" applyFont="1" applyFill="1" applyBorder="1" applyProtection="1">
      <protection locked="0"/>
    </xf>
    <xf numFmtId="6" fontId="6" fillId="13" borderId="58" xfId="0" applyNumberFormat="1" applyFont="1" applyFill="1" applyBorder="1" applyProtection="1">
      <protection locked="0"/>
    </xf>
    <xf numFmtId="6" fontId="6" fillId="13" borderId="28" xfId="0" applyNumberFormat="1" applyFont="1" applyFill="1" applyBorder="1" applyProtection="1">
      <protection locked="0"/>
    </xf>
    <xf numFmtId="6" fontId="6" fillId="13" borderId="5" xfId="0" applyNumberFormat="1" applyFont="1" applyFill="1" applyBorder="1" applyProtection="1">
      <protection locked="0"/>
    </xf>
    <xf numFmtId="6" fontId="6" fillId="13" borderId="60" xfId="0" applyNumberFormat="1" applyFont="1" applyFill="1" applyBorder="1" applyProtection="1">
      <protection locked="0"/>
    </xf>
    <xf numFmtId="6" fontId="6" fillId="13" borderId="29" xfId="0" applyNumberFormat="1" applyFont="1" applyFill="1" applyBorder="1" applyProtection="1">
      <protection locked="0"/>
    </xf>
    <xf numFmtId="6" fontId="6" fillId="13" borderId="2" xfId="0" applyNumberFormat="1" applyFont="1" applyFill="1" applyBorder="1" applyProtection="1">
      <protection locked="0"/>
    </xf>
    <xf numFmtId="0" fontId="10" fillId="13" borderId="5" xfId="0" applyFont="1" applyFill="1" applyBorder="1" applyAlignment="1" applyProtection="1">
      <alignment horizontal="left" vertical="top"/>
      <protection locked="0"/>
    </xf>
    <xf numFmtId="1" fontId="6" fillId="5" borderId="7" xfId="3" applyNumberFormat="1" applyFont="1" applyFill="1" applyBorder="1" applyAlignment="1" applyProtection="1">
      <alignment horizontal="center"/>
    </xf>
    <xf numFmtId="165" fontId="6" fillId="5" borderId="7" xfId="3" applyNumberFormat="1" applyFont="1" applyFill="1" applyBorder="1" applyAlignment="1" applyProtection="1">
      <alignment horizontal="center"/>
    </xf>
    <xf numFmtId="9" fontId="6" fillId="5" borderId="7" xfId="3" applyFont="1" applyFill="1" applyBorder="1" applyAlignment="1" applyProtection="1">
      <alignment horizontal="center"/>
    </xf>
    <xf numFmtId="6" fontId="4" fillId="6" borderId="17" xfId="0" applyNumberFormat="1" applyFont="1" applyFill="1" applyBorder="1" applyProtection="1">
      <protection locked="0"/>
    </xf>
    <xf numFmtId="169" fontId="4" fillId="6" borderId="17" xfId="0" applyNumberFormat="1" applyFont="1" applyFill="1" applyBorder="1" applyProtection="1">
      <protection locked="0"/>
    </xf>
    <xf numFmtId="169" fontId="4" fillId="6" borderId="18" xfId="0" applyNumberFormat="1" applyFont="1" applyFill="1" applyBorder="1" applyProtection="1">
      <protection locked="0"/>
    </xf>
    <xf numFmtId="6" fontId="4" fillId="6" borderId="5" xfId="0" applyNumberFormat="1" applyFont="1" applyFill="1" applyBorder="1" applyProtection="1">
      <protection locked="0"/>
    </xf>
    <xf numFmtId="169" fontId="4" fillId="6" borderId="5" xfId="0" applyNumberFormat="1" applyFont="1" applyFill="1" applyBorder="1" applyProtection="1">
      <protection locked="0"/>
    </xf>
    <xf numFmtId="169" fontId="4" fillId="6" borderId="36" xfId="0" applyNumberFormat="1" applyFont="1" applyFill="1" applyBorder="1" applyProtection="1">
      <protection locked="0"/>
    </xf>
    <xf numFmtId="6" fontId="4" fillId="12" borderId="5" xfId="0" applyNumberFormat="1" applyFont="1" applyFill="1" applyBorder="1" applyProtection="1">
      <protection locked="0"/>
    </xf>
    <xf numFmtId="169" fontId="4" fillId="12" borderId="5" xfId="0" applyNumberFormat="1" applyFont="1" applyFill="1" applyBorder="1" applyProtection="1">
      <protection locked="0"/>
    </xf>
    <xf numFmtId="169" fontId="4" fillId="12" borderId="36" xfId="0" applyNumberFormat="1" applyFont="1" applyFill="1" applyBorder="1" applyProtection="1">
      <protection locked="0"/>
    </xf>
    <xf numFmtId="6" fontId="4" fillId="6" borderId="14" xfId="0" applyNumberFormat="1" applyFont="1" applyFill="1" applyBorder="1" applyProtection="1">
      <protection locked="0"/>
    </xf>
    <xf numFmtId="169" fontId="4" fillId="6" borderId="14" xfId="0" applyNumberFormat="1" applyFont="1" applyFill="1" applyBorder="1" applyProtection="1">
      <protection locked="0"/>
    </xf>
    <xf numFmtId="169" fontId="4" fillId="6" borderId="35" xfId="0" applyNumberFormat="1" applyFont="1" applyFill="1" applyBorder="1" applyProtection="1">
      <protection locked="0"/>
    </xf>
    <xf numFmtId="6" fontId="4" fillId="6" borderId="6" xfId="0" applyNumberFormat="1" applyFont="1" applyFill="1" applyBorder="1" applyProtection="1">
      <protection locked="0"/>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0"/>
  <tableStyles count="0" defaultTableStyle="TableStyleMedium2" defaultPivotStyle="PivotStyleLight16"/>
  <colors>
    <mruColors>
      <color rgb="FFFFFF99"/>
      <color rgb="FFFFFFA7"/>
      <color rgb="FFE3DAC9"/>
      <color rgb="FF31869B"/>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215264</xdr:colOff>
      <xdr:row>8</xdr:row>
      <xdr:rowOff>5714</xdr:rowOff>
    </xdr:from>
    <xdr:to>
      <xdr:col>10</xdr:col>
      <xdr:colOff>634365</xdr:colOff>
      <xdr:row>41</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5264" y="1529714"/>
          <a:ext cx="7381876" cy="6376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Instruction</a:t>
          </a:r>
          <a:r>
            <a:rPr lang="en-US" sz="2400" b="1" baseline="0"/>
            <a:t>s for completing Attachment C2</a:t>
          </a:r>
        </a:p>
        <a:p>
          <a:endParaRPr lang="en-US" sz="1100" baseline="0"/>
        </a:p>
        <a:p>
          <a:r>
            <a:rPr lang="en-US" sz="1100" b="1" baseline="0"/>
            <a:t>General instructions:</a:t>
          </a:r>
          <a:endParaRPr lang="en-US" sz="1100" baseline="0"/>
        </a:p>
        <a:p>
          <a:r>
            <a:rPr lang="en-US" sz="1100" baseline="0"/>
            <a:t>  - Complete one AttC2 form for your proposal</a:t>
          </a:r>
          <a:endParaRPr lang="en-US" sz="1100" baseline="0">
            <a:solidFill>
              <a:srgbClr val="FF0000"/>
            </a:solidFill>
          </a:endParaRPr>
        </a:p>
        <a:p>
          <a:r>
            <a:rPr lang="en-US" sz="1100" baseline="0"/>
            <a:t>  - Fill in all yellow cells that pertain to your project.</a:t>
          </a:r>
        </a:p>
        <a:p>
          <a:r>
            <a:rPr lang="en-US" sz="1100" baseline="0"/>
            <a:t>  - Do NOT alter gray cells. You may use unused cells for calculations.</a:t>
          </a:r>
        </a:p>
        <a:p>
          <a:r>
            <a:rPr lang="en-US" sz="1100" baseline="0"/>
            <a:t>  - Instructions and notes for each worksheet are shown at the top of the worksheet.</a:t>
          </a:r>
        </a:p>
        <a:p>
          <a:r>
            <a:rPr lang="en-US" sz="1100" baseline="0"/>
            <a:t>  - Some column headings have notes that explain what they mean. These are shown with a red triangle in the upper </a:t>
          </a:r>
        </a:p>
        <a:p>
          <a:r>
            <a:rPr lang="en-US" sz="1100" baseline="0"/>
            <a:t>      right hand corner of the cell. Hold your cursor over the cell to see the explanation. </a:t>
          </a:r>
        </a:p>
        <a:p>
          <a:endParaRPr lang="en-US" sz="1100" baseline="0"/>
        </a:p>
        <a:p>
          <a:r>
            <a:rPr lang="en-US" sz="1100" b="1" baseline="0"/>
            <a:t>Suggested steps for completing AttC2:</a:t>
          </a:r>
          <a:endParaRPr lang="en-US" sz="1100" baseline="0"/>
        </a:p>
        <a:p>
          <a:r>
            <a:rPr lang="en-US" sz="1100" baseline="0"/>
            <a:t>   1) Begin with the System Specification tab and fill in all pertinent information for your proposal in the yellow cells. </a:t>
          </a:r>
        </a:p>
        <a:p>
          <a:r>
            <a:rPr lang="en-US" sz="1100" baseline="0"/>
            <a:t>   2) Select the BESS Savings tab and fill in the yellow cells.</a:t>
          </a:r>
        </a:p>
        <a:p>
          <a:r>
            <a:rPr lang="en-US" sz="1100" baseline="0"/>
            <a:t>   3) Select the PeGu tab and fill in the yellow cells.</a:t>
          </a:r>
        </a:p>
        <a:p>
          <a:r>
            <a:rPr lang="en-US" sz="1100" baseline="0"/>
            <a:t>   4) Select the Microgrid Proposal tab and fill in the yellow cells. </a:t>
          </a:r>
        </a:p>
        <a:p>
          <a:r>
            <a:rPr lang="en-US" sz="1100" baseline="0"/>
            <a:t>   5) Select the Solar+Storage Proposal tab and fill in all yellow cells.</a:t>
          </a:r>
          <a:br>
            <a:rPr lang="en-US" sz="1100" baseline="0"/>
          </a:br>
          <a:r>
            <a:rPr lang="en-US" sz="1100" baseline="0"/>
            <a:t>   6) </a:t>
          </a:r>
          <a:r>
            <a:rPr lang="en-US" sz="1100" baseline="0">
              <a:solidFill>
                <a:sysClr val="windowText" lastClr="000000"/>
              </a:solidFill>
            </a:rPr>
            <a:t>Select the Solar-Only Proposal tab and fill in all yellow cells.</a:t>
          </a:r>
        </a:p>
        <a:p>
          <a:r>
            <a:rPr lang="en-US" sz="1100" baseline="0"/>
            <a:t>   7) Once all System Specifications, BESS Savings, PeGu, Microgrid Proposal, Solar+Storage Proposal, and Solar-Only </a:t>
          </a:r>
        </a:p>
        <a:p>
          <a:r>
            <a:rPr lang="en-US" sz="1100" baseline="0"/>
            <a:t>        Proposal information is completed, open the Overview and Signature tab.</a:t>
          </a:r>
        </a:p>
        <a:p>
          <a:r>
            <a:rPr lang="en-US" sz="1100" baseline="0"/>
            <a:t>   8) Fill in yellow input cells on the Overview and Signature tab that you can electronically.</a:t>
          </a:r>
        </a:p>
        <a:p>
          <a:r>
            <a:rPr lang="en-US" sz="1100" baseline="0"/>
            <a:t>   9) Carefully check that all information is correct on the Overview and Signature worksheet. If corrections need to be </a:t>
          </a:r>
        </a:p>
        <a:p>
          <a:r>
            <a:rPr lang="en-US" sz="1100" baseline="0"/>
            <a:t>         made please make them on the appropriate worksheet.</a:t>
          </a:r>
        </a:p>
        <a:p>
          <a:r>
            <a:rPr lang="en-US" sz="1100" baseline="0"/>
            <a:t>   10) Once all information has been verified as correct on the Overview and Signature worksheet, print out the Overview</a:t>
          </a:r>
        </a:p>
        <a:p>
          <a:r>
            <a:rPr lang="en-US" sz="1100" baseline="0"/>
            <a:t>        and Signature worksheet and sign and/or fill in the appropriate lines with a pen. </a:t>
          </a:r>
        </a:p>
        <a:p>
          <a:endParaRPr lang="en-US" sz="1100" baseline="0"/>
        </a:p>
        <a:p>
          <a:r>
            <a:rPr lang="en-US" sz="1100" b="1" baseline="0"/>
            <a:t>Questions regarding completing AttC2, the Project, or the RFP:</a:t>
          </a:r>
        </a:p>
        <a:p>
          <a:r>
            <a:rPr lang="en-US" sz="1100"/>
            <a:t>Questions </a:t>
          </a:r>
          <a:r>
            <a:rPr lang="en-US" sz="1100" baseline="0">
              <a:solidFill>
                <a:schemeClr val="dk1"/>
              </a:solidFill>
              <a:effectLst/>
              <a:latin typeface="+mn-lt"/>
              <a:ea typeface="+mn-ea"/>
              <a:cs typeface="+mn-cs"/>
            </a:rPr>
            <a:t>concerning how to fill out AttC2 or those </a:t>
          </a:r>
          <a:r>
            <a:rPr lang="en-US" sz="1100"/>
            <a:t>that pertain generally</a:t>
          </a:r>
          <a:r>
            <a:rPr lang="en-US" sz="1100" baseline="0"/>
            <a:t> to the project, RFP or proposal must be emailed to the address specified in the RFP, BEFORE the due date and time for RFP question submission. Questions submitted after the published due date and time may not be answered. </a:t>
          </a:r>
        </a:p>
      </xdr:txBody>
    </xdr:sp>
    <xdr:clientData/>
  </xdr:twoCellAnchor>
  <xdr:twoCellAnchor editAs="oneCell">
    <xdr:from>
      <xdr:col>1</xdr:col>
      <xdr:colOff>26670</xdr:colOff>
      <xdr:row>0</xdr:row>
      <xdr:rowOff>57150</xdr:rowOff>
    </xdr:from>
    <xdr:to>
      <xdr:col>2</xdr:col>
      <xdr:colOff>390300</xdr:colOff>
      <xdr:row>6</xdr:row>
      <xdr:rowOff>9525</xdr:rowOff>
    </xdr:to>
    <xdr:pic>
      <xdr:nvPicPr>
        <xdr:cNvPr id="6" name="Picture 5">
          <a:extLst>
            <a:ext uri="{FF2B5EF4-FFF2-40B4-BE49-F238E27FC236}">
              <a16:creationId xmlns:a16="http://schemas.microsoft.com/office/drawing/2014/main" id="{AB2BEA76-41BF-40F0-8E66-259F4A1C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57150"/>
          <a:ext cx="108753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I11"/>
  <sheetViews>
    <sheetView showGridLines="0" tabSelected="1" workbookViewId="0"/>
  </sheetViews>
  <sheetFormatPr defaultColWidth="8.6796875" defaultRowHeight="15" x14ac:dyDescent="0.5"/>
  <cols>
    <col min="1" max="1" width="3.2265625" style="11" customWidth="1"/>
    <col min="2" max="16384" width="8.6796875" style="11"/>
  </cols>
  <sheetData>
    <row r="2" spans="2:9" x14ac:dyDescent="0.5">
      <c r="B2" s="38"/>
      <c r="I2"/>
    </row>
    <row r="5" spans="2:9" x14ac:dyDescent="0.5">
      <c r="F5"/>
    </row>
    <row r="7" spans="2:9" x14ac:dyDescent="0.5">
      <c r="B7" s="38" t="s">
        <v>0</v>
      </c>
    </row>
    <row r="9" spans="2:9" x14ac:dyDescent="0.5">
      <c r="B9" s="38" t="s">
        <v>1</v>
      </c>
    </row>
    <row r="10" spans="2:9" x14ac:dyDescent="0.5">
      <c r="B10" s="11" t="s">
        <v>2</v>
      </c>
      <c r="C10" s="11" t="s">
        <v>3</v>
      </c>
    </row>
    <row r="11" spans="2:9" x14ac:dyDescent="0.5">
      <c r="B11" s="11" t="s">
        <v>4</v>
      </c>
      <c r="C11" s="11" t="s">
        <v>5</v>
      </c>
    </row>
  </sheetData>
  <sheetProtection algorithmName="SHA-512" hashValue="FxzLsfI/OyDEMlUPoyxyiTPw43N45TFQChbSykk+U9pQ53fNULjqclqWk7CGzKKshV5usrjq6Hy63QrW4W5F/w==" saltValue="5RX2RjAOLDimcbOh3/ljtQ==" spinCount="100000" sheet="1" objects="1" scenarios="1"/>
  <phoneticPr fontId="17" type="noConversion"/>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66"/>
  <sheetViews>
    <sheetView showGridLines="0" zoomScale="80" zoomScaleNormal="80" workbookViewId="0">
      <pane xSplit="3" ySplit="5" topLeftCell="D6" activePane="bottomRight" state="frozen"/>
      <selection pane="topRight" activeCell="D1" sqref="D1"/>
      <selection pane="bottomLeft" activeCell="A6" sqref="A6"/>
      <selection pane="bottomRight" activeCell="D6" sqref="D6"/>
    </sheetView>
  </sheetViews>
  <sheetFormatPr defaultColWidth="8.6796875" defaultRowHeight="15" x14ac:dyDescent="0.5"/>
  <cols>
    <col min="1" max="1" width="8.6796875" style="43" customWidth="1"/>
    <col min="2" max="2" width="29.76953125" style="48" bestFit="1" customWidth="1"/>
    <col min="3" max="3" width="6.2265625" style="48" bestFit="1" customWidth="1"/>
    <col min="4" max="4" width="42.6796875" style="48" customWidth="1"/>
    <col min="5" max="5" width="21.76953125" style="48" customWidth="1"/>
    <col min="6" max="6" width="15.2265625" style="48" customWidth="1"/>
    <col min="7" max="7" width="14.2265625" style="43" customWidth="1"/>
    <col min="8" max="8" width="23.76953125" style="43" customWidth="1"/>
    <col min="9" max="9" width="19.2265625" style="43" customWidth="1"/>
    <col min="10" max="10" width="14.6796875" style="43" customWidth="1"/>
    <col min="11" max="11" width="15.2265625" style="43" customWidth="1"/>
    <col min="12" max="12" width="16.2265625" style="43" customWidth="1"/>
    <col min="13" max="15" width="10.54296875" style="43" customWidth="1"/>
    <col min="16" max="16" width="18.31640625" style="43" customWidth="1"/>
    <col min="17" max="17" width="25.76953125" style="43" bestFit="1" customWidth="1"/>
    <col min="18" max="18" width="36" style="43" bestFit="1" customWidth="1"/>
    <col min="19" max="19" width="10" style="43" customWidth="1"/>
    <col min="20" max="20" width="15.2265625" style="43" customWidth="1"/>
    <col min="21" max="21" width="8.6796875" style="43" customWidth="1"/>
    <col min="22" max="16384" width="8.6796875" style="43"/>
  </cols>
  <sheetData>
    <row r="1" spans="1:32" ht="28.2" x14ac:dyDescent="0.5">
      <c r="A1" s="40" t="str">
        <f ca="1">"Attachment C2, "&amp;MID(CELL("filename",G1),FIND("]",CELL("filename",G1))+1,256)</f>
        <v>Attachment C2, Site Data</v>
      </c>
      <c r="B1" s="41"/>
      <c r="C1" s="41"/>
      <c r="D1" s="41"/>
      <c r="E1" s="41"/>
      <c r="F1" s="41"/>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2" ht="20.399999999999999" x14ac:dyDescent="0.5">
      <c r="A2" s="44" t="str">
        <f>Instructions!B7</f>
        <v>Judicial Council of California Proposed Price Quotation Form</v>
      </c>
      <c r="B2" s="45"/>
      <c r="C2" s="45"/>
      <c r="D2" s="45"/>
      <c r="E2" s="45"/>
      <c r="F2" s="45"/>
      <c r="G2" s="134"/>
      <c r="H2" s="46"/>
      <c r="I2" s="47"/>
      <c r="J2" s="47"/>
      <c r="K2" s="47"/>
      <c r="L2" s="47"/>
      <c r="M2" s="47"/>
      <c r="N2" s="47"/>
      <c r="O2" s="47"/>
      <c r="P2" s="47"/>
      <c r="Q2" s="47"/>
      <c r="R2" s="47"/>
      <c r="S2" s="47"/>
      <c r="T2" s="134"/>
      <c r="U2" s="134"/>
      <c r="V2" s="134"/>
      <c r="W2" s="134"/>
      <c r="X2" s="134"/>
      <c r="Y2" s="134"/>
      <c r="Z2" s="134"/>
      <c r="AA2" s="134"/>
      <c r="AB2" s="134"/>
      <c r="AC2" s="134"/>
      <c r="AD2" s="134"/>
      <c r="AE2" s="134"/>
      <c r="AF2" s="134"/>
    </row>
    <row r="3" spans="1:32" ht="15.6" x14ac:dyDescent="0.5">
      <c r="A3" s="42"/>
      <c r="B3" s="41"/>
      <c r="C3" s="41"/>
      <c r="D3" s="41"/>
      <c r="E3" s="41"/>
      <c r="F3" s="41"/>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2" ht="15.3" thickBot="1" x14ac:dyDescent="0.55000000000000004"/>
    <row r="5" spans="1:32" s="49" customFormat="1" ht="57.9" thickBot="1" x14ac:dyDescent="0.55000000000000004">
      <c r="A5" s="60" t="s">
        <v>6</v>
      </c>
      <c r="B5" s="60" t="s">
        <v>7</v>
      </c>
      <c r="C5" s="60" t="s">
        <v>8</v>
      </c>
      <c r="D5" s="60" t="s">
        <v>9</v>
      </c>
      <c r="E5" s="60" t="s">
        <v>10</v>
      </c>
      <c r="F5" s="60" t="s">
        <v>11</v>
      </c>
      <c r="G5" s="60" t="s">
        <v>12</v>
      </c>
      <c r="H5" s="60" t="s">
        <v>13</v>
      </c>
      <c r="I5" s="60" t="s">
        <v>14</v>
      </c>
      <c r="J5" s="69" t="s">
        <v>15</v>
      </c>
      <c r="K5" s="60" t="s">
        <v>16</v>
      </c>
      <c r="L5" s="372" t="s">
        <v>17</v>
      </c>
      <c r="M5" s="372" t="s">
        <v>393</v>
      </c>
      <c r="N5" s="167" t="s">
        <v>18</v>
      </c>
      <c r="O5" s="60" t="s">
        <v>381</v>
      </c>
      <c r="P5" s="372" t="s">
        <v>334</v>
      </c>
      <c r="Q5" s="372" t="s">
        <v>382</v>
      </c>
      <c r="R5" s="167" t="s">
        <v>383</v>
      </c>
      <c r="S5" s="68" t="s">
        <v>335</v>
      </c>
      <c r="T5" s="68" t="s">
        <v>324</v>
      </c>
      <c r="U5" s="68" t="s">
        <v>391</v>
      </c>
      <c r="V5" s="68" t="s">
        <v>392</v>
      </c>
    </row>
    <row r="6" spans="1:32" s="49" customFormat="1" ht="15" customHeight="1" x14ac:dyDescent="0.5">
      <c r="A6" s="135">
        <v>1</v>
      </c>
      <c r="B6" s="136" t="s">
        <v>19</v>
      </c>
      <c r="C6" s="137" t="s">
        <v>20</v>
      </c>
      <c r="D6" s="138" t="s">
        <v>21</v>
      </c>
      <c r="E6" s="139" t="s">
        <v>22</v>
      </c>
      <c r="F6" s="139">
        <v>4726262076</v>
      </c>
      <c r="G6" s="139">
        <v>1009904834</v>
      </c>
      <c r="H6" s="139" t="s">
        <v>23</v>
      </c>
      <c r="I6" s="137" t="s">
        <v>23</v>
      </c>
      <c r="J6" s="250" t="s">
        <v>24</v>
      </c>
      <c r="K6" s="398">
        <v>816392.40000000806</v>
      </c>
      <c r="L6" s="399">
        <f>ROUND(0.9*K6,-3)</f>
        <v>735000</v>
      </c>
      <c r="M6" s="399">
        <v>189</v>
      </c>
      <c r="N6" s="271">
        <v>559</v>
      </c>
      <c r="O6" s="401" t="s">
        <v>2</v>
      </c>
      <c r="P6" s="399">
        <v>52000</v>
      </c>
      <c r="Q6" s="404" t="s">
        <v>384</v>
      </c>
      <c r="R6" s="394" t="s">
        <v>385</v>
      </c>
      <c r="S6" s="257">
        <v>20</v>
      </c>
      <c r="T6" s="344" t="s">
        <v>354</v>
      </c>
      <c r="U6" s="344">
        <v>724.5</v>
      </c>
      <c r="V6" s="344">
        <v>210</v>
      </c>
    </row>
    <row r="7" spans="1:32" s="49" customFormat="1" ht="15" customHeight="1" x14ac:dyDescent="0.5">
      <c r="A7" s="228">
        <v>2</v>
      </c>
      <c r="B7" s="229" t="s">
        <v>25</v>
      </c>
      <c r="C7" s="230" t="s">
        <v>26</v>
      </c>
      <c r="D7" s="231" t="s">
        <v>27</v>
      </c>
      <c r="E7" s="232" t="s">
        <v>28</v>
      </c>
      <c r="F7" s="230">
        <v>2232606688</v>
      </c>
      <c r="G7" s="230">
        <v>1009483914</v>
      </c>
      <c r="H7" s="230" t="s">
        <v>29</v>
      </c>
      <c r="I7" s="230" t="s">
        <v>29</v>
      </c>
      <c r="J7" s="251" t="s">
        <v>24</v>
      </c>
      <c r="K7" s="253">
        <v>258370.55999999572</v>
      </c>
      <c r="L7" s="227">
        <f t="shared" ref="L7:L37" si="0">ROUND(0.9*K7,-3)</f>
        <v>233000</v>
      </c>
      <c r="M7" s="227">
        <v>63</v>
      </c>
      <c r="N7" s="392">
        <v>177</v>
      </c>
      <c r="O7" s="402"/>
      <c r="P7" s="408" t="s">
        <v>30</v>
      </c>
      <c r="Q7" s="405"/>
      <c r="R7" s="395"/>
      <c r="S7" s="258">
        <v>20</v>
      </c>
      <c r="T7" s="345" t="s">
        <v>354</v>
      </c>
      <c r="U7" s="345">
        <v>150</v>
      </c>
      <c r="V7" s="345">
        <v>70</v>
      </c>
    </row>
    <row r="8" spans="1:32" s="49" customFormat="1" ht="15" customHeight="1" x14ac:dyDescent="0.5">
      <c r="A8" s="228">
        <v>3</v>
      </c>
      <c r="B8" s="229" t="s">
        <v>31</v>
      </c>
      <c r="C8" s="230" t="s">
        <v>32</v>
      </c>
      <c r="D8" s="231" t="s">
        <v>33</v>
      </c>
      <c r="E8" s="232" t="s">
        <v>28</v>
      </c>
      <c r="F8" s="230">
        <v>5424348248</v>
      </c>
      <c r="G8" s="230">
        <v>1009947618</v>
      </c>
      <c r="H8" s="230" t="s">
        <v>29</v>
      </c>
      <c r="I8" s="230" t="s">
        <v>29</v>
      </c>
      <c r="J8" s="251" t="s">
        <v>24</v>
      </c>
      <c r="K8" s="253">
        <v>992079.00000000442</v>
      </c>
      <c r="L8" s="227">
        <f t="shared" si="0"/>
        <v>893000</v>
      </c>
      <c r="M8" s="227">
        <v>315</v>
      </c>
      <c r="N8" s="392">
        <v>680</v>
      </c>
      <c r="O8" s="402"/>
      <c r="P8" s="227" t="s">
        <v>30</v>
      </c>
      <c r="Q8" s="406"/>
      <c r="R8" s="396"/>
      <c r="S8" s="258">
        <v>20</v>
      </c>
      <c r="T8" s="345" t="s">
        <v>354</v>
      </c>
      <c r="U8" s="345">
        <v>550</v>
      </c>
      <c r="V8" s="345">
        <v>350</v>
      </c>
    </row>
    <row r="9" spans="1:32" s="49" customFormat="1" ht="15" customHeight="1" x14ac:dyDescent="0.5">
      <c r="A9" s="228">
        <v>4</v>
      </c>
      <c r="B9" s="229" t="s">
        <v>34</v>
      </c>
      <c r="C9" s="230" t="s">
        <v>35</v>
      </c>
      <c r="D9" s="231" t="s">
        <v>36</v>
      </c>
      <c r="E9" s="232" t="s">
        <v>28</v>
      </c>
      <c r="F9" s="230" t="s">
        <v>37</v>
      </c>
      <c r="G9" s="230" t="s">
        <v>38</v>
      </c>
      <c r="H9" s="230" t="s">
        <v>29</v>
      </c>
      <c r="I9" s="230" t="s">
        <v>29</v>
      </c>
      <c r="J9" s="251" t="s">
        <v>24</v>
      </c>
      <c r="K9" s="253">
        <v>750125.20000000065</v>
      </c>
      <c r="L9" s="227">
        <f t="shared" si="0"/>
        <v>675000</v>
      </c>
      <c r="M9" s="227">
        <v>189</v>
      </c>
      <c r="N9" s="392">
        <v>514</v>
      </c>
      <c r="O9" s="402" t="s">
        <v>2</v>
      </c>
      <c r="P9" s="227"/>
      <c r="Q9" s="406" t="s">
        <v>386</v>
      </c>
      <c r="R9" s="396"/>
      <c r="S9" s="258">
        <v>18</v>
      </c>
      <c r="T9" s="345" t="s">
        <v>354</v>
      </c>
      <c r="U9" s="345">
        <v>100</v>
      </c>
      <c r="V9" s="345">
        <v>210</v>
      </c>
    </row>
    <row r="10" spans="1:32" s="49" customFormat="1" ht="15" customHeight="1" x14ac:dyDescent="0.5">
      <c r="A10" s="228">
        <v>5</v>
      </c>
      <c r="B10" s="229" t="s">
        <v>39</v>
      </c>
      <c r="C10" s="230" t="s">
        <v>40</v>
      </c>
      <c r="D10" s="231" t="s">
        <v>41</v>
      </c>
      <c r="E10" s="232" t="s">
        <v>42</v>
      </c>
      <c r="F10" s="230">
        <v>8451993330</v>
      </c>
      <c r="G10" s="230">
        <v>1010423032</v>
      </c>
      <c r="H10" s="230" t="s">
        <v>43</v>
      </c>
      <c r="I10" s="230" t="s">
        <v>44</v>
      </c>
      <c r="J10" s="251" t="s">
        <v>24</v>
      </c>
      <c r="K10" s="253">
        <v>833400.9015000012</v>
      </c>
      <c r="L10" s="227">
        <f t="shared" si="0"/>
        <v>750000</v>
      </c>
      <c r="M10" s="227">
        <v>189</v>
      </c>
      <c r="N10" s="392">
        <v>571</v>
      </c>
      <c r="O10" s="402"/>
      <c r="P10" s="227"/>
      <c r="Q10" s="406"/>
      <c r="R10" s="396"/>
      <c r="S10" s="258">
        <v>20</v>
      </c>
      <c r="T10" s="345" t="s">
        <v>354</v>
      </c>
      <c r="U10" s="345">
        <v>550</v>
      </c>
      <c r="V10" s="345">
        <v>210</v>
      </c>
    </row>
    <row r="11" spans="1:32" s="49" customFormat="1" ht="15" customHeight="1" x14ac:dyDescent="0.5">
      <c r="A11" s="228">
        <v>6</v>
      </c>
      <c r="B11" s="229" t="s">
        <v>45</v>
      </c>
      <c r="C11" s="230" t="s">
        <v>46</v>
      </c>
      <c r="D11" s="231" t="s">
        <v>47</v>
      </c>
      <c r="E11" s="232" t="s">
        <v>42</v>
      </c>
      <c r="F11" s="230">
        <v>8403814112</v>
      </c>
      <c r="G11" s="230">
        <v>1009408792</v>
      </c>
      <c r="H11" s="230" t="s">
        <v>29</v>
      </c>
      <c r="I11" s="230" t="s">
        <v>29</v>
      </c>
      <c r="J11" s="251" t="s">
        <v>24</v>
      </c>
      <c r="K11" s="253">
        <v>183000.59999999995</v>
      </c>
      <c r="L11" s="227">
        <f t="shared" si="0"/>
        <v>165000</v>
      </c>
      <c r="M11" s="227">
        <v>63</v>
      </c>
      <c r="N11" s="392">
        <v>125</v>
      </c>
      <c r="O11" s="402"/>
      <c r="P11" s="227"/>
      <c r="Q11" s="406"/>
      <c r="R11" s="396"/>
      <c r="S11" s="258">
        <v>20</v>
      </c>
      <c r="T11" s="345" t="s">
        <v>354</v>
      </c>
      <c r="U11" s="345">
        <v>133.19999999999999</v>
      </c>
      <c r="V11" s="345">
        <v>70</v>
      </c>
    </row>
    <row r="12" spans="1:32" s="49" customFormat="1" ht="15" customHeight="1" x14ac:dyDescent="0.5">
      <c r="A12" s="228">
        <v>7</v>
      </c>
      <c r="B12" s="229" t="s">
        <v>48</v>
      </c>
      <c r="C12" s="230" t="s">
        <v>49</v>
      </c>
      <c r="D12" s="231" t="s">
        <v>50</v>
      </c>
      <c r="E12" s="232" t="s">
        <v>28</v>
      </c>
      <c r="F12" s="230">
        <v>9044461209</v>
      </c>
      <c r="G12" s="230">
        <v>1010046598</v>
      </c>
      <c r="H12" s="230" t="s">
        <v>29</v>
      </c>
      <c r="I12" s="230" t="s">
        <v>29</v>
      </c>
      <c r="J12" s="251" t="s">
        <v>24</v>
      </c>
      <c r="K12" s="253">
        <v>1782103.6000000597</v>
      </c>
      <c r="L12" s="227">
        <f t="shared" si="0"/>
        <v>1604000</v>
      </c>
      <c r="M12" s="227">
        <v>378</v>
      </c>
      <c r="N12" s="392">
        <v>1221</v>
      </c>
      <c r="O12" s="402" t="s">
        <v>2</v>
      </c>
      <c r="P12" s="227" t="s">
        <v>30</v>
      </c>
      <c r="Q12" s="406" t="s">
        <v>384</v>
      </c>
      <c r="R12" s="396" t="s">
        <v>387</v>
      </c>
      <c r="S12" s="258">
        <v>20</v>
      </c>
      <c r="T12" s="258" t="s">
        <v>325</v>
      </c>
      <c r="U12" s="258">
        <v>400</v>
      </c>
      <c r="V12" s="258">
        <v>420</v>
      </c>
    </row>
    <row r="13" spans="1:32" s="49" customFormat="1" ht="15" customHeight="1" x14ac:dyDescent="0.5">
      <c r="A13" s="228">
        <v>8</v>
      </c>
      <c r="B13" s="229" t="s">
        <v>51</v>
      </c>
      <c r="C13" s="230" t="s">
        <v>52</v>
      </c>
      <c r="D13" s="231" t="s">
        <v>53</v>
      </c>
      <c r="E13" s="232" t="s">
        <v>54</v>
      </c>
      <c r="F13" s="230">
        <v>50532739</v>
      </c>
      <c r="G13" s="230" t="s">
        <v>55</v>
      </c>
      <c r="H13" s="230" t="s">
        <v>56</v>
      </c>
      <c r="I13" s="230" t="s">
        <v>57</v>
      </c>
      <c r="J13" s="251" t="s">
        <v>24</v>
      </c>
      <c r="K13" s="253">
        <v>393840</v>
      </c>
      <c r="L13" s="227">
        <f t="shared" ref="L13:L14" si="1">ROUND(0.9*K13,-3)</f>
        <v>354000</v>
      </c>
      <c r="M13" s="227">
        <v>45</v>
      </c>
      <c r="N13" s="392">
        <v>180</v>
      </c>
      <c r="O13" s="402"/>
      <c r="P13" s="227" t="s">
        <v>30</v>
      </c>
      <c r="Q13" s="406"/>
      <c r="R13" s="396"/>
      <c r="S13" s="258">
        <v>20</v>
      </c>
      <c r="T13" s="305" t="s">
        <v>326</v>
      </c>
      <c r="U13" s="305"/>
      <c r="V13" s="305"/>
    </row>
    <row r="14" spans="1:32" s="49" customFormat="1" ht="15" customHeight="1" x14ac:dyDescent="0.5">
      <c r="A14" s="228">
        <v>9</v>
      </c>
      <c r="B14" s="229" t="s">
        <v>58</v>
      </c>
      <c r="C14" s="230" t="s">
        <v>59</v>
      </c>
      <c r="D14" s="231" t="s">
        <v>60</v>
      </c>
      <c r="E14" s="232" t="s">
        <v>61</v>
      </c>
      <c r="F14" s="230">
        <v>3033678637</v>
      </c>
      <c r="G14" s="230" t="s">
        <v>62</v>
      </c>
      <c r="H14" s="230" t="s">
        <v>63</v>
      </c>
      <c r="I14" s="230" t="s">
        <v>64</v>
      </c>
      <c r="J14" s="251" t="s">
        <v>24</v>
      </c>
      <c r="K14" s="253">
        <v>187932.54960002314</v>
      </c>
      <c r="L14" s="227">
        <f t="shared" si="1"/>
        <v>169000</v>
      </c>
      <c r="M14" s="227">
        <v>63</v>
      </c>
      <c r="N14" s="392">
        <v>129</v>
      </c>
      <c r="O14" s="402" t="s">
        <v>2</v>
      </c>
      <c r="P14" s="227" t="s">
        <v>30</v>
      </c>
      <c r="Q14" s="406" t="s">
        <v>384</v>
      </c>
      <c r="R14" s="396"/>
      <c r="S14" s="258">
        <v>20</v>
      </c>
      <c r="T14" s="345" t="s">
        <v>354</v>
      </c>
      <c r="U14" s="345">
        <v>99.9</v>
      </c>
      <c r="V14" s="345">
        <v>70</v>
      </c>
    </row>
    <row r="15" spans="1:32" s="49" customFormat="1" ht="15" customHeight="1" x14ac:dyDescent="0.5">
      <c r="A15" s="228">
        <v>10</v>
      </c>
      <c r="B15" s="229" t="s">
        <v>65</v>
      </c>
      <c r="C15" s="230" t="s">
        <v>66</v>
      </c>
      <c r="D15" s="231" t="s">
        <v>67</v>
      </c>
      <c r="E15" s="232" t="s">
        <v>61</v>
      </c>
      <c r="F15" s="230">
        <v>3043544311</v>
      </c>
      <c r="G15" s="230" t="s">
        <v>68</v>
      </c>
      <c r="H15" s="230" t="s">
        <v>69</v>
      </c>
      <c r="I15" s="230" t="s">
        <v>70</v>
      </c>
      <c r="J15" s="251" t="s">
        <v>24</v>
      </c>
      <c r="K15" s="253">
        <v>2054349.8663000551</v>
      </c>
      <c r="L15" s="227">
        <f t="shared" si="0"/>
        <v>1849000</v>
      </c>
      <c r="M15" s="227">
        <v>252</v>
      </c>
      <c r="N15" s="392">
        <v>835</v>
      </c>
      <c r="O15" s="402"/>
      <c r="P15" s="227"/>
      <c r="Q15" s="406"/>
      <c r="R15" s="396"/>
      <c r="S15" s="258">
        <v>20</v>
      </c>
      <c r="T15" s="345" t="s">
        <v>354</v>
      </c>
      <c r="U15" s="345">
        <v>700</v>
      </c>
      <c r="V15" s="345">
        <v>280</v>
      </c>
    </row>
    <row r="16" spans="1:32" s="49" customFormat="1" ht="15" customHeight="1" x14ac:dyDescent="0.5">
      <c r="A16" s="228">
        <v>11</v>
      </c>
      <c r="B16" s="229" t="s">
        <v>71</v>
      </c>
      <c r="C16" s="230" t="s">
        <v>72</v>
      </c>
      <c r="D16" s="231" t="s">
        <v>73</v>
      </c>
      <c r="E16" s="232" t="s">
        <v>74</v>
      </c>
      <c r="F16" s="230">
        <v>8002609713</v>
      </c>
      <c r="G16" s="230" t="s">
        <v>75</v>
      </c>
      <c r="H16" s="230" t="s">
        <v>76</v>
      </c>
      <c r="I16" s="230" t="s">
        <v>77</v>
      </c>
      <c r="J16" s="251" t="s">
        <v>24</v>
      </c>
      <c r="K16" s="253">
        <v>1475081.401200017</v>
      </c>
      <c r="L16" s="227">
        <f t="shared" si="0"/>
        <v>1328000</v>
      </c>
      <c r="M16" s="227">
        <v>252</v>
      </c>
      <c r="N16" s="392">
        <v>835</v>
      </c>
      <c r="O16" s="402"/>
      <c r="P16" s="227"/>
      <c r="Q16" s="406"/>
      <c r="R16" s="396"/>
      <c r="S16" s="258">
        <v>20</v>
      </c>
      <c r="T16" s="345" t="s">
        <v>354</v>
      </c>
      <c r="U16" s="345">
        <v>233.09999999999997</v>
      </c>
      <c r="V16" s="345">
        <v>280</v>
      </c>
    </row>
    <row r="17" spans="1:22" s="49" customFormat="1" ht="15" customHeight="1" x14ac:dyDescent="0.5">
      <c r="A17" s="228">
        <v>12</v>
      </c>
      <c r="B17" s="229" t="s">
        <v>78</v>
      </c>
      <c r="C17" s="230" t="s">
        <v>79</v>
      </c>
      <c r="D17" s="231" t="s">
        <v>80</v>
      </c>
      <c r="E17" s="232" t="s">
        <v>74</v>
      </c>
      <c r="F17" s="230">
        <v>8004206574</v>
      </c>
      <c r="G17" s="230" t="s">
        <v>81</v>
      </c>
      <c r="H17" s="230" t="s">
        <v>76</v>
      </c>
      <c r="I17" s="230" t="s">
        <v>77</v>
      </c>
      <c r="J17" s="251" t="s">
        <v>24</v>
      </c>
      <c r="K17" s="253">
        <v>1835328.4811999293</v>
      </c>
      <c r="L17" s="227">
        <f t="shared" si="0"/>
        <v>1652000</v>
      </c>
      <c r="M17" s="227">
        <v>315</v>
      </c>
      <c r="N17" s="392">
        <v>1044</v>
      </c>
      <c r="O17" s="402" t="s">
        <v>2</v>
      </c>
      <c r="P17" s="227"/>
      <c r="Q17" s="406" t="s">
        <v>388</v>
      </c>
      <c r="R17" s="396"/>
      <c r="S17" s="258">
        <v>18</v>
      </c>
      <c r="T17" s="345" t="s">
        <v>354</v>
      </c>
      <c r="U17" s="345">
        <v>350</v>
      </c>
      <c r="V17" s="345">
        <v>350</v>
      </c>
    </row>
    <row r="18" spans="1:22" s="49" customFormat="1" ht="15" customHeight="1" x14ac:dyDescent="0.5">
      <c r="A18" s="228">
        <v>13</v>
      </c>
      <c r="B18" s="229" t="s">
        <v>82</v>
      </c>
      <c r="C18" s="230" t="s">
        <v>83</v>
      </c>
      <c r="D18" s="231" t="s">
        <v>84</v>
      </c>
      <c r="E18" s="232" t="s">
        <v>85</v>
      </c>
      <c r="F18" s="230">
        <v>6691517575</v>
      </c>
      <c r="G18" s="230">
        <v>2293691</v>
      </c>
      <c r="H18" s="230" t="s">
        <v>86</v>
      </c>
      <c r="I18" s="230" t="s">
        <v>86</v>
      </c>
      <c r="J18" s="251" t="s">
        <v>24</v>
      </c>
      <c r="K18" s="253">
        <v>2120866.9920000038</v>
      </c>
      <c r="L18" s="227">
        <f t="shared" si="0"/>
        <v>1909000</v>
      </c>
      <c r="M18" s="227">
        <v>252</v>
      </c>
      <c r="N18" s="392">
        <v>835</v>
      </c>
      <c r="O18" s="402"/>
      <c r="P18" s="227" t="s">
        <v>30</v>
      </c>
      <c r="Q18" s="406"/>
      <c r="R18" s="396"/>
      <c r="S18" s="258">
        <v>20</v>
      </c>
      <c r="T18" s="305" t="s">
        <v>326</v>
      </c>
      <c r="U18" s="305"/>
      <c r="V18" s="305"/>
    </row>
    <row r="19" spans="1:22" s="49" customFormat="1" ht="15" customHeight="1" x14ac:dyDescent="0.5">
      <c r="A19" s="222">
        <v>14</v>
      </c>
      <c r="B19" s="223" t="s">
        <v>87</v>
      </c>
      <c r="C19" s="224" t="s">
        <v>88</v>
      </c>
      <c r="D19" s="225" t="s">
        <v>89</v>
      </c>
      <c r="E19" s="226" t="s">
        <v>61</v>
      </c>
      <c r="F19" s="230">
        <v>8004206765</v>
      </c>
      <c r="G19" s="230" t="s">
        <v>90</v>
      </c>
      <c r="H19" s="230" t="s">
        <v>63</v>
      </c>
      <c r="I19" s="230" t="s">
        <v>64</v>
      </c>
      <c r="J19" s="251" t="s">
        <v>24</v>
      </c>
      <c r="K19" s="253">
        <v>2738904.2412000168</v>
      </c>
      <c r="L19" s="227">
        <f t="shared" ref="L19" si="2">ROUND(0.9*K19,-3)</f>
        <v>2465000</v>
      </c>
      <c r="M19" s="227">
        <v>567</v>
      </c>
      <c r="N19" s="392">
        <v>1876</v>
      </c>
      <c r="O19" s="402"/>
      <c r="P19" s="227" t="s">
        <v>30</v>
      </c>
      <c r="Q19" s="406"/>
      <c r="R19" s="396"/>
      <c r="S19" s="258">
        <v>20</v>
      </c>
      <c r="T19" s="345" t="s">
        <v>354</v>
      </c>
      <c r="U19" s="345">
        <v>1500</v>
      </c>
      <c r="V19" s="345">
        <v>630</v>
      </c>
    </row>
    <row r="20" spans="1:22" s="49" customFormat="1" ht="15" customHeight="1" x14ac:dyDescent="0.5">
      <c r="A20" s="222">
        <v>15</v>
      </c>
      <c r="B20" s="223" t="s">
        <v>91</v>
      </c>
      <c r="C20" s="224" t="s">
        <v>92</v>
      </c>
      <c r="D20" s="225" t="s">
        <v>93</v>
      </c>
      <c r="E20" s="226" t="s">
        <v>94</v>
      </c>
      <c r="F20" s="230" t="s">
        <v>95</v>
      </c>
      <c r="G20" s="230">
        <v>250593</v>
      </c>
      <c r="H20" s="230" t="s">
        <v>96</v>
      </c>
      <c r="I20" s="230" t="s">
        <v>96</v>
      </c>
      <c r="J20" s="251" t="s">
        <v>24</v>
      </c>
      <c r="K20" s="253">
        <v>630337.28000001016</v>
      </c>
      <c r="L20" s="227">
        <f t="shared" si="0"/>
        <v>567000</v>
      </c>
      <c r="M20" s="227">
        <v>126</v>
      </c>
      <c r="N20" s="392">
        <v>432</v>
      </c>
      <c r="O20" s="402"/>
      <c r="P20" s="227" t="s">
        <v>30</v>
      </c>
      <c r="Q20" s="406"/>
      <c r="R20" s="396"/>
      <c r="S20" s="258">
        <v>20</v>
      </c>
      <c r="T20" s="305" t="s">
        <v>326</v>
      </c>
      <c r="U20" s="305"/>
      <c r="V20" s="305"/>
    </row>
    <row r="21" spans="1:22" s="49" customFormat="1" ht="15" customHeight="1" x14ac:dyDescent="0.5">
      <c r="A21" s="185">
        <v>16</v>
      </c>
      <c r="B21" s="186" t="s">
        <v>97</v>
      </c>
      <c r="C21" s="187" t="s">
        <v>98</v>
      </c>
      <c r="D21" s="188" t="s">
        <v>99</v>
      </c>
      <c r="E21" s="189" t="s">
        <v>61</v>
      </c>
      <c r="F21" s="230">
        <v>8004193001</v>
      </c>
      <c r="G21" s="230" t="s">
        <v>100</v>
      </c>
      <c r="H21" s="230" t="s">
        <v>63</v>
      </c>
      <c r="I21" s="230" t="s">
        <v>64</v>
      </c>
      <c r="J21" s="251" t="s">
        <v>24</v>
      </c>
      <c r="K21" s="253">
        <v>100657.53200001104</v>
      </c>
      <c r="L21" s="227">
        <f t="shared" ref="L21" si="3">ROUND(0.9*K21,-3)</f>
        <v>91000</v>
      </c>
      <c r="M21" s="227">
        <v>22.5</v>
      </c>
      <c r="N21" s="392">
        <v>69</v>
      </c>
      <c r="O21" s="402" t="s">
        <v>2</v>
      </c>
      <c r="P21" s="227"/>
      <c r="Q21" s="406" t="s">
        <v>389</v>
      </c>
      <c r="R21" s="396"/>
      <c r="S21" s="258">
        <v>20</v>
      </c>
      <c r="T21" s="345" t="s">
        <v>354</v>
      </c>
      <c r="U21" s="345">
        <v>66.599999999999994</v>
      </c>
      <c r="V21" s="345">
        <v>70</v>
      </c>
    </row>
    <row r="22" spans="1:22" s="49" customFormat="1" ht="15" customHeight="1" x14ac:dyDescent="0.5">
      <c r="A22" s="185">
        <v>17</v>
      </c>
      <c r="B22" s="186" t="s">
        <v>101</v>
      </c>
      <c r="C22" s="187" t="s">
        <v>102</v>
      </c>
      <c r="D22" s="188" t="s">
        <v>103</v>
      </c>
      <c r="E22" s="189" t="s">
        <v>61</v>
      </c>
      <c r="F22" s="230">
        <v>8004169760</v>
      </c>
      <c r="G22" s="230" t="s">
        <v>104</v>
      </c>
      <c r="H22" s="230" t="s">
        <v>69</v>
      </c>
      <c r="I22" s="230" t="s">
        <v>70</v>
      </c>
      <c r="J22" s="251" t="s">
        <v>24</v>
      </c>
      <c r="K22" s="253">
        <v>3100698.9612000263</v>
      </c>
      <c r="L22" s="227">
        <f t="shared" si="0"/>
        <v>2791000</v>
      </c>
      <c r="M22" s="227">
        <v>252</v>
      </c>
      <c r="N22" s="392">
        <v>835</v>
      </c>
      <c r="O22" s="402"/>
      <c r="P22" s="227"/>
      <c r="Q22" s="406"/>
      <c r="R22" s="396"/>
      <c r="S22" s="258">
        <v>20</v>
      </c>
      <c r="T22" s="345" t="s">
        <v>354</v>
      </c>
      <c r="U22" s="345">
        <v>699.3</v>
      </c>
      <c r="V22" s="345">
        <v>280</v>
      </c>
    </row>
    <row r="23" spans="1:22" s="49" customFormat="1" ht="15" customHeight="1" x14ac:dyDescent="0.5">
      <c r="A23" s="228">
        <v>18</v>
      </c>
      <c r="B23" s="229" t="s">
        <v>105</v>
      </c>
      <c r="C23" s="230" t="s">
        <v>106</v>
      </c>
      <c r="D23" s="231" t="s">
        <v>107</v>
      </c>
      <c r="E23" s="232" t="s">
        <v>85</v>
      </c>
      <c r="F23" s="230">
        <v>1408407987</v>
      </c>
      <c r="G23" s="230">
        <v>2255224</v>
      </c>
      <c r="H23" s="230" t="s">
        <v>108</v>
      </c>
      <c r="I23" s="230" t="s">
        <v>108</v>
      </c>
      <c r="J23" s="251" t="s">
        <v>24</v>
      </c>
      <c r="K23" s="253">
        <v>691281.8190000013</v>
      </c>
      <c r="L23" s="227">
        <f t="shared" si="0"/>
        <v>622000</v>
      </c>
      <c r="M23" s="227">
        <v>189</v>
      </c>
      <c r="N23" s="392">
        <v>473</v>
      </c>
      <c r="O23" s="402"/>
      <c r="P23" s="227"/>
      <c r="Q23" s="406"/>
      <c r="R23" s="396"/>
      <c r="S23" s="258">
        <v>20</v>
      </c>
      <c r="T23" s="305" t="s">
        <v>326</v>
      </c>
      <c r="U23" s="305"/>
      <c r="V23" s="305"/>
    </row>
    <row r="24" spans="1:22" s="49" customFormat="1" ht="15" customHeight="1" x14ac:dyDescent="0.5">
      <c r="A24" s="228">
        <v>19</v>
      </c>
      <c r="B24" s="229" t="s">
        <v>109</v>
      </c>
      <c r="C24" s="230" t="s">
        <v>110</v>
      </c>
      <c r="D24" s="231" t="s">
        <v>111</v>
      </c>
      <c r="E24" s="232" t="s">
        <v>61</v>
      </c>
      <c r="F24" s="230">
        <v>8004194714</v>
      </c>
      <c r="G24" s="230" t="s">
        <v>112</v>
      </c>
      <c r="H24" s="230" t="s">
        <v>69</v>
      </c>
      <c r="I24" s="230" t="s">
        <v>70</v>
      </c>
      <c r="J24" s="251" t="s">
        <v>24</v>
      </c>
      <c r="K24" s="253">
        <v>2961747.0012000874</v>
      </c>
      <c r="L24" s="227">
        <f t="shared" si="0"/>
        <v>2666000</v>
      </c>
      <c r="M24" s="227">
        <v>252</v>
      </c>
      <c r="N24" s="392">
        <v>835</v>
      </c>
      <c r="O24" s="402"/>
      <c r="P24" s="227" t="s">
        <v>30</v>
      </c>
      <c r="Q24" s="406"/>
      <c r="R24" s="396"/>
      <c r="S24" s="258">
        <v>20</v>
      </c>
      <c r="T24" s="345" t="s">
        <v>354</v>
      </c>
      <c r="U24" s="345">
        <v>700</v>
      </c>
      <c r="V24" s="345">
        <v>280</v>
      </c>
    </row>
    <row r="25" spans="1:22" s="49" customFormat="1" ht="15" customHeight="1" x14ac:dyDescent="0.5">
      <c r="A25" s="228">
        <v>20</v>
      </c>
      <c r="B25" s="229" t="s">
        <v>113</v>
      </c>
      <c r="C25" s="230" t="s">
        <v>114</v>
      </c>
      <c r="D25" s="231" t="s">
        <v>115</v>
      </c>
      <c r="E25" s="232" t="s">
        <v>28</v>
      </c>
      <c r="F25" s="230">
        <v>3423047368</v>
      </c>
      <c r="G25" s="230">
        <v>1009515128</v>
      </c>
      <c r="H25" s="230" t="s">
        <v>116</v>
      </c>
      <c r="I25" s="230" t="s">
        <v>116</v>
      </c>
      <c r="J25" s="251" t="s">
        <v>24</v>
      </c>
      <c r="K25" s="253">
        <v>383417.59999999206</v>
      </c>
      <c r="L25" s="227">
        <f t="shared" si="0"/>
        <v>345000</v>
      </c>
      <c r="M25" s="227">
        <v>126</v>
      </c>
      <c r="N25" s="392">
        <v>263</v>
      </c>
      <c r="O25" s="402"/>
      <c r="P25" s="227" t="s">
        <v>30</v>
      </c>
      <c r="Q25" s="406"/>
      <c r="R25" s="396"/>
      <c r="S25" s="258">
        <v>20</v>
      </c>
      <c r="T25" s="345" t="s">
        <v>354</v>
      </c>
      <c r="U25" s="345">
        <v>250</v>
      </c>
      <c r="V25" s="345">
        <v>140</v>
      </c>
    </row>
    <row r="26" spans="1:22" s="49" customFormat="1" ht="15" customHeight="1" x14ac:dyDescent="0.5">
      <c r="A26" s="228">
        <v>21</v>
      </c>
      <c r="B26" s="229" t="s">
        <v>117</v>
      </c>
      <c r="C26" s="230" t="s">
        <v>118</v>
      </c>
      <c r="D26" s="231" t="s">
        <v>119</v>
      </c>
      <c r="E26" s="232" t="s">
        <v>61</v>
      </c>
      <c r="F26" s="230">
        <v>8000263819</v>
      </c>
      <c r="G26" s="230" t="s">
        <v>120</v>
      </c>
      <c r="H26" s="230" t="s">
        <v>121</v>
      </c>
      <c r="I26" s="230" t="s">
        <v>122</v>
      </c>
      <c r="J26" s="251" t="s">
        <v>24</v>
      </c>
      <c r="K26" s="253">
        <v>238125.98149996711</v>
      </c>
      <c r="L26" s="227">
        <f t="shared" si="0"/>
        <v>214000</v>
      </c>
      <c r="M26" s="227">
        <v>63</v>
      </c>
      <c r="N26" s="392">
        <v>163</v>
      </c>
      <c r="O26" s="402"/>
      <c r="P26" s="227" t="s">
        <v>30</v>
      </c>
      <c r="Q26" s="406"/>
      <c r="R26" s="396"/>
      <c r="S26" s="258">
        <v>20</v>
      </c>
      <c r="T26" s="345" t="s">
        <v>354</v>
      </c>
      <c r="U26" s="345">
        <v>133.19999999999999</v>
      </c>
      <c r="V26" s="345">
        <v>70</v>
      </c>
    </row>
    <row r="27" spans="1:22" s="49" customFormat="1" ht="15" customHeight="1" x14ac:dyDescent="0.5">
      <c r="A27" s="228">
        <v>22</v>
      </c>
      <c r="B27" s="229" t="s">
        <v>123</v>
      </c>
      <c r="C27" s="230" t="s">
        <v>124</v>
      </c>
      <c r="D27" s="231" t="s">
        <v>125</v>
      </c>
      <c r="E27" s="232" t="s">
        <v>126</v>
      </c>
      <c r="F27" s="230" t="s">
        <v>127</v>
      </c>
      <c r="G27" s="230" t="s">
        <v>128</v>
      </c>
      <c r="H27" s="230" t="s">
        <v>129</v>
      </c>
      <c r="I27" s="230" t="s">
        <v>129</v>
      </c>
      <c r="J27" s="251" t="s">
        <v>24</v>
      </c>
      <c r="K27" s="253">
        <v>1137000</v>
      </c>
      <c r="L27" s="227">
        <f t="shared" si="0"/>
        <v>1023000</v>
      </c>
      <c r="M27" s="227">
        <v>126</v>
      </c>
      <c r="N27" s="392">
        <v>418</v>
      </c>
      <c r="O27" s="402"/>
      <c r="P27" s="227"/>
      <c r="Q27" s="406"/>
      <c r="R27" s="396"/>
      <c r="S27" s="258">
        <v>20</v>
      </c>
      <c r="T27" s="305" t="s">
        <v>326</v>
      </c>
      <c r="U27" s="305"/>
      <c r="V27" s="305"/>
    </row>
    <row r="28" spans="1:22" s="49" customFormat="1" ht="15" customHeight="1" x14ac:dyDescent="0.5">
      <c r="A28" s="228">
        <v>23</v>
      </c>
      <c r="B28" s="229" t="s">
        <v>130</v>
      </c>
      <c r="C28" s="230" t="s">
        <v>131</v>
      </c>
      <c r="D28" s="231" t="s">
        <v>132</v>
      </c>
      <c r="E28" s="232" t="s">
        <v>133</v>
      </c>
      <c r="F28" s="230">
        <v>2875021063</v>
      </c>
      <c r="G28" s="230">
        <v>1010260264</v>
      </c>
      <c r="H28" s="230" t="s">
        <v>29</v>
      </c>
      <c r="I28" s="230" t="s">
        <v>29</v>
      </c>
      <c r="J28" s="251" t="s">
        <v>24</v>
      </c>
      <c r="K28" s="253">
        <v>476762.31999998249</v>
      </c>
      <c r="L28" s="227">
        <f t="shared" si="0"/>
        <v>429000</v>
      </c>
      <c r="M28" s="227">
        <v>126</v>
      </c>
      <c r="N28" s="392">
        <v>327</v>
      </c>
      <c r="O28" s="402"/>
      <c r="P28" s="227"/>
      <c r="Q28" s="406"/>
      <c r="R28" s="396"/>
      <c r="S28" s="258">
        <v>20</v>
      </c>
      <c r="T28" s="345" t="s">
        <v>354</v>
      </c>
      <c r="U28" s="345">
        <v>333</v>
      </c>
      <c r="V28" s="345">
        <v>140</v>
      </c>
    </row>
    <row r="29" spans="1:22" s="49" customFormat="1" ht="15" customHeight="1" x14ac:dyDescent="0.5">
      <c r="A29" s="185">
        <v>24</v>
      </c>
      <c r="B29" s="186" t="s">
        <v>134</v>
      </c>
      <c r="C29" s="187" t="s">
        <v>135</v>
      </c>
      <c r="D29" s="188" t="s">
        <v>136</v>
      </c>
      <c r="E29" s="189" t="s">
        <v>61</v>
      </c>
      <c r="F29" s="230">
        <v>8004862590</v>
      </c>
      <c r="G29" s="230" t="s">
        <v>137</v>
      </c>
      <c r="H29" s="230" t="s">
        <v>138</v>
      </c>
      <c r="I29" s="230" t="s">
        <v>139</v>
      </c>
      <c r="J29" s="251" t="s">
        <v>24</v>
      </c>
      <c r="K29" s="253">
        <v>3007750.2011999991</v>
      </c>
      <c r="L29" s="227">
        <f t="shared" ref="L29" si="4">ROUND(0.9*K29,-3)</f>
        <v>2707000</v>
      </c>
      <c r="M29" s="227">
        <v>252</v>
      </c>
      <c r="N29" s="392">
        <v>835</v>
      </c>
      <c r="O29" s="402"/>
      <c r="P29" s="227"/>
      <c r="Q29" s="406"/>
      <c r="R29" s="396"/>
      <c r="S29" s="258">
        <v>20</v>
      </c>
      <c r="T29" s="345" t="s">
        <v>354</v>
      </c>
      <c r="U29" s="345">
        <v>700</v>
      </c>
      <c r="V29" s="345">
        <v>280</v>
      </c>
    </row>
    <row r="30" spans="1:22" s="49" customFormat="1" ht="15" customHeight="1" x14ac:dyDescent="0.5">
      <c r="A30" s="185">
        <v>25</v>
      </c>
      <c r="B30" s="186" t="s">
        <v>140</v>
      </c>
      <c r="C30" s="187" t="s">
        <v>141</v>
      </c>
      <c r="D30" s="188" t="s">
        <v>142</v>
      </c>
      <c r="E30" s="189" t="s">
        <v>143</v>
      </c>
      <c r="F30" s="230" t="s">
        <v>144</v>
      </c>
      <c r="G30" s="230" t="s">
        <v>145</v>
      </c>
      <c r="H30" s="230" t="s">
        <v>146</v>
      </c>
      <c r="I30" s="230" t="s">
        <v>146</v>
      </c>
      <c r="J30" s="251" t="s">
        <v>24</v>
      </c>
      <c r="K30" s="253">
        <v>573530.27999998711</v>
      </c>
      <c r="L30" s="227">
        <f t="shared" si="0"/>
        <v>516000</v>
      </c>
      <c r="M30" s="227">
        <v>126</v>
      </c>
      <c r="N30" s="392">
        <v>351</v>
      </c>
      <c r="O30" s="402" t="s">
        <v>2</v>
      </c>
      <c r="P30" s="227" t="s">
        <v>30</v>
      </c>
      <c r="Q30" s="406" t="s">
        <v>384</v>
      </c>
      <c r="R30" s="396"/>
      <c r="S30" s="258">
        <v>20</v>
      </c>
      <c r="T30" s="345" t="s">
        <v>354</v>
      </c>
      <c r="U30" s="345">
        <v>350</v>
      </c>
      <c r="V30" s="345">
        <v>140</v>
      </c>
    </row>
    <row r="31" spans="1:22" s="49" customFormat="1" ht="15" customHeight="1" x14ac:dyDescent="0.5">
      <c r="A31" s="228">
        <v>26</v>
      </c>
      <c r="B31" s="229" t="s">
        <v>147</v>
      </c>
      <c r="C31" s="230" t="s">
        <v>148</v>
      </c>
      <c r="D31" s="231" t="s">
        <v>149</v>
      </c>
      <c r="E31" s="232" t="s">
        <v>150</v>
      </c>
      <c r="F31" s="230" t="s">
        <v>151</v>
      </c>
      <c r="G31" s="230" t="s">
        <v>152</v>
      </c>
      <c r="H31" s="230" t="s">
        <v>146</v>
      </c>
      <c r="I31" s="230" t="s">
        <v>146</v>
      </c>
      <c r="J31" s="251" t="s">
        <v>24</v>
      </c>
      <c r="K31" s="253">
        <v>3757483.6499999841</v>
      </c>
      <c r="L31" s="227">
        <f t="shared" si="0"/>
        <v>3382000</v>
      </c>
      <c r="M31" s="227">
        <v>378</v>
      </c>
      <c r="N31" s="392">
        <v>1253</v>
      </c>
      <c r="O31" s="402"/>
      <c r="P31" s="227" t="s">
        <v>30</v>
      </c>
      <c r="Q31" s="406"/>
      <c r="R31" s="396"/>
      <c r="S31" s="258">
        <v>20</v>
      </c>
      <c r="T31" s="345" t="s">
        <v>354</v>
      </c>
      <c r="U31" s="345">
        <v>550</v>
      </c>
      <c r="V31" s="345">
        <v>420</v>
      </c>
    </row>
    <row r="32" spans="1:22" s="49" customFormat="1" ht="15" customHeight="1" x14ac:dyDescent="0.5">
      <c r="A32" s="228">
        <v>27</v>
      </c>
      <c r="B32" s="229" t="s">
        <v>153</v>
      </c>
      <c r="C32" s="230" t="s">
        <v>154</v>
      </c>
      <c r="D32" s="231" t="s">
        <v>155</v>
      </c>
      <c r="E32" s="232" t="s">
        <v>156</v>
      </c>
      <c r="F32" s="230">
        <v>7980429711</v>
      </c>
      <c r="G32" s="230">
        <v>1009540401</v>
      </c>
      <c r="H32" s="230" t="s">
        <v>29</v>
      </c>
      <c r="I32" s="230" t="s">
        <v>29</v>
      </c>
      <c r="J32" s="251" t="s">
        <v>24</v>
      </c>
      <c r="K32" s="253">
        <v>401119.8799999964</v>
      </c>
      <c r="L32" s="227">
        <f t="shared" si="0"/>
        <v>361000</v>
      </c>
      <c r="M32" s="227">
        <v>63</v>
      </c>
      <c r="N32" s="392">
        <v>275</v>
      </c>
      <c r="O32" s="402"/>
      <c r="P32" s="227" t="s">
        <v>30</v>
      </c>
      <c r="Q32" s="406"/>
      <c r="R32" s="396"/>
      <c r="S32" s="258">
        <v>20</v>
      </c>
      <c r="T32" s="345" t="s">
        <v>354</v>
      </c>
      <c r="U32" s="345">
        <v>150</v>
      </c>
      <c r="V32" s="345">
        <v>70</v>
      </c>
    </row>
    <row r="33" spans="1:22" s="49" customFormat="1" ht="15" customHeight="1" x14ac:dyDescent="0.5">
      <c r="A33" s="228">
        <v>28</v>
      </c>
      <c r="B33" s="229" t="s">
        <v>157</v>
      </c>
      <c r="C33" s="230" t="s">
        <v>158</v>
      </c>
      <c r="D33" s="231" t="s">
        <v>159</v>
      </c>
      <c r="E33" s="232" t="s">
        <v>160</v>
      </c>
      <c r="F33" s="230">
        <v>1862243249</v>
      </c>
      <c r="G33" s="230" t="s">
        <v>161</v>
      </c>
      <c r="H33" s="230" t="s">
        <v>43</v>
      </c>
      <c r="I33" s="230" t="s">
        <v>44</v>
      </c>
      <c r="J33" s="251" t="s">
        <v>24</v>
      </c>
      <c r="K33" s="253">
        <v>2079047.0299999919</v>
      </c>
      <c r="L33" s="227">
        <f t="shared" si="0"/>
        <v>1871000</v>
      </c>
      <c r="M33" s="227">
        <v>315</v>
      </c>
      <c r="N33" s="392">
        <v>726</v>
      </c>
      <c r="O33" s="402"/>
      <c r="P33" s="227"/>
      <c r="Q33" s="406"/>
      <c r="R33" s="396"/>
      <c r="S33" s="258">
        <v>20</v>
      </c>
      <c r="T33" s="345" t="s">
        <v>354</v>
      </c>
      <c r="U33" s="345">
        <v>333</v>
      </c>
      <c r="V33" s="345">
        <v>350</v>
      </c>
    </row>
    <row r="34" spans="1:22" s="49" customFormat="1" ht="15" customHeight="1" x14ac:dyDescent="0.5">
      <c r="A34" s="228">
        <v>29</v>
      </c>
      <c r="B34" s="229" t="s">
        <v>162</v>
      </c>
      <c r="C34" s="230" t="s">
        <v>163</v>
      </c>
      <c r="D34" s="231" t="s">
        <v>164</v>
      </c>
      <c r="E34" s="232" t="s">
        <v>28</v>
      </c>
      <c r="F34" s="230">
        <v>3429640317</v>
      </c>
      <c r="G34" s="230">
        <v>5000037342</v>
      </c>
      <c r="H34" s="230" t="s">
        <v>116</v>
      </c>
      <c r="I34" s="230" t="s">
        <v>116</v>
      </c>
      <c r="J34" s="251" t="s">
        <v>24</v>
      </c>
      <c r="K34" s="253">
        <v>1059942.2999999966</v>
      </c>
      <c r="L34" s="227">
        <f t="shared" si="0"/>
        <v>954000</v>
      </c>
      <c r="M34" s="227">
        <v>315</v>
      </c>
      <c r="N34" s="392">
        <v>726</v>
      </c>
      <c r="O34" s="402"/>
      <c r="P34" s="227"/>
      <c r="Q34" s="406"/>
      <c r="R34" s="396"/>
      <c r="S34" s="258">
        <v>20</v>
      </c>
      <c r="T34" s="345" t="s">
        <v>354</v>
      </c>
      <c r="U34" s="345">
        <v>600</v>
      </c>
      <c r="V34" s="345">
        <v>350</v>
      </c>
    </row>
    <row r="35" spans="1:22" s="49" customFormat="1" ht="15" customHeight="1" x14ac:dyDescent="0.5">
      <c r="A35" s="228">
        <v>30</v>
      </c>
      <c r="B35" s="229" t="s">
        <v>165</v>
      </c>
      <c r="C35" s="230" t="s">
        <v>166</v>
      </c>
      <c r="D35" s="231" t="s">
        <v>167</v>
      </c>
      <c r="E35" s="232" t="s">
        <v>28</v>
      </c>
      <c r="F35" s="230">
        <v>7120026238</v>
      </c>
      <c r="G35" s="230">
        <v>1008843645</v>
      </c>
      <c r="H35" s="230" t="s">
        <v>116</v>
      </c>
      <c r="I35" s="230" t="s">
        <v>116</v>
      </c>
      <c r="J35" s="251" t="s">
        <v>24</v>
      </c>
      <c r="K35" s="253">
        <v>620107.4999999936</v>
      </c>
      <c r="L35" s="227">
        <f t="shared" si="0"/>
        <v>558000</v>
      </c>
      <c r="M35" s="227">
        <v>189</v>
      </c>
      <c r="N35" s="392">
        <v>425</v>
      </c>
      <c r="O35" s="402" t="s">
        <v>2</v>
      </c>
      <c r="P35" s="227"/>
      <c r="Q35" s="406" t="s">
        <v>390</v>
      </c>
      <c r="R35" s="396"/>
      <c r="S35" s="258">
        <v>20</v>
      </c>
      <c r="T35" s="345" t="s">
        <v>354</v>
      </c>
      <c r="U35" s="345">
        <v>350</v>
      </c>
      <c r="V35" s="345">
        <v>210</v>
      </c>
    </row>
    <row r="36" spans="1:22" s="49" customFormat="1" ht="15" customHeight="1" x14ac:dyDescent="0.5">
      <c r="A36" s="228">
        <v>31</v>
      </c>
      <c r="B36" s="229" t="s">
        <v>168</v>
      </c>
      <c r="C36" s="230" t="s">
        <v>169</v>
      </c>
      <c r="D36" s="231" t="s">
        <v>170</v>
      </c>
      <c r="E36" s="232" t="s">
        <v>61</v>
      </c>
      <c r="F36" s="230">
        <v>8000534833</v>
      </c>
      <c r="G36" s="230" t="s">
        <v>171</v>
      </c>
      <c r="H36" s="230" t="s">
        <v>172</v>
      </c>
      <c r="I36" s="230" t="s">
        <v>173</v>
      </c>
      <c r="J36" s="251" t="s">
        <v>24</v>
      </c>
      <c r="K36" s="253">
        <v>1330880.6412001876</v>
      </c>
      <c r="L36" s="227">
        <f t="shared" si="0"/>
        <v>1198000</v>
      </c>
      <c r="M36" s="227">
        <v>252</v>
      </c>
      <c r="N36" s="392">
        <v>912</v>
      </c>
      <c r="O36" s="402"/>
      <c r="P36" s="227" t="s">
        <v>30</v>
      </c>
      <c r="Q36" s="406"/>
      <c r="R36" s="396"/>
      <c r="S36" s="258">
        <v>20</v>
      </c>
      <c r="T36" s="345" t="s">
        <v>354</v>
      </c>
      <c r="U36" s="345">
        <v>700</v>
      </c>
      <c r="V36" s="345">
        <v>280</v>
      </c>
    </row>
    <row r="37" spans="1:22" s="49" customFormat="1" ht="15" customHeight="1" thickBot="1" x14ac:dyDescent="0.55000000000000004">
      <c r="A37" s="140">
        <v>32</v>
      </c>
      <c r="B37" s="141" t="s">
        <v>174</v>
      </c>
      <c r="C37" s="104" t="s">
        <v>175</v>
      </c>
      <c r="D37" s="142" t="s">
        <v>176</v>
      </c>
      <c r="E37" s="143" t="s">
        <v>177</v>
      </c>
      <c r="F37" s="104">
        <v>6751141316</v>
      </c>
      <c r="G37" s="104">
        <v>1010078999</v>
      </c>
      <c r="H37" s="104" t="s">
        <v>43</v>
      </c>
      <c r="I37" s="104" t="s">
        <v>44</v>
      </c>
      <c r="J37" s="252" t="s">
        <v>24</v>
      </c>
      <c r="K37" s="256">
        <v>1377841.2000000463</v>
      </c>
      <c r="L37" s="184">
        <f t="shared" si="0"/>
        <v>1240000</v>
      </c>
      <c r="M37" s="184">
        <v>252</v>
      </c>
      <c r="N37" s="393">
        <v>835</v>
      </c>
      <c r="O37" s="403" t="s">
        <v>2</v>
      </c>
      <c r="P37" s="184" t="s">
        <v>30</v>
      </c>
      <c r="Q37" s="407" t="s">
        <v>384</v>
      </c>
      <c r="R37" s="397"/>
      <c r="S37" s="259">
        <v>20</v>
      </c>
      <c r="T37" s="346" t="s">
        <v>354</v>
      </c>
      <c r="U37" s="346">
        <v>466.19999999999993</v>
      </c>
      <c r="V37" s="346">
        <v>490</v>
      </c>
    </row>
    <row r="38" spans="1:22" s="50" customFormat="1" ht="15.3" thickBot="1" x14ac:dyDescent="0.55000000000000004">
      <c r="B38" s="51"/>
      <c r="C38" s="51"/>
      <c r="D38" s="51"/>
      <c r="E38" s="51"/>
      <c r="F38" s="51"/>
      <c r="J38" s="52" t="s">
        <v>178</v>
      </c>
      <c r="K38" s="254">
        <f>SUM(K6:K37)</f>
        <v>40349506.970300369</v>
      </c>
      <c r="L38" s="255">
        <f>SUM(L$6:L$37)</f>
        <v>36316000</v>
      </c>
      <c r="M38" s="255">
        <f>SUM(M$6:M$37)</f>
        <v>6556.5</v>
      </c>
      <c r="N38" s="400">
        <f>SUM(N$6:N$37)</f>
        <v>19734</v>
      </c>
      <c r="O38" s="43"/>
      <c r="P38" s="272"/>
      <c r="Q38" s="272"/>
      <c r="R38" s="272"/>
    </row>
    <row r="39" spans="1:22" s="50" customFormat="1" ht="15.6" x14ac:dyDescent="0.6">
      <c r="A39" s="100" t="s">
        <v>179</v>
      </c>
      <c r="B39" s="51"/>
      <c r="C39" s="51"/>
      <c r="D39" s="51"/>
      <c r="E39" s="51"/>
      <c r="F39" s="51"/>
      <c r="M39" s="43"/>
      <c r="N39" s="49"/>
      <c r="O39" s="43"/>
      <c r="P39" s="43"/>
      <c r="Q39" s="43"/>
      <c r="R39" s="43"/>
    </row>
    <row r="40" spans="1:22" x14ac:dyDescent="0.55000000000000004">
      <c r="A40" s="144" t="s">
        <v>180</v>
      </c>
      <c r="F40" s="43"/>
      <c r="G40" s="53"/>
      <c r="H40" s="54"/>
      <c r="I40" s="233"/>
      <c r="N40" s="49"/>
    </row>
    <row r="41" spans="1:22" x14ac:dyDescent="0.55000000000000004">
      <c r="A41" s="306" t="s">
        <v>327</v>
      </c>
      <c r="F41" s="43"/>
      <c r="G41" s="53"/>
      <c r="H41" s="54"/>
      <c r="I41" s="233"/>
    </row>
    <row r="42" spans="1:22" x14ac:dyDescent="0.55000000000000004">
      <c r="A42" s="306" t="s">
        <v>336</v>
      </c>
      <c r="F42" s="43"/>
      <c r="G42" s="53"/>
      <c r="H42" s="54"/>
      <c r="I42" s="233"/>
    </row>
    <row r="43" spans="1:22" x14ac:dyDescent="0.55000000000000004">
      <c r="A43" s="306"/>
      <c r="F43" s="43"/>
      <c r="G43" s="53"/>
      <c r="H43" s="54"/>
      <c r="I43" s="233"/>
      <c r="K43" s="233"/>
    </row>
    <row r="44" spans="1:22" x14ac:dyDescent="0.55000000000000004">
      <c r="A44" s="306"/>
      <c r="F44" s="43"/>
      <c r="G44" s="53"/>
      <c r="H44" s="54"/>
      <c r="I44" s="233"/>
      <c r="K44" s="233"/>
    </row>
    <row r="45" spans="1:22" x14ac:dyDescent="0.55000000000000004">
      <c r="A45" s="306"/>
      <c r="F45" s="43"/>
      <c r="G45" s="53"/>
      <c r="H45" s="54"/>
      <c r="I45" s="233"/>
      <c r="K45" s="233"/>
    </row>
    <row r="46" spans="1:22" x14ac:dyDescent="0.5">
      <c r="F46" s="43"/>
      <c r="G46" s="53"/>
      <c r="H46" s="54"/>
      <c r="I46" s="233"/>
      <c r="K46" s="233"/>
    </row>
    <row r="47" spans="1:22" x14ac:dyDescent="0.5">
      <c r="F47" s="43"/>
      <c r="G47" s="53"/>
      <c r="H47" s="54"/>
      <c r="I47" s="233"/>
      <c r="K47" s="233"/>
    </row>
    <row r="48" spans="1:22" x14ac:dyDescent="0.5">
      <c r="F48" s="43"/>
      <c r="G48" s="53"/>
      <c r="H48" s="54"/>
      <c r="I48" s="233"/>
      <c r="K48" s="233"/>
    </row>
    <row r="49" spans="6:11" x14ac:dyDescent="0.5">
      <c r="F49" s="43"/>
      <c r="G49" s="53"/>
      <c r="H49" s="54"/>
      <c r="I49" s="233"/>
      <c r="K49" s="233"/>
    </row>
    <row r="50" spans="6:11" x14ac:dyDescent="0.5">
      <c r="F50" s="43"/>
      <c r="G50" s="53"/>
      <c r="H50" s="54"/>
      <c r="I50" s="233"/>
      <c r="K50" s="233"/>
    </row>
    <row r="51" spans="6:11" x14ac:dyDescent="0.5">
      <c r="F51" s="43"/>
      <c r="G51" s="53"/>
      <c r="H51" s="54"/>
      <c r="I51" s="233"/>
      <c r="K51" s="233"/>
    </row>
    <row r="52" spans="6:11" x14ac:dyDescent="0.5">
      <c r="F52" s="43"/>
      <c r="G52" s="53"/>
      <c r="H52" s="54"/>
      <c r="I52" s="410"/>
      <c r="K52" s="233"/>
    </row>
    <row r="53" spans="6:11" x14ac:dyDescent="0.5">
      <c r="F53" s="43"/>
      <c r="G53" s="53"/>
      <c r="H53" s="54"/>
      <c r="I53" s="410"/>
      <c r="K53" s="233"/>
    </row>
    <row r="54" spans="6:11" x14ac:dyDescent="0.5">
      <c r="F54" s="43"/>
      <c r="G54" s="53"/>
      <c r="H54" s="54"/>
      <c r="I54" s="410"/>
      <c r="K54" s="233"/>
    </row>
    <row r="55" spans="6:11" x14ac:dyDescent="0.5">
      <c r="F55" s="43"/>
      <c r="G55" s="56"/>
      <c r="H55" s="233"/>
      <c r="I55" s="410"/>
      <c r="K55" s="233"/>
    </row>
    <row r="56" spans="6:11" x14ac:dyDescent="0.5">
      <c r="F56" s="43"/>
      <c r="G56" s="56"/>
      <c r="H56" s="233"/>
      <c r="I56" s="233"/>
      <c r="K56" s="233"/>
    </row>
    <row r="57" spans="6:11" x14ac:dyDescent="0.5">
      <c r="F57" s="43"/>
      <c r="G57" s="56"/>
      <c r="H57" s="233"/>
      <c r="I57" s="233"/>
      <c r="K57" s="233"/>
    </row>
    <row r="58" spans="6:11" x14ac:dyDescent="0.5">
      <c r="F58" s="43"/>
      <c r="G58" s="56"/>
      <c r="H58" s="233"/>
      <c r="I58" s="233"/>
      <c r="K58" s="233"/>
    </row>
    <row r="59" spans="6:11" x14ac:dyDescent="0.5">
      <c r="F59" s="43"/>
      <c r="G59" s="56"/>
      <c r="H59" s="233"/>
      <c r="I59" s="233"/>
      <c r="K59" s="233"/>
    </row>
    <row r="60" spans="6:11" x14ac:dyDescent="0.5">
      <c r="F60" s="43"/>
      <c r="G60" s="56"/>
      <c r="H60" s="233"/>
      <c r="I60" s="233"/>
      <c r="K60" s="233"/>
    </row>
    <row r="61" spans="6:11" x14ac:dyDescent="0.5">
      <c r="F61" s="43"/>
      <c r="G61" s="56"/>
      <c r="H61" s="233"/>
      <c r="I61" s="233"/>
      <c r="K61" s="233"/>
    </row>
    <row r="62" spans="6:11" x14ac:dyDescent="0.5">
      <c r="F62" s="43"/>
      <c r="G62" s="56"/>
      <c r="H62" s="233"/>
      <c r="I62" s="233"/>
      <c r="K62" s="233"/>
    </row>
    <row r="63" spans="6:11" x14ac:dyDescent="0.5">
      <c r="K63" s="233"/>
    </row>
    <row r="64" spans="6:11" x14ac:dyDescent="0.5">
      <c r="K64" s="233"/>
    </row>
    <row r="65" spans="11:11" x14ac:dyDescent="0.5">
      <c r="K65" s="233"/>
    </row>
    <row r="66" spans="11:11" x14ac:dyDescent="0.5">
      <c r="K66" s="55"/>
    </row>
  </sheetData>
  <sheetProtection algorithmName="SHA-512" hashValue="ZA30GFdvOxxfn59ykF5ssBBVJdORhkK0Hozd+9eDYMygSMwk3WC7aR8lvI6MFaLIvvVQ6j+/Pa0wuxnnYx+X3Q==" saltValue="Ku3ngFyFgF5oPkJdZ2GDMQ==" spinCount="100000" sheet="1" objects="1" scenarios="1"/>
  <mergeCells count="2">
    <mergeCell ref="I52:I53"/>
    <mergeCell ref="I54:I55"/>
  </mergeCells>
  <phoneticPr fontId="17" type="noConversion"/>
  <pageMargins left="0.7" right="0.7" top="0.75" bottom="0.75" header="0.3" footer="0.3"/>
  <pageSetup scale="38" fitToHeight="0" orientation="landscape" r:id="rId1"/>
  <headerFooter>
    <oddFooter>&amp;L&amp;K000000&amp;D&amp;R&amp;10&amp;K000000&amp;A | &amp;P</oddFooter>
  </headerFooter>
  <ignoredErrors>
    <ignoredError sqref="F30:G31 F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99"/>
  </sheetPr>
  <dimension ref="A1:Z48"/>
  <sheetViews>
    <sheetView showGridLines="0" topLeftCell="B1" zoomScale="85" zoomScaleNormal="85" workbookViewId="0">
      <selection activeCell="L15" sqref="L15:Q46"/>
    </sheetView>
  </sheetViews>
  <sheetFormatPr defaultColWidth="8.6796875" defaultRowHeight="14.4" outlineLevelCol="1" x14ac:dyDescent="0.55000000000000004"/>
  <cols>
    <col min="1" max="1" width="9.76953125" style="3" hidden="1" customWidth="1" outlineLevel="1"/>
    <col min="2" max="2" width="14.453125" style="3" customWidth="1" collapsed="1"/>
    <col min="3" max="3" width="6.54296875" style="3" customWidth="1"/>
    <col min="4" max="4" width="16.76953125" style="3" customWidth="1"/>
    <col min="5" max="5" width="6.2265625" style="3" bestFit="1" customWidth="1"/>
    <col min="6" max="8" width="13" style="3" customWidth="1"/>
    <col min="9" max="13" width="14.08984375" style="6" customWidth="1"/>
    <col min="14" max="17" width="14.08984375" style="3" customWidth="1"/>
    <col min="18" max="21" width="8.6796875" style="3"/>
    <col min="22" max="22" width="8.6796875" style="3" customWidth="1"/>
    <col min="23" max="25" width="8.6796875" style="3" hidden="1" customWidth="1" outlineLevel="1"/>
    <col min="26" max="26" width="9.2265625" style="3" bestFit="1" customWidth="1" collapsed="1"/>
    <col min="27" max="16384" width="8.6796875" style="3"/>
  </cols>
  <sheetData>
    <row r="1" spans="1:25" s="67" customFormat="1" ht="67.900000000000006" customHeight="1" x14ac:dyDescent="0.55000000000000004">
      <c r="A1" s="65" t="s">
        <v>181</v>
      </c>
      <c r="B1" s="411" t="s">
        <v>364</v>
      </c>
      <c r="C1" s="411"/>
      <c r="D1" s="411"/>
      <c r="E1" s="411"/>
      <c r="F1" s="411"/>
      <c r="G1" s="411"/>
      <c r="H1" s="411"/>
      <c r="I1" s="411"/>
      <c r="J1" s="66"/>
      <c r="K1" s="66"/>
      <c r="L1" s="66"/>
      <c r="M1" s="66"/>
      <c r="N1" s="145"/>
      <c r="O1" s="145"/>
      <c r="P1" s="145"/>
      <c r="Q1" s="145"/>
      <c r="R1" s="145"/>
      <c r="S1" s="145"/>
      <c r="T1" s="145"/>
      <c r="U1" s="145"/>
      <c r="V1" s="145"/>
      <c r="W1" s="145"/>
      <c r="X1" s="145"/>
    </row>
    <row r="2" spans="1:25" s="10" customFormat="1" ht="30" customHeight="1" x14ac:dyDescent="0.4"/>
    <row r="3" spans="1:25" s="2" customFormat="1" ht="28.2" x14ac:dyDescent="1.05">
      <c r="A3" s="1"/>
      <c r="B3" s="12" t="str">
        <f ca="1">"Attachment C2, "&amp;MID(CELL("filename",B1),FIND("]",CELL("filename",B1))+1,256)</f>
        <v>Attachment C2, System Specification</v>
      </c>
      <c r="C3" s="1"/>
      <c r="D3" s="1"/>
      <c r="E3" s="1"/>
      <c r="F3" s="1"/>
      <c r="G3" s="1"/>
      <c r="H3" s="1"/>
      <c r="I3" s="31"/>
      <c r="J3" s="31"/>
      <c r="K3" s="31"/>
      <c r="L3" s="31"/>
      <c r="M3" s="31"/>
      <c r="N3" s="31"/>
      <c r="O3" s="31"/>
      <c r="P3" s="31"/>
      <c r="Q3" s="31"/>
      <c r="R3" s="31"/>
      <c r="S3" s="31"/>
      <c r="T3" s="31"/>
      <c r="U3" s="31"/>
      <c r="V3" s="31"/>
      <c r="W3" s="31"/>
      <c r="X3" s="31"/>
    </row>
    <row r="4" spans="1:25" s="2" customFormat="1" ht="20.399999999999999" x14ac:dyDescent="0.75">
      <c r="A4" s="1"/>
      <c r="B4" s="7" t="str">
        <f>Instructions!B7</f>
        <v>Judicial Council of California Proposed Price Quotation Form</v>
      </c>
      <c r="C4" s="1"/>
      <c r="D4" s="1"/>
      <c r="E4" s="1"/>
      <c r="F4" s="31"/>
      <c r="G4" s="31"/>
      <c r="H4" s="31"/>
      <c r="I4" s="31"/>
      <c r="J4" s="31"/>
      <c r="K4" s="31"/>
      <c r="L4" s="31"/>
      <c r="M4" s="31"/>
      <c r="N4" s="31"/>
      <c r="O4" s="31"/>
      <c r="P4" s="31"/>
      <c r="Q4" s="31"/>
      <c r="R4" s="31"/>
      <c r="S4" s="31"/>
      <c r="T4" s="31"/>
      <c r="U4" s="31"/>
      <c r="V4" s="31"/>
      <c r="W4" s="31"/>
      <c r="X4" s="31"/>
    </row>
    <row r="5" spans="1:25" s="5" customFormat="1" ht="15.6" x14ac:dyDescent="0.6">
      <c r="A5" s="4"/>
      <c r="B5" s="8"/>
      <c r="C5" s="4"/>
      <c r="D5" s="4"/>
      <c r="E5" s="4"/>
      <c r="H5" s="31"/>
      <c r="I5" s="31"/>
      <c r="J5" s="31"/>
      <c r="K5" s="31"/>
      <c r="L5" s="31"/>
      <c r="M5" s="31"/>
    </row>
    <row r="6" spans="1:25" ht="26.25" customHeight="1" x14ac:dyDescent="0.55000000000000004">
      <c r="A6" s="146"/>
      <c r="B6" s="73" t="s">
        <v>182</v>
      </c>
      <c r="C6" s="147"/>
      <c r="D6" s="412"/>
      <c r="E6" s="412"/>
      <c r="F6" s="412"/>
      <c r="G6" s="412"/>
      <c r="H6" s="31"/>
      <c r="I6" s="31"/>
      <c r="J6" s="31"/>
      <c r="K6" s="31"/>
      <c r="L6" s="31"/>
      <c r="M6" s="31"/>
      <c r="N6" s="147"/>
      <c r="O6" s="147"/>
      <c r="P6" s="147"/>
      <c r="Q6" s="147"/>
      <c r="R6" s="147"/>
      <c r="S6" s="147"/>
      <c r="T6" s="147"/>
      <c r="U6" s="147"/>
      <c r="V6" s="147"/>
      <c r="W6" s="147"/>
      <c r="X6" s="147"/>
    </row>
    <row r="7" spans="1:25" s="2" customFormat="1" ht="22.5" customHeight="1" x14ac:dyDescent="0.55000000000000004">
      <c r="A7" s="148"/>
      <c r="B7" s="149"/>
      <c r="C7" s="149"/>
      <c r="D7" s="149"/>
      <c r="E7" s="149"/>
      <c r="F7" s="149"/>
      <c r="G7" s="149"/>
      <c r="H7" s="31"/>
      <c r="I7" s="31"/>
      <c r="J7" s="31"/>
      <c r="K7" s="31"/>
      <c r="L7" s="31"/>
      <c r="M7" s="31"/>
      <c r="N7" s="31"/>
      <c r="O7" s="31"/>
      <c r="P7" s="31"/>
      <c r="Q7" s="31"/>
      <c r="R7" s="31"/>
      <c r="S7" s="31"/>
      <c r="T7" s="31"/>
      <c r="U7" s="31"/>
      <c r="V7" s="31"/>
      <c r="W7" s="31"/>
      <c r="X7" s="31"/>
    </row>
    <row r="8" spans="1:25" s="2" customFormat="1" ht="37.5" customHeight="1" x14ac:dyDescent="0.55000000000000004">
      <c r="A8" s="148"/>
      <c r="B8" s="37" t="s">
        <v>183</v>
      </c>
      <c r="C8" s="149"/>
      <c r="D8" s="149"/>
      <c r="E8" s="149"/>
      <c r="F8" s="149"/>
      <c r="G8" s="149"/>
      <c r="H8" s="31"/>
      <c r="I8" s="31"/>
      <c r="J8" s="31"/>
      <c r="K8" s="31"/>
      <c r="L8" s="31"/>
      <c r="M8" s="31"/>
      <c r="N8" s="31"/>
      <c r="O8" s="31"/>
      <c r="P8" s="31"/>
      <c r="Q8" s="31"/>
      <c r="R8" s="31"/>
      <c r="S8" s="31"/>
      <c r="T8" s="31"/>
      <c r="U8" s="31"/>
      <c r="V8" s="31"/>
      <c r="W8" s="31"/>
      <c r="X8" s="31"/>
    </row>
    <row r="9" spans="1:25" s="2" customFormat="1" ht="15.6" x14ac:dyDescent="0.55000000000000004">
      <c r="A9" s="148"/>
      <c r="B9" s="31"/>
      <c r="C9" s="31"/>
      <c r="F9" s="413" t="s">
        <v>184</v>
      </c>
      <c r="G9" s="414"/>
      <c r="H9" s="414"/>
      <c r="I9" s="415"/>
      <c r="L9" s="31"/>
      <c r="R9" s="31"/>
      <c r="S9" s="31"/>
      <c r="T9" s="31"/>
      <c r="U9" s="31"/>
    </row>
    <row r="10" spans="1:25" s="2" customFormat="1" ht="15.75" customHeight="1" x14ac:dyDescent="0.55000000000000004">
      <c r="A10" s="148"/>
      <c r="B10" s="31"/>
      <c r="C10" s="31"/>
      <c r="F10" s="416" t="s">
        <v>185</v>
      </c>
      <c r="G10" s="417"/>
      <c r="H10" s="418"/>
      <c r="I10" s="366"/>
      <c r="L10" s="31"/>
      <c r="R10" s="31"/>
      <c r="S10" s="31"/>
      <c r="T10" s="31"/>
      <c r="U10" s="31"/>
    </row>
    <row r="11" spans="1:25" s="2" customFormat="1" ht="15.75" customHeight="1" x14ac:dyDescent="0.55000000000000004">
      <c r="A11" s="148"/>
      <c r="B11" s="31"/>
      <c r="C11" s="31"/>
      <c r="F11" s="416" t="s">
        <v>186</v>
      </c>
      <c r="G11" s="417"/>
      <c r="H11" s="418"/>
      <c r="I11" s="367"/>
      <c r="L11" s="31"/>
      <c r="R11" s="31"/>
      <c r="S11" s="31"/>
      <c r="T11" s="31"/>
      <c r="U11" s="31"/>
    </row>
    <row r="12" spans="1:25" s="2" customFormat="1" ht="14.7" thickBot="1" x14ac:dyDescent="0.6">
      <c r="A12" s="148"/>
      <c r="B12" s="149"/>
      <c r="C12" s="149"/>
      <c r="D12" s="149"/>
      <c r="E12" s="149"/>
      <c r="F12" s="149"/>
      <c r="G12" s="149"/>
      <c r="H12" s="149"/>
      <c r="I12" s="31"/>
      <c r="J12" s="31"/>
      <c r="K12" s="31"/>
      <c r="L12" s="31"/>
      <c r="M12" s="31"/>
      <c r="N12" s="31"/>
      <c r="O12" s="31"/>
      <c r="P12" s="31"/>
      <c r="Q12" s="31"/>
      <c r="R12" s="31"/>
      <c r="S12" s="31"/>
      <c r="T12" s="31"/>
      <c r="U12" s="31"/>
      <c r="V12" s="31"/>
      <c r="W12" s="31"/>
      <c r="X12" s="31"/>
    </row>
    <row r="13" spans="1:25" s="2" customFormat="1" ht="20.7" thickBot="1" x14ac:dyDescent="0.6">
      <c r="A13" s="148"/>
      <c r="B13" s="149"/>
      <c r="C13" s="149"/>
      <c r="D13" s="149"/>
      <c r="E13" s="149"/>
      <c r="F13" s="149"/>
      <c r="G13" s="149"/>
      <c r="H13" s="149"/>
      <c r="I13" s="419" t="s">
        <v>190</v>
      </c>
      <c r="J13" s="420"/>
      <c r="K13" s="421"/>
      <c r="L13" s="422" t="s">
        <v>191</v>
      </c>
      <c r="M13" s="423"/>
      <c r="N13" s="423"/>
      <c r="O13" s="423"/>
      <c r="P13" s="423"/>
      <c r="Q13" s="424"/>
      <c r="R13" s="31"/>
      <c r="S13" s="31"/>
      <c r="T13" s="31"/>
      <c r="U13" s="31"/>
      <c r="V13" s="31"/>
      <c r="W13" s="31"/>
      <c r="X13" s="31"/>
      <c r="Y13" s="31"/>
    </row>
    <row r="14" spans="1:25" s="17" customFormat="1" ht="72.3" thickBot="1" x14ac:dyDescent="0.6">
      <c r="A14" s="19" t="s">
        <v>181</v>
      </c>
      <c r="B14" s="60" t="str">
        <f>'Site Data'!A5</f>
        <v>Site Number</v>
      </c>
      <c r="C14" s="431" t="str">
        <f>'Site Data'!B5</f>
        <v>Site Name</v>
      </c>
      <c r="D14" s="432"/>
      <c r="E14" s="190" t="str">
        <f>'Site Data'!C5</f>
        <v>Site ID</v>
      </c>
      <c r="F14" s="124" t="str">
        <f>'Site Data'!L5</f>
        <v>Year 1 Target PV Production (kWh)</v>
      </c>
      <c r="G14" s="263" t="s">
        <v>193</v>
      </c>
      <c r="H14" s="68" t="s">
        <v>333</v>
      </c>
      <c r="I14" s="60" t="s">
        <v>194</v>
      </c>
      <c r="J14" s="348" t="s">
        <v>351</v>
      </c>
      <c r="K14" s="70" t="s">
        <v>352</v>
      </c>
      <c r="L14" s="347" t="s">
        <v>195</v>
      </c>
      <c r="M14" s="348" t="s">
        <v>196</v>
      </c>
      <c r="N14" s="348" t="s">
        <v>363</v>
      </c>
      <c r="O14" s="348" t="s">
        <v>187</v>
      </c>
      <c r="P14" s="348" t="s">
        <v>188</v>
      </c>
      <c r="Q14" s="70" t="s">
        <v>189</v>
      </c>
    </row>
    <row r="15" spans="1:25" s="2" customFormat="1" ht="15" customHeight="1" x14ac:dyDescent="0.55000000000000004">
      <c r="A15" s="101">
        <f>B15</f>
        <v>1</v>
      </c>
      <c r="B15" s="269">
        <v>1</v>
      </c>
      <c r="C15" s="429" t="str">
        <f>INDEX(Site_Data_Table,MATCH($B15,'Site Data'!$A$5:$A$37,0),MATCH(C$14,Site_Data_Column_Names,0))</f>
        <v>Fremont Hall of Justice</v>
      </c>
      <c r="D15" s="430" t="e">
        <f>INDEX('Site Data'!$A$6:$N$37,MATCH($B15,'Site Data'!$A$6:$A$37,0),MATCH(D$14,'Site Data'!$A$5:$N$5,0))</f>
        <v>#N/A</v>
      </c>
      <c r="E15" s="270" t="str">
        <f>INDEX(Site_Data_Table,MATCH($B15,'Site Data'!$A$5:$A$37,0),MATCH(E$14,Site_Data_Column_Names,0))</f>
        <v>01-H1</v>
      </c>
      <c r="F15" s="268">
        <f>INDEX('Site Data'!$A$6:$N$37,MATCH($B15,'Site Data'!$A$6:$A$37,0),MATCH(F$14,'Site Data'!$A$5:$N$5,0))</f>
        <v>735000</v>
      </c>
      <c r="G15" s="353" t="str">
        <f>_xlfn.TEXTJOIN(" / ",1,INDEX('Site Data'!$M$6:$M$37,$B15),INDEX('Site Data'!$N$6:$N$37,$B15))</f>
        <v>189 / 559</v>
      </c>
      <c r="H15" s="328"/>
      <c r="I15" s="368"/>
      <c r="J15" s="363" t="str">
        <f>_xlfn.LET(_xlpm.term,INDEX('Site Data'!$S$6:$S$37,MATCH($A15,'Site Data'!$A$6:$A$37,0)),
_xlpm.avg_pcnt_prod,INDEX('System Specification'!$Y$15:$Y$38,MATCH(_xlpm.term,'System Specification'!$W$15:$W$38,0)),
IF(AND($I$10&gt;0,$I$11&gt;0),ROUND((I15*(_xlpm.term-1)*_xlpm.avg_pcnt_prod),-3),""))</f>
        <v/>
      </c>
      <c r="K15" s="364">
        <f t="shared" ref="K15:K46" si="0">IFERROR(I15+J15,0)</f>
        <v>0</v>
      </c>
      <c r="L15" s="509"/>
      <c r="M15" s="510"/>
      <c r="N15" s="511"/>
      <c r="O15" s="511"/>
      <c r="P15" s="511"/>
      <c r="Q15" s="512"/>
      <c r="R15" s="31"/>
      <c r="S15" s="31"/>
      <c r="T15" s="31"/>
      <c r="U15" s="31"/>
      <c r="V15" s="31"/>
      <c r="W15" s="147">
        <v>2</v>
      </c>
      <c r="X15" s="151">
        <f>1-I11</f>
        <v>1</v>
      </c>
      <c r="Y15" s="151">
        <f>AVERAGE(X$15:X15)</f>
        <v>1</v>
      </c>
    </row>
    <row r="16" spans="1:25" s="2" customFormat="1" ht="15" customHeight="1" x14ac:dyDescent="0.55000000000000004">
      <c r="A16" s="101">
        <f t="shared" ref="A16:A46" si="1">A15+1</f>
        <v>2</v>
      </c>
      <c r="B16" s="95">
        <f>B15+1</f>
        <v>2</v>
      </c>
      <c r="C16" s="427" t="str">
        <f>INDEX(Site_Data_Table,MATCH($B16,'Site Data'!$A$5:$A$37,0),MATCH(C$14,Site_Data_Column_Names,0))</f>
        <v>Amador Superior Court</v>
      </c>
      <c r="D16" s="428" t="e">
        <f>INDEX('Site Data'!$A$6:$N$37,MATCH($B16,'Site Data'!$A$6:$A$37,0),MATCH(D$14,'Site Data'!$A$5:$N$5,0))</f>
        <v>#N/A</v>
      </c>
      <c r="E16" s="191" t="str">
        <f>INDEX(Site_Data_Table,MATCH($B16,'Site Data'!$A$5:$A$37,0),MATCH(E$14,Site_Data_Column_Names,0))</f>
        <v>03-C1</v>
      </c>
      <c r="F16" s="97">
        <f>INDEX('Site Data'!$A$6:$N$37,MATCH($B16,'Site Data'!$A$6:$A$37,0),MATCH(F$14,'Site Data'!$A$5:$N$5,0))</f>
        <v>233000</v>
      </c>
      <c r="G16" s="354" t="str">
        <f>_xlfn.TEXTJOIN(" / ",1,INDEX('Site Data'!$M$6:$M$37,$B16),INDEX('Site Data'!$N$6:$N$37,$B16))</f>
        <v>63 / 177</v>
      </c>
      <c r="H16" s="508" t="s">
        <v>4</v>
      </c>
      <c r="I16" s="369"/>
      <c r="J16" s="359" t="str">
        <f>_xlfn.LET(_xlpm.term,INDEX('Site Data'!$S$6:$S$37,MATCH($A16,'Site Data'!$A$6:$A$37,0)),
_xlpm.avg_pcnt_prod,INDEX('System Specification'!$Y$15:$Y$38,MATCH(_xlpm.term,'System Specification'!$W$15:$W$38,0)),
IF(AND($I$10&gt;0,$I$11&gt;0),ROUND((I16*(_xlpm.term-1)*_xlpm.avg_pcnt_prod),-3),""))</f>
        <v/>
      </c>
      <c r="K16" s="360">
        <f t="shared" si="0"/>
        <v>0</v>
      </c>
      <c r="L16" s="513"/>
      <c r="M16" s="514"/>
      <c r="N16" s="515"/>
      <c r="O16" s="515"/>
      <c r="P16" s="515"/>
      <c r="Q16" s="516"/>
      <c r="R16" s="31"/>
      <c r="S16" s="31"/>
      <c r="T16" s="31"/>
      <c r="U16" s="31"/>
      <c r="V16" s="31"/>
      <c r="W16" s="147">
        <f>W15+1</f>
        <v>3</v>
      </c>
      <c r="X16" s="151">
        <f t="shared" ref="X16:X38" si="2">X15*(1-$I$11)</f>
        <v>1</v>
      </c>
      <c r="Y16" s="151">
        <f>AVERAGE(X$15:X16)</f>
        <v>1</v>
      </c>
    </row>
    <row r="17" spans="1:26" s="2" customFormat="1" ht="15" customHeight="1" x14ac:dyDescent="0.55000000000000004">
      <c r="A17" s="101">
        <f t="shared" si="1"/>
        <v>3</v>
      </c>
      <c r="B17" s="95">
        <f t="shared" ref="B17:B46" si="3">B16+1</f>
        <v>3</v>
      </c>
      <c r="C17" s="433" t="str">
        <f>INDEX(Site_Data_Table,MATCH($B17,'Site Data'!$A$5:$A$37,0),MATCH(C$14,Site_Data_Column_Names,0))</f>
        <v>North Butte County Courthouse</v>
      </c>
      <c r="D17" s="434" t="e">
        <f>INDEX('Site Data'!$A$6:$N$37,MATCH($B17,'Site Data'!$A$6:$A$37,0),MATCH(D$14,'Site Data'!$A$5:$N$5,0))</f>
        <v>#N/A</v>
      </c>
      <c r="E17" s="192" t="str">
        <f>INDEX(Site_Data_Table,MATCH($B17,'Site Data'!$A$5:$A$37,0),MATCH(E$14,Site_Data_Column_Names,0))</f>
        <v>04-F1</v>
      </c>
      <c r="F17" s="97">
        <f>INDEX('Site Data'!$A$6:$N$37,MATCH($B17,'Site Data'!$A$6:$A$37,0),MATCH(F$14,'Site Data'!$A$5:$N$5,0))</f>
        <v>893000</v>
      </c>
      <c r="G17" s="354" t="str">
        <f>_xlfn.TEXTJOIN(" / ",1,INDEX('Site Data'!$M$6:$M$37,$B17),INDEX('Site Data'!$N$6:$N$37,$B17))</f>
        <v>315 / 680</v>
      </c>
      <c r="H17" s="508" t="s">
        <v>4</v>
      </c>
      <c r="I17" s="369"/>
      <c r="J17" s="359" t="str">
        <f>_xlfn.LET(_xlpm.term,INDEX('Site Data'!$S$6:$S$37,MATCH($A17,'Site Data'!$A$6:$A$37,0)),
_xlpm.avg_pcnt_prod,INDEX('System Specification'!$Y$15:$Y$38,MATCH(_xlpm.term,'System Specification'!$W$15:$W$38,0)),
IF(AND($I$10&gt;0,$I$11&gt;0),ROUND((I17*(_xlpm.term-1)*_xlpm.avg_pcnt_prod),-3),""))</f>
        <v/>
      </c>
      <c r="K17" s="360">
        <f t="shared" si="0"/>
        <v>0</v>
      </c>
      <c r="L17" s="513"/>
      <c r="M17" s="514"/>
      <c r="N17" s="515"/>
      <c r="O17" s="515"/>
      <c r="P17" s="515"/>
      <c r="Q17" s="516"/>
      <c r="R17" s="31"/>
      <c r="S17" s="31"/>
      <c r="T17" s="31"/>
      <c r="U17" s="31"/>
      <c r="V17" s="31"/>
      <c r="W17" s="147">
        <f t="shared" ref="W17:W25" si="4">W16+1</f>
        <v>4</v>
      </c>
      <c r="X17" s="151">
        <f t="shared" si="2"/>
        <v>1</v>
      </c>
      <c r="Y17" s="151">
        <f>AVERAGE(X$15:X17)</f>
        <v>1</v>
      </c>
    </row>
    <row r="18" spans="1:26" s="2" customFormat="1" ht="15" customHeight="1" x14ac:dyDescent="0.55000000000000004">
      <c r="A18" s="101">
        <f t="shared" si="1"/>
        <v>4</v>
      </c>
      <c r="B18" s="95">
        <f t="shared" si="3"/>
        <v>4</v>
      </c>
      <c r="C18" s="433" t="str">
        <f>INDEX(Site_Data_Table,MATCH($B18,'Site Data'!$A$5:$A$37,0),MATCH(C$14,Site_Data_Column_Names,0))</f>
        <v>Bray Courts</v>
      </c>
      <c r="D18" s="434" t="e">
        <f>INDEX('Site Data'!$A$6:$N$37,MATCH($B18,'Site Data'!$A$6:$A$37,0),MATCH(D$14,'Site Data'!$A$5:$N$5,0))</f>
        <v>#N/A</v>
      </c>
      <c r="E18" s="192" t="str">
        <f>INDEX(Site_Data_Table,MATCH($B18,'Site Data'!$A$5:$A$37,0),MATCH(E$14,Site_Data_Column_Names,0))</f>
        <v>07-A3</v>
      </c>
      <c r="F18" s="97">
        <f>INDEX('Site Data'!$A$6:$N$37,MATCH($B18,'Site Data'!$A$6:$A$37,0),MATCH(F$14,'Site Data'!$A$5:$N$5,0))</f>
        <v>675000</v>
      </c>
      <c r="G18" s="354" t="str">
        <f>_xlfn.TEXTJOIN(" / ",1,INDEX('Site Data'!$M$6:$M$37,$B18),INDEX('Site Data'!$N$6:$N$37,$B18))</f>
        <v>189 / 514</v>
      </c>
      <c r="H18" s="329"/>
      <c r="I18" s="369"/>
      <c r="J18" s="359" t="str">
        <f>_xlfn.LET(_xlpm.term,INDEX('Site Data'!$S$6:$S$37,MATCH($A18,'Site Data'!$A$6:$A$37,0)),
_xlpm.avg_pcnt_prod,INDEX('System Specification'!$Y$15:$Y$38,MATCH(_xlpm.term,'System Specification'!$W$15:$W$38,0)),
IF(AND($I$10&gt;0,$I$11&gt;0),ROUND((I18*(_xlpm.term-1)*_xlpm.avg_pcnt_prod),-3),""))</f>
        <v/>
      </c>
      <c r="K18" s="360">
        <f t="shared" si="0"/>
        <v>0</v>
      </c>
      <c r="L18" s="513"/>
      <c r="M18" s="514"/>
      <c r="N18" s="515"/>
      <c r="O18" s="515"/>
      <c r="P18" s="515"/>
      <c r="Q18" s="516"/>
      <c r="R18" s="31"/>
      <c r="S18" s="31"/>
      <c r="T18" s="31"/>
      <c r="U18" s="31"/>
      <c r="V18" s="31"/>
      <c r="W18" s="147">
        <f t="shared" si="4"/>
        <v>5</v>
      </c>
      <c r="X18" s="151">
        <f t="shared" si="2"/>
        <v>1</v>
      </c>
      <c r="Y18" s="151">
        <f>AVERAGE(X$15:X18)</f>
        <v>1</v>
      </c>
    </row>
    <row r="19" spans="1:26" s="2" customFormat="1" ht="15" customHeight="1" x14ac:dyDescent="0.55000000000000004">
      <c r="A19" s="101">
        <f t="shared" si="1"/>
        <v>5</v>
      </c>
      <c r="B19" s="95">
        <f t="shared" si="3"/>
        <v>5</v>
      </c>
      <c r="C19" s="433" t="str">
        <f>INDEX(Site_Data_Table,MATCH($B19,'Site Data'!$A$5:$A$37,0),MATCH(C$14,Site_Data_Column_Names,0))</f>
        <v>Richard E. Arnason Justice Center</v>
      </c>
      <c r="D19" s="434" t="e">
        <f>INDEX('Site Data'!$A$6:$N$37,MATCH($B19,'Site Data'!$A$6:$A$37,0),MATCH(D$14,'Site Data'!$A$5:$N$5,0))</f>
        <v>#N/A</v>
      </c>
      <c r="E19" s="192" t="str">
        <f>INDEX(Site_Data_Table,MATCH($B19,'Site Data'!$A$5:$A$37,0),MATCH(E$14,Site_Data_Column_Names,0))</f>
        <v>07-E3</v>
      </c>
      <c r="F19" s="97">
        <f>INDEX('Site Data'!$A$6:$N$37,MATCH($B19,'Site Data'!$A$6:$A$37,0),MATCH(F$14,'Site Data'!$A$5:$N$5,0))</f>
        <v>750000</v>
      </c>
      <c r="G19" s="354" t="str">
        <f>_xlfn.TEXTJOIN(" / ",1,INDEX('Site Data'!$M$6:$M$37,$B19),INDEX('Site Data'!$N$6:$N$37,$B19))</f>
        <v>189 / 571</v>
      </c>
      <c r="H19" s="508" t="s">
        <v>4</v>
      </c>
      <c r="I19" s="369"/>
      <c r="J19" s="359" t="str">
        <f>_xlfn.LET(_xlpm.term,INDEX('Site Data'!$S$6:$S$37,MATCH($A19,'Site Data'!$A$6:$A$37,0)),
_xlpm.avg_pcnt_prod,INDEX('System Specification'!$Y$15:$Y$38,MATCH(_xlpm.term,'System Specification'!$W$15:$W$38,0)),
IF(AND($I$10&gt;0,$I$11&gt;0),ROUND((I19*(_xlpm.term-1)*_xlpm.avg_pcnt_prod),-3),""))</f>
        <v/>
      </c>
      <c r="K19" s="360">
        <f t="shared" si="0"/>
        <v>0</v>
      </c>
      <c r="L19" s="513"/>
      <c r="M19" s="514"/>
      <c r="N19" s="515"/>
      <c r="O19" s="515"/>
      <c r="P19" s="515"/>
      <c r="Q19" s="516"/>
      <c r="R19" s="31"/>
      <c r="S19" s="31"/>
      <c r="T19" s="31"/>
      <c r="U19" s="31"/>
      <c r="V19" s="31"/>
      <c r="W19" s="147">
        <f t="shared" si="4"/>
        <v>6</v>
      </c>
      <c r="X19" s="151">
        <f t="shared" si="2"/>
        <v>1</v>
      </c>
      <c r="Y19" s="151">
        <f>AVERAGE(X$15:X19)</f>
        <v>1</v>
      </c>
    </row>
    <row r="20" spans="1:26" s="2" customFormat="1" ht="15" customHeight="1" x14ac:dyDescent="0.55000000000000004">
      <c r="A20" s="101">
        <f t="shared" si="1"/>
        <v>6</v>
      </c>
      <c r="B20" s="95">
        <f t="shared" si="3"/>
        <v>6</v>
      </c>
      <c r="C20" s="433" t="str">
        <f>INDEX(Site_Data_Table,MATCH($B20,'Site Data'!$A$5:$A$37,0),MATCH(C$14,Site_Data_Column_Names,0))</f>
        <v>Walnut Creek Courthouse</v>
      </c>
      <c r="D20" s="434" t="e">
        <f>INDEX('Site Data'!$A$6:$N$37,MATCH($B20,'Site Data'!$A$6:$A$37,0),MATCH(D$14,'Site Data'!$A$5:$N$5,0))</f>
        <v>#N/A</v>
      </c>
      <c r="E20" s="192" t="str">
        <f>INDEX(Site_Data_Table,MATCH($B20,'Site Data'!$A$5:$A$37,0),MATCH(E$14,Site_Data_Column_Names,0))</f>
        <v>07-C1</v>
      </c>
      <c r="F20" s="97">
        <f>INDEX('Site Data'!$A$6:$N$37,MATCH($B20,'Site Data'!$A$6:$A$37,0),MATCH(F$14,'Site Data'!$A$5:$N$5,0))</f>
        <v>165000</v>
      </c>
      <c r="G20" s="354" t="str">
        <f>_xlfn.TEXTJOIN(" / ",1,INDEX('Site Data'!$M$6:$M$37,$B20),INDEX('Site Data'!$N$6:$N$37,$B20))</f>
        <v>63 / 125</v>
      </c>
      <c r="H20" s="508" t="s">
        <v>4</v>
      </c>
      <c r="I20" s="369"/>
      <c r="J20" s="359" t="str">
        <f>_xlfn.LET(_xlpm.term,INDEX('Site Data'!$S$6:$S$37,MATCH($A20,'Site Data'!$A$6:$A$37,0)),
_xlpm.avg_pcnt_prod,INDEX('System Specification'!$Y$15:$Y$38,MATCH(_xlpm.term,'System Specification'!$W$15:$W$38,0)),
IF(AND($I$10&gt;0,$I$11&gt;0),ROUND((I20*(_xlpm.term-1)*_xlpm.avg_pcnt_prod),-3),""))</f>
        <v/>
      </c>
      <c r="K20" s="360">
        <f t="shared" si="0"/>
        <v>0</v>
      </c>
      <c r="L20" s="513"/>
      <c r="M20" s="514"/>
      <c r="N20" s="515"/>
      <c r="O20" s="515"/>
      <c r="P20" s="515"/>
      <c r="Q20" s="516"/>
      <c r="R20" s="31"/>
      <c r="S20" s="31"/>
      <c r="T20" s="31"/>
      <c r="U20" s="31"/>
      <c r="V20" s="31"/>
      <c r="W20" s="147">
        <f t="shared" si="4"/>
        <v>7</v>
      </c>
      <c r="X20" s="151">
        <f t="shared" si="2"/>
        <v>1</v>
      </c>
      <c r="Y20" s="151">
        <f>AVERAGE(X$15:X20)</f>
        <v>1</v>
      </c>
    </row>
    <row r="21" spans="1:26" s="2" customFormat="1" ht="15" customHeight="1" x14ac:dyDescent="0.55000000000000004">
      <c r="A21" s="101">
        <f t="shared" si="1"/>
        <v>7</v>
      </c>
      <c r="B21" s="95">
        <f t="shared" si="3"/>
        <v>7</v>
      </c>
      <c r="C21" s="433" t="str">
        <f>INDEX(Site_Data_Table,MATCH($B21,'Site Data'!$A$5:$A$37,0),MATCH(C$14,Site_Data_Column_Names,0))</f>
        <v>B. F. Sisk Courthouse</v>
      </c>
      <c r="D21" s="434" t="e">
        <f>INDEX('Site Data'!$A$6:$N$37,MATCH($B21,'Site Data'!$A$6:$A$37,0),MATCH(D$14,'Site Data'!$A$5:$N$5,0))</f>
        <v>#N/A</v>
      </c>
      <c r="E21" s="192" t="str">
        <f>INDEX(Site_Data_Table,MATCH($B21,'Site Data'!$A$5:$A$37,0),MATCH(E$14,Site_Data_Column_Names,0))</f>
        <v>10-O1</v>
      </c>
      <c r="F21" s="97">
        <f>INDEX('Site Data'!$A$6:$N$37,MATCH($B21,'Site Data'!$A$6:$A$37,0),MATCH(F$14,'Site Data'!$A$5:$N$5,0))</f>
        <v>1604000</v>
      </c>
      <c r="G21" s="354" t="str">
        <f>_xlfn.TEXTJOIN(" / ",1,INDEX('Site Data'!$M$6:$M$37,$B21),INDEX('Site Data'!$N$6:$N$37,$B21))</f>
        <v>378 / 1221</v>
      </c>
      <c r="H21" s="329"/>
      <c r="I21" s="369"/>
      <c r="J21" s="359" t="str">
        <f>_xlfn.LET(_xlpm.term,INDEX('Site Data'!$S$6:$S$37,MATCH($A21,'Site Data'!$A$6:$A$37,0)),
_xlpm.avg_pcnt_prod,INDEX('System Specification'!$Y$15:$Y$38,MATCH(_xlpm.term,'System Specification'!$W$15:$W$38,0)),
IF(AND($I$10&gt;0,$I$11&gt;0),ROUND((I21*(_xlpm.term-1)*_xlpm.avg_pcnt_prod),-3),""))</f>
        <v/>
      </c>
      <c r="K21" s="360">
        <f t="shared" si="0"/>
        <v>0</v>
      </c>
      <c r="L21" s="513"/>
      <c r="M21" s="514"/>
      <c r="N21" s="515"/>
      <c r="O21" s="515"/>
      <c r="P21" s="515"/>
      <c r="Q21" s="516"/>
      <c r="R21" s="31"/>
      <c r="S21" s="31"/>
      <c r="T21" s="31"/>
      <c r="U21" s="31"/>
      <c r="V21" s="31"/>
      <c r="W21" s="147">
        <f t="shared" si="4"/>
        <v>8</v>
      </c>
      <c r="X21" s="151">
        <f t="shared" si="2"/>
        <v>1</v>
      </c>
      <c r="Y21" s="151">
        <f>AVERAGE(X$15:X21)</f>
        <v>1</v>
      </c>
    </row>
    <row r="22" spans="1:26" s="2" customFormat="1" ht="15" customHeight="1" x14ac:dyDescent="0.55000000000000004">
      <c r="A22" s="101">
        <f t="shared" si="1"/>
        <v>8</v>
      </c>
      <c r="B22" s="95">
        <f t="shared" si="3"/>
        <v>8</v>
      </c>
      <c r="C22" s="433" t="str">
        <f>INDEX(Site_Data_Table,MATCH($B22,'Site Data'!$A$5:$A$37,0),MATCH(C$14,Site_Data_Column_Names,0))</f>
        <v>Imperial County Courthouse</v>
      </c>
      <c r="D22" s="434" t="e">
        <f>INDEX('Site Data'!$A$6:$N$37,MATCH($B22,'Site Data'!$A$6:$A$37,0),MATCH(D$14,'Site Data'!$A$5:$N$5,0))</f>
        <v>#N/A</v>
      </c>
      <c r="E22" s="192" t="str">
        <f>INDEX(Site_Data_Table,MATCH($B22,'Site Data'!$A$5:$A$37,0),MATCH(E$14,Site_Data_Column_Names,0))</f>
        <v>13-A1</v>
      </c>
      <c r="F22" s="97">
        <f>INDEX('Site Data'!$A$6:$N$37,MATCH($B22,'Site Data'!$A$6:$A$37,0),MATCH(F$14,'Site Data'!$A$5:$N$5,0))</f>
        <v>354000</v>
      </c>
      <c r="G22" s="354" t="str">
        <f>_xlfn.TEXTJOIN(" / ",1,INDEX('Site Data'!$M$6:$M$37,$B22),INDEX('Site Data'!$N$6:$N$37,$B22))</f>
        <v>45 / 180</v>
      </c>
      <c r="H22" s="508" t="s">
        <v>4</v>
      </c>
      <c r="I22" s="369"/>
      <c r="J22" s="359" t="str">
        <f>_xlfn.LET(_xlpm.term,INDEX('Site Data'!$S$6:$S$37,MATCH($A22,'Site Data'!$A$6:$A$37,0)),
_xlpm.avg_pcnt_prod,INDEX('System Specification'!$Y$15:$Y$38,MATCH(_xlpm.term,'System Specification'!$W$15:$W$38,0)),
IF(AND($I$10&gt;0,$I$11&gt;0),ROUND((I22*(_xlpm.term-1)*_xlpm.avg_pcnt_prod),-3),""))</f>
        <v/>
      </c>
      <c r="K22" s="360">
        <f t="shared" si="0"/>
        <v>0</v>
      </c>
      <c r="L22" s="513"/>
      <c r="M22" s="514"/>
      <c r="N22" s="515"/>
      <c r="O22" s="515"/>
      <c r="P22" s="515"/>
      <c r="Q22" s="516"/>
      <c r="R22" s="31"/>
      <c r="S22" s="31"/>
      <c r="T22" s="31"/>
      <c r="U22" s="31"/>
      <c r="V22" s="31"/>
      <c r="W22" s="147">
        <f t="shared" si="4"/>
        <v>9</v>
      </c>
      <c r="X22" s="151">
        <f t="shared" si="2"/>
        <v>1</v>
      </c>
      <c r="Y22" s="151">
        <f>AVERAGE(X$15:X22)</f>
        <v>1</v>
      </c>
    </row>
    <row r="23" spans="1:26" s="2" customFormat="1" ht="15" customHeight="1" x14ac:dyDescent="0.55000000000000004">
      <c r="A23" s="101">
        <f t="shared" si="1"/>
        <v>9</v>
      </c>
      <c r="B23" s="95">
        <f t="shared" si="3"/>
        <v>9</v>
      </c>
      <c r="C23" s="433" t="str">
        <f>INDEX(Site_Data_Table,MATCH($B23,'Site Data'!$A$5:$A$37,0),MATCH(C$14,Site_Data_Column_Names,0))</f>
        <v>Delano/North Kern Court</v>
      </c>
      <c r="D23" s="434" t="e">
        <f>INDEX('Site Data'!$A$6:$N$37,MATCH($B23,'Site Data'!$A$6:$A$37,0),MATCH(D$14,'Site Data'!$A$5:$N$5,0))</f>
        <v>#N/A</v>
      </c>
      <c r="E23" s="192" t="str">
        <f>INDEX(Site_Data_Table,MATCH($B23,'Site Data'!$A$5:$A$37,0),MATCH(E$14,Site_Data_Column_Names,0))</f>
        <v>15-D1</v>
      </c>
      <c r="F23" s="97">
        <f>INDEX('Site Data'!$A$6:$N$37,MATCH($B23,'Site Data'!$A$6:$A$37,0),MATCH(F$14,'Site Data'!$A$5:$N$5,0))</f>
        <v>169000</v>
      </c>
      <c r="G23" s="354" t="str">
        <f>_xlfn.TEXTJOIN(" / ",1,INDEX('Site Data'!$M$6:$M$37,$B23),INDEX('Site Data'!$N$6:$N$37,$B23))</f>
        <v>63 / 129</v>
      </c>
      <c r="H23" s="329"/>
      <c r="I23" s="369"/>
      <c r="J23" s="359" t="str">
        <f>_xlfn.LET(_xlpm.term,INDEX('Site Data'!$S$6:$S$37,MATCH($A23,'Site Data'!$A$6:$A$37,0)),
_xlpm.avg_pcnt_prod,INDEX('System Specification'!$Y$15:$Y$38,MATCH(_xlpm.term,'System Specification'!$W$15:$W$38,0)),
IF(AND($I$10&gt;0,$I$11&gt;0),ROUND((I23*(_xlpm.term-1)*_xlpm.avg_pcnt_prod),-3),""))</f>
        <v/>
      </c>
      <c r="K23" s="360">
        <f t="shared" si="0"/>
        <v>0</v>
      </c>
      <c r="L23" s="513"/>
      <c r="M23" s="514"/>
      <c r="N23" s="515"/>
      <c r="O23" s="515"/>
      <c r="P23" s="515"/>
      <c r="Q23" s="516"/>
      <c r="R23" s="31"/>
      <c r="S23" s="31"/>
      <c r="T23" s="31"/>
      <c r="U23" s="31"/>
      <c r="V23" s="31"/>
      <c r="W23" s="147">
        <f t="shared" si="4"/>
        <v>10</v>
      </c>
      <c r="X23" s="151">
        <f t="shared" si="2"/>
        <v>1</v>
      </c>
      <c r="Y23" s="151">
        <f>AVERAGE(X$15:X23)</f>
        <v>1</v>
      </c>
    </row>
    <row r="24" spans="1:26" s="2" customFormat="1" ht="15" customHeight="1" x14ac:dyDescent="0.55000000000000004">
      <c r="A24" s="101">
        <f t="shared" si="1"/>
        <v>10</v>
      </c>
      <c r="B24" s="95">
        <f t="shared" si="3"/>
        <v>10</v>
      </c>
      <c r="C24" s="433" t="str">
        <f>INDEX(Site_Data_Table,MATCH($B24,'Site Data'!$A$5:$A$37,0),MATCH(C$14,Site_Data_Column_Names,0))</f>
        <v>Kings Superior Court</v>
      </c>
      <c r="D24" s="434" t="e">
        <f>INDEX('Site Data'!$A$6:$N$37,MATCH($B24,'Site Data'!$A$6:$A$37,0),MATCH(D$14,'Site Data'!$A$5:$N$5,0))</f>
        <v>#N/A</v>
      </c>
      <c r="E24" s="192" t="str">
        <f>INDEX(Site_Data_Table,MATCH($B24,'Site Data'!$A$5:$A$37,0),MATCH(E$14,Site_Data_Column_Names,0))</f>
        <v>16-A5</v>
      </c>
      <c r="F24" s="97">
        <f>INDEX('Site Data'!$A$6:$N$37,MATCH($B24,'Site Data'!$A$6:$A$37,0),MATCH(F$14,'Site Data'!$A$5:$N$5,0))</f>
        <v>1849000</v>
      </c>
      <c r="G24" s="354" t="str">
        <f>_xlfn.TEXTJOIN(" / ",1,INDEX('Site Data'!$M$6:$M$37,$B24),INDEX('Site Data'!$N$6:$N$37,$B24))</f>
        <v>252 / 835</v>
      </c>
      <c r="H24" s="508" t="s">
        <v>4</v>
      </c>
      <c r="I24" s="369"/>
      <c r="J24" s="359" t="str">
        <f>_xlfn.LET(_xlpm.term,INDEX('Site Data'!$S$6:$S$37,MATCH($A24,'Site Data'!$A$6:$A$37,0)),
_xlpm.avg_pcnt_prod,INDEX('System Specification'!$Y$15:$Y$38,MATCH(_xlpm.term,'System Specification'!$W$15:$W$38,0)),
IF(AND($I$10&gt;0,$I$11&gt;0),ROUND((I24*(_xlpm.term-1)*_xlpm.avg_pcnt_prod),-3),""))</f>
        <v/>
      </c>
      <c r="K24" s="360">
        <f t="shared" si="0"/>
        <v>0</v>
      </c>
      <c r="L24" s="513"/>
      <c r="M24" s="514"/>
      <c r="N24" s="515"/>
      <c r="O24" s="515"/>
      <c r="P24" s="515"/>
      <c r="Q24" s="516"/>
      <c r="R24" s="31"/>
      <c r="S24" s="31"/>
      <c r="T24" s="31"/>
      <c r="U24" s="31"/>
      <c r="V24" s="31"/>
      <c r="W24" s="147">
        <f t="shared" si="4"/>
        <v>11</v>
      </c>
      <c r="X24" s="151">
        <f t="shared" si="2"/>
        <v>1</v>
      </c>
      <c r="Y24" s="151">
        <f>AVERAGE(X$15:X24)</f>
        <v>1</v>
      </c>
    </row>
    <row r="25" spans="1:26" s="2" customFormat="1" ht="15" customHeight="1" x14ac:dyDescent="0.55000000000000004">
      <c r="A25" s="101">
        <f t="shared" si="1"/>
        <v>11</v>
      </c>
      <c r="B25" s="95">
        <f t="shared" si="3"/>
        <v>11</v>
      </c>
      <c r="C25" s="433" t="str">
        <f>INDEX(Site_Data_Table,MATCH($B25,'Site Data'!$A$5:$A$37,0),MATCH(C$14,Site_Data_Column_Names,0))</f>
        <v>Whittier Courthouse</v>
      </c>
      <c r="D25" s="434" t="e">
        <f>INDEX('Site Data'!$A$6:$N$37,MATCH($B25,'Site Data'!$A$6:$A$37,0),MATCH(D$14,'Site Data'!$A$5:$N$5,0))</f>
        <v>#N/A</v>
      </c>
      <c r="E25" s="192" t="str">
        <f>INDEX(Site_Data_Table,MATCH($B25,'Site Data'!$A$5:$A$37,0),MATCH(E$14,Site_Data_Column_Names,0))</f>
        <v>19-AO1</v>
      </c>
      <c r="F25" s="97">
        <f>INDEX('Site Data'!$A$6:$N$37,MATCH($B25,'Site Data'!$A$6:$A$37,0),MATCH(F$14,'Site Data'!$A$5:$N$5,0))</f>
        <v>1328000</v>
      </c>
      <c r="G25" s="354" t="str">
        <f>_xlfn.TEXTJOIN(" / ",1,INDEX('Site Data'!$M$6:$M$37,$B25),INDEX('Site Data'!$N$6:$N$37,$B25))</f>
        <v>252 / 835</v>
      </c>
      <c r="H25" s="508" t="s">
        <v>4</v>
      </c>
      <c r="I25" s="369"/>
      <c r="J25" s="359" t="str">
        <f>_xlfn.LET(_xlpm.term,INDEX('Site Data'!$S$6:$S$37,MATCH($A25,'Site Data'!$A$6:$A$37,0)),
_xlpm.avg_pcnt_prod,INDEX('System Specification'!$Y$15:$Y$38,MATCH(_xlpm.term,'System Specification'!$W$15:$W$38,0)),
IF(AND($I$10&gt;0,$I$11&gt;0),ROUND((I25*(_xlpm.term-1)*_xlpm.avg_pcnt_prod),-3),""))</f>
        <v/>
      </c>
      <c r="K25" s="360">
        <f t="shared" si="0"/>
        <v>0</v>
      </c>
      <c r="L25" s="513"/>
      <c r="M25" s="514"/>
      <c r="N25" s="515"/>
      <c r="O25" s="515"/>
      <c r="P25" s="515"/>
      <c r="Q25" s="516"/>
      <c r="R25" s="31"/>
      <c r="S25" s="31"/>
      <c r="T25" s="31"/>
      <c r="U25" s="31"/>
      <c r="V25" s="31"/>
      <c r="W25" s="147">
        <f t="shared" si="4"/>
        <v>12</v>
      </c>
      <c r="X25" s="151">
        <f t="shared" si="2"/>
        <v>1</v>
      </c>
      <c r="Y25" s="151">
        <f>AVERAGE(X$15:X25)</f>
        <v>1</v>
      </c>
    </row>
    <row r="26" spans="1:26" s="2" customFormat="1" ht="15" customHeight="1" x14ac:dyDescent="0.55000000000000004">
      <c r="A26" s="101">
        <f t="shared" si="1"/>
        <v>12</v>
      </c>
      <c r="B26" s="95">
        <f t="shared" si="3"/>
        <v>12</v>
      </c>
      <c r="C26" s="433" t="str">
        <f>INDEX(Site_Data_Table,MATCH($B26,'Site Data'!$A$5:$A$37,0),MATCH(C$14,Site_Data_Column_Names,0))</f>
        <v>Santa Monica Courthouse</v>
      </c>
      <c r="D26" s="434" t="e">
        <f>INDEX('Site Data'!$A$6:$N$37,MATCH($B26,'Site Data'!$A$6:$A$37,0),MATCH(D$14,'Site Data'!$A$5:$N$5,0))</f>
        <v>#N/A</v>
      </c>
      <c r="E26" s="192" t="str">
        <f>INDEX(Site_Data_Table,MATCH($B26,'Site Data'!$A$5:$A$37,0),MATCH(E$14,Site_Data_Column_Names,0))</f>
        <v>19-AP1</v>
      </c>
      <c r="F26" s="97">
        <f>INDEX('Site Data'!$A$6:$N$37,MATCH($B26,'Site Data'!$A$6:$A$37,0),MATCH(F$14,'Site Data'!$A$5:$N$5,0))</f>
        <v>1652000</v>
      </c>
      <c r="G26" s="354" t="str">
        <f>_xlfn.TEXTJOIN(" / ",1,INDEX('Site Data'!$M$6:$M$37,$B26),INDEX('Site Data'!$N$6:$N$37,$B26))</f>
        <v>315 / 1044</v>
      </c>
      <c r="H26" s="329"/>
      <c r="I26" s="369"/>
      <c r="J26" s="359" t="str">
        <f>_xlfn.LET(_xlpm.term,INDEX('Site Data'!$S$6:$S$37,MATCH($A26,'Site Data'!$A$6:$A$37,0)),
_xlpm.avg_pcnt_prod,INDEX('System Specification'!$Y$15:$Y$38,MATCH(_xlpm.term,'System Specification'!$W$15:$W$38,0)),
IF(AND($I$10&gt;0,$I$11&gt;0),ROUND((I26*(_xlpm.term-1)*_xlpm.avg_pcnt_prod),-3),""))</f>
        <v/>
      </c>
      <c r="K26" s="360">
        <f t="shared" si="0"/>
        <v>0</v>
      </c>
      <c r="L26" s="513"/>
      <c r="M26" s="514"/>
      <c r="N26" s="515"/>
      <c r="O26" s="515"/>
      <c r="P26" s="515"/>
      <c r="Q26" s="516"/>
      <c r="R26" s="31"/>
      <c r="S26" s="31"/>
      <c r="T26" s="31"/>
      <c r="U26" s="31"/>
      <c r="V26" s="31"/>
      <c r="W26" s="147">
        <f>W25+1</f>
        <v>13</v>
      </c>
      <c r="X26" s="151">
        <f t="shared" si="2"/>
        <v>1</v>
      </c>
      <c r="Y26" s="151">
        <f>AVERAGE(X$15:X26)</f>
        <v>1</v>
      </c>
    </row>
    <row r="27" spans="1:26" s="2" customFormat="1" ht="15" customHeight="1" x14ac:dyDescent="0.55000000000000004">
      <c r="A27" s="101">
        <f t="shared" si="1"/>
        <v>13</v>
      </c>
      <c r="B27" s="95">
        <f t="shared" si="3"/>
        <v>13</v>
      </c>
      <c r="C27" s="433" t="str">
        <f>INDEX(Site_Data_Table,MATCH($B27,'Site Data'!$A$5:$A$37,0),MATCH(C$14,Site_Data_Column_Names,0))</f>
        <v>Van Nuys Courthouse East</v>
      </c>
      <c r="D27" s="434" t="e">
        <f>INDEX('Site Data'!$A$6:$N$37,MATCH($B27,'Site Data'!$A$6:$A$37,0),MATCH(D$14,'Site Data'!$A$5:$N$5,0))</f>
        <v>#N/A</v>
      </c>
      <c r="E27" s="192" t="str">
        <f>INDEX(Site_Data_Table,MATCH($B27,'Site Data'!$A$5:$A$37,0),MATCH(E$14,Site_Data_Column_Names,0))</f>
        <v>19-AX1</v>
      </c>
      <c r="F27" s="97">
        <f>INDEX('Site Data'!$A$6:$N$37,MATCH($B27,'Site Data'!$A$6:$A$37,0),MATCH(F$14,'Site Data'!$A$5:$N$5,0))</f>
        <v>1909000</v>
      </c>
      <c r="G27" s="354" t="str">
        <f>_xlfn.TEXTJOIN(" / ",1,INDEX('Site Data'!$M$6:$M$37,$B27),INDEX('Site Data'!$N$6:$N$37,$B27))</f>
        <v>252 / 835</v>
      </c>
      <c r="H27" s="508" t="s">
        <v>4</v>
      </c>
      <c r="I27" s="369"/>
      <c r="J27" s="359" t="str">
        <f>_xlfn.LET(_xlpm.term,INDEX('Site Data'!$S$6:$S$37,MATCH($A27,'Site Data'!$A$6:$A$37,0)),
_xlpm.avg_pcnt_prod,INDEX('System Specification'!$Y$15:$Y$38,MATCH(_xlpm.term,'System Specification'!$W$15:$W$38,0)),
IF(AND($I$10&gt;0,$I$11&gt;0),ROUND((I27*(_xlpm.term-1)*_xlpm.avg_pcnt_prod),-3),""))</f>
        <v/>
      </c>
      <c r="K27" s="360">
        <f t="shared" si="0"/>
        <v>0</v>
      </c>
      <c r="L27" s="513"/>
      <c r="M27" s="514"/>
      <c r="N27" s="515"/>
      <c r="O27" s="515"/>
      <c r="P27" s="515"/>
      <c r="Q27" s="516"/>
      <c r="R27" s="31"/>
      <c r="S27" s="31"/>
      <c r="T27" s="31"/>
      <c r="U27" s="31"/>
      <c r="V27" s="31"/>
      <c r="W27" s="147">
        <f t="shared" ref="W27:W38" si="5">W26+1</f>
        <v>14</v>
      </c>
      <c r="X27" s="151">
        <f t="shared" si="2"/>
        <v>1</v>
      </c>
      <c r="Y27" s="151">
        <f>AVERAGE(X$15:X27)</f>
        <v>1</v>
      </c>
    </row>
    <row r="28" spans="1:26" s="2" customFormat="1" ht="15" customHeight="1" x14ac:dyDescent="0.55000000000000004">
      <c r="A28" s="101">
        <f t="shared" si="1"/>
        <v>14</v>
      </c>
      <c r="B28" s="95">
        <f t="shared" si="3"/>
        <v>14</v>
      </c>
      <c r="C28" s="433" t="str">
        <f>INDEX(Site_Data_Table,MATCH($B28,'Site Data'!$A$5:$A$37,0),MATCH(C$14,Site_Data_Column_Names,0))</f>
        <v>Torrance Courthouse</v>
      </c>
      <c r="D28" s="434" t="e">
        <f>INDEX('Site Data'!$A$6:$N$37,MATCH($B28,'Site Data'!$A$6:$A$37,0),MATCH(D$14,'Site Data'!$A$5:$N$5,0))</f>
        <v>#N/A</v>
      </c>
      <c r="E28" s="192" t="str">
        <f>INDEX(Site_Data_Table,MATCH($B28,'Site Data'!$A$5:$A$37,0),MATCH(E$14,Site_Data_Column_Names,0))</f>
        <v>19-C1</v>
      </c>
      <c r="F28" s="97">
        <f>INDEX('Site Data'!$A$6:$N$37,MATCH($B28,'Site Data'!$A$6:$A$37,0),MATCH(F$14,'Site Data'!$A$5:$N$5,0))</f>
        <v>2465000</v>
      </c>
      <c r="G28" s="354" t="str">
        <f>_xlfn.TEXTJOIN(" / ",1,INDEX('Site Data'!$M$6:$M$37,$B28),INDEX('Site Data'!$N$6:$N$37,$B28))</f>
        <v>567 / 1876</v>
      </c>
      <c r="H28" s="508" t="s">
        <v>4</v>
      </c>
      <c r="I28" s="369"/>
      <c r="J28" s="359" t="str">
        <f>_xlfn.LET(_xlpm.term,INDEX('Site Data'!$S$6:$S$37,MATCH($A28,'Site Data'!$A$6:$A$37,0)),
_xlpm.avg_pcnt_prod,INDEX('System Specification'!$Y$15:$Y$38,MATCH(_xlpm.term,'System Specification'!$W$15:$W$38,0)),
IF(AND($I$10&gt;0,$I$11&gt;0),ROUND((I28*(_xlpm.term-1)*_xlpm.avg_pcnt_prod),-3),""))</f>
        <v/>
      </c>
      <c r="K28" s="360">
        <f t="shared" si="0"/>
        <v>0</v>
      </c>
      <c r="L28" s="513"/>
      <c r="M28" s="514"/>
      <c r="N28" s="515"/>
      <c r="O28" s="515"/>
      <c r="P28" s="515"/>
      <c r="Q28" s="516"/>
      <c r="R28" s="31"/>
      <c r="S28" s="31"/>
      <c r="T28" s="31"/>
      <c r="U28" s="31"/>
      <c r="V28" s="31"/>
      <c r="W28" s="147">
        <f t="shared" si="5"/>
        <v>15</v>
      </c>
      <c r="X28" s="151">
        <f t="shared" si="2"/>
        <v>1</v>
      </c>
      <c r="Y28" s="151">
        <f>AVERAGE(X$15:X28)</f>
        <v>1</v>
      </c>
    </row>
    <row r="29" spans="1:26" s="2" customFormat="1" ht="15" customHeight="1" x14ac:dyDescent="0.55000000000000004">
      <c r="A29" s="101">
        <f t="shared" si="1"/>
        <v>15</v>
      </c>
      <c r="B29" s="95">
        <f t="shared" si="3"/>
        <v>15</v>
      </c>
      <c r="C29" s="433" t="str">
        <f>INDEX(Site_Data_Table,MATCH($B29,'Site Data'!$A$5:$A$37,0),MATCH(C$14,Site_Data_Column_Names,0))</f>
        <v>Glendale Courthouse</v>
      </c>
      <c r="D29" s="434" t="e">
        <f>INDEX('Site Data'!$A$6:$N$37,MATCH($B29,'Site Data'!$A$6:$A$37,0),MATCH(D$14,'Site Data'!$A$5:$N$5,0))</f>
        <v>#N/A</v>
      </c>
      <c r="E29" s="192" t="str">
        <f>INDEX(Site_Data_Table,MATCH($B29,'Site Data'!$A$5:$A$37,0),MATCH(E$14,Site_Data_Column_Names,0))</f>
        <v>19-H1</v>
      </c>
      <c r="F29" s="97">
        <f>INDEX('Site Data'!$A$6:$N$37,MATCH($B29,'Site Data'!$A$6:$A$37,0),MATCH(F$14,'Site Data'!$A$5:$N$5,0))</f>
        <v>567000</v>
      </c>
      <c r="G29" s="354" t="str">
        <f>_xlfn.TEXTJOIN(" / ",1,INDEX('Site Data'!$M$6:$M$37,$B29),INDEX('Site Data'!$N$6:$N$37,$B29))</f>
        <v>126 / 432</v>
      </c>
      <c r="H29" s="508" t="s">
        <v>4</v>
      </c>
      <c r="I29" s="369"/>
      <c r="J29" s="359" t="str">
        <f>_xlfn.LET(_xlpm.term,INDEX('Site Data'!$S$6:$S$37,MATCH($A29,'Site Data'!$A$6:$A$37,0)),
_xlpm.avg_pcnt_prod,INDEX('System Specification'!$Y$15:$Y$38,MATCH(_xlpm.term,'System Specification'!$W$15:$W$38,0)),
IF(AND($I$10&gt;0,$I$11&gt;0),ROUND((I29*(_xlpm.term-1)*_xlpm.avg_pcnt_prod),-3),""))</f>
        <v/>
      </c>
      <c r="K29" s="360">
        <f t="shared" si="0"/>
        <v>0</v>
      </c>
      <c r="L29" s="513"/>
      <c r="M29" s="514"/>
      <c r="N29" s="515"/>
      <c r="O29" s="515"/>
      <c r="P29" s="515"/>
      <c r="Q29" s="516"/>
      <c r="R29" s="31"/>
      <c r="S29" s="31"/>
      <c r="T29" s="31"/>
      <c r="U29" s="31"/>
      <c r="V29" s="31"/>
      <c r="W29" s="147">
        <f t="shared" si="5"/>
        <v>16</v>
      </c>
      <c r="X29" s="151">
        <f t="shared" si="2"/>
        <v>1</v>
      </c>
      <c r="Y29" s="151">
        <f>AVERAGE(X$15:X29)</f>
        <v>1</v>
      </c>
    </row>
    <row r="30" spans="1:26" s="2" customFormat="1" ht="15" customHeight="1" x14ac:dyDescent="0.55000000000000004">
      <c r="A30" s="101">
        <f t="shared" si="1"/>
        <v>16</v>
      </c>
      <c r="B30" s="95">
        <f t="shared" si="3"/>
        <v>16</v>
      </c>
      <c r="C30" s="433" t="str">
        <f>INDEX(Site_Data_Table,MATCH($B30,'Site Data'!$A$5:$A$37,0),MATCH(C$14,Site_Data_Column_Names,0))</f>
        <v>Monrovia Training Center</v>
      </c>
      <c r="D30" s="434" t="e">
        <f>INDEX('Site Data'!$A$6:$N$37,MATCH($B30,'Site Data'!$A$6:$A$37,0),MATCH(D$14,'Site Data'!$A$5:$N$5,0))</f>
        <v>#N/A</v>
      </c>
      <c r="E30" s="192" t="str">
        <f>INDEX(Site_Data_Table,MATCH($B30,'Site Data'!$A$5:$A$37,0),MATCH(E$14,Site_Data_Column_Names,0))</f>
        <v>19-N1</v>
      </c>
      <c r="F30" s="97">
        <f>INDEX('Site Data'!$A$6:$N$37,MATCH($B30,'Site Data'!$A$6:$A$37,0),MATCH(F$14,'Site Data'!$A$5:$N$5,0))</f>
        <v>91000</v>
      </c>
      <c r="G30" s="354" t="str">
        <f>_xlfn.TEXTJOIN(" / ",1,INDEX('Site Data'!$M$6:$M$37,$B30),INDEX('Site Data'!$N$6:$N$37,$B30))</f>
        <v>22.5 / 69</v>
      </c>
      <c r="H30" s="329"/>
      <c r="I30" s="369"/>
      <c r="J30" s="359" t="str">
        <f>_xlfn.LET(_xlpm.term,INDEX('Site Data'!$S$6:$S$37,MATCH($A30,'Site Data'!$A$6:$A$37,0)),
_xlpm.avg_pcnt_prod,INDEX('System Specification'!$Y$15:$Y$38,MATCH(_xlpm.term,'System Specification'!$W$15:$W$38,0)),
IF(AND($I$10&gt;0,$I$11&gt;0),ROUND((I30*(_xlpm.term-1)*_xlpm.avg_pcnt_prod),-3),""))</f>
        <v/>
      </c>
      <c r="K30" s="360">
        <f t="shared" si="0"/>
        <v>0</v>
      </c>
      <c r="L30" s="513"/>
      <c r="M30" s="514"/>
      <c r="N30" s="515"/>
      <c r="O30" s="515"/>
      <c r="P30" s="515"/>
      <c r="Q30" s="516"/>
      <c r="R30" s="31"/>
      <c r="S30" s="31"/>
      <c r="T30" s="31"/>
      <c r="U30" s="31"/>
      <c r="V30" s="31"/>
      <c r="W30" s="147">
        <f t="shared" si="5"/>
        <v>17</v>
      </c>
      <c r="X30" s="151">
        <f t="shared" si="2"/>
        <v>1</v>
      </c>
      <c r="Y30" s="151">
        <f>AVERAGE(X$15:X30)</f>
        <v>1</v>
      </c>
    </row>
    <row r="31" spans="1:26" s="2" customFormat="1" ht="15" customHeight="1" x14ac:dyDescent="0.55000000000000004">
      <c r="A31" s="101">
        <f t="shared" si="1"/>
        <v>17</v>
      </c>
      <c r="B31" s="95">
        <f t="shared" si="3"/>
        <v>17</v>
      </c>
      <c r="C31" s="433" t="str">
        <f>INDEX(Site_Data_Table,MATCH($B31,'Site Data'!$A$5:$A$37,0),MATCH(C$14,Site_Data_Column_Names,0))</f>
        <v>Edmund D. Edelman Children's Court</v>
      </c>
      <c r="D31" s="434" t="e">
        <f>INDEX('Site Data'!$A$6:$N$37,MATCH($B31,'Site Data'!$A$6:$A$37,0),MATCH(D$14,'Site Data'!$A$5:$N$5,0))</f>
        <v>#N/A</v>
      </c>
      <c r="E31" s="192" t="str">
        <f>INDEX(Site_Data_Table,MATCH($B31,'Site Data'!$A$5:$A$37,0),MATCH(E$14,Site_Data_Column_Names,0))</f>
        <v>19-Q1</v>
      </c>
      <c r="F31" s="97">
        <f>INDEX('Site Data'!$A$6:$N$37,MATCH($B31,'Site Data'!$A$6:$A$37,0),MATCH(F$14,'Site Data'!$A$5:$N$5,0))</f>
        <v>2791000</v>
      </c>
      <c r="G31" s="354" t="str">
        <f>_xlfn.TEXTJOIN(" / ",1,INDEX('Site Data'!$M$6:$M$37,$B31),INDEX('Site Data'!$N$6:$N$37,$B31))</f>
        <v>252 / 835</v>
      </c>
      <c r="H31" s="508" t="s">
        <v>4</v>
      </c>
      <c r="I31" s="369"/>
      <c r="J31" s="359" t="str">
        <f>_xlfn.LET(_xlpm.term,INDEX('Site Data'!$S$6:$S$37,MATCH($A31,'Site Data'!$A$6:$A$37,0)),
_xlpm.avg_pcnt_prod,INDEX('System Specification'!$Y$15:$Y$38,MATCH(_xlpm.term,'System Specification'!$W$15:$W$38,0)),
IF(AND($I$10&gt;0,$I$11&gt;0),ROUND((I31*(_xlpm.term-1)*_xlpm.avg_pcnt_prod),-3),""))</f>
        <v/>
      </c>
      <c r="K31" s="360">
        <f t="shared" si="0"/>
        <v>0</v>
      </c>
      <c r="L31" s="513"/>
      <c r="M31" s="514"/>
      <c r="N31" s="515"/>
      <c r="O31" s="515"/>
      <c r="P31" s="515"/>
      <c r="Q31" s="516"/>
      <c r="R31" s="31"/>
      <c r="S31" s="31"/>
      <c r="T31" s="31"/>
      <c r="U31" s="31"/>
      <c r="V31" s="31"/>
      <c r="W31" s="147">
        <f t="shared" si="5"/>
        <v>18</v>
      </c>
      <c r="X31" s="151">
        <f t="shared" si="2"/>
        <v>1</v>
      </c>
      <c r="Y31" s="151">
        <f>AVERAGE(X$15:X31)</f>
        <v>1</v>
      </c>
      <c r="Z31" s="336"/>
    </row>
    <row r="32" spans="1:26" s="2" customFormat="1" ht="15" customHeight="1" x14ac:dyDescent="0.55000000000000004">
      <c r="A32" s="101">
        <f t="shared" si="1"/>
        <v>18</v>
      </c>
      <c r="B32" s="95">
        <f t="shared" si="3"/>
        <v>18</v>
      </c>
      <c r="C32" s="433" t="str">
        <f>INDEX(Site_Data_Table,MATCH($B32,'Site Data'!$A$5:$A$37,0),MATCH(C$14,Site_Data_Column_Names,0))</f>
        <v>Hollywood Courthouse</v>
      </c>
      <c r="D32" s="434" t="e">
        <f>INDEX('Site Data'!$A$6:$N$37,MATCH($B32,'Site Data'!$A$6:$A$37,0),MATCH(D$14,'Site Data'!$A$5:$N$5,0))</f>
        <v>#N/A</v>
      </c>
      <c r="E32" s="192" t="str">
        <f>INDEX(Site_Data_Table,MATCH($B32,'Site Data'!$A$5:$A$37,0),MATCH(E$14,Site_Data_Column_Names,0))</f>
        <v>19-S1</v>
      </c>
      <c r="F32" s="97">
        <f>INDEX('Site Data'!$A$6:$N$37,MATCH($B32,'Site Data'!$A$6:$A$37,0),MATCH(F$14,'Site Data'!$A$5:$N$5,0))</f>
        <v>622000</v>
      </c>
      <c r="G32" s="354" t="str">
        <f>_xlfn.TEXTJOIN(" / ",1,INDEX('Site Data'!$M$6:$M$37,$B32),INDEX('Site Data'!$N$6:$N$37,$B32))</f>
        <v>189 / 473</v>
      </c>
      <c r="H32" s="508" t="s">
        <v>4</v>
      </c>
      <c r="I32" s="369"/>
      <c r="J32" s="359" t="str">
        <f>_xlfn.LET(_xlpm.term,INDEX('Site Data'!$S$6:$S$37,MATCH($A32,'Site Data'!$A$6:$A$37,0)),
_xlpm.avg_pcnt_prod,INDEX('System Specification'!$Y$15:$Y$38,MATCH(_xlpm.term,'System Specification'!$W$15:$W$38,0)),
IF(AND($I$10&gt;0,$I$11&gt;0),ROUND((I32*(_xlpm.term-1)*_xlpm.avg_pcnt_prod),-3),""))</f>
        <v/>
      </c>
      <c r="K32" s="360">
        <f t="shared" si="0"/>
        <v>0</v>
      </c>
      <c r="L32" s="513"/>
      <c r="M32" s="514"/>
      <c r="N32" s="515"/>
      <c r="O32" s="515"/>
      <c r="P32" s="515"/>
      <c r="Q32" s="516"/>
      <c r="R32" s="31"/>
      <c r="S32" s="31"/>
      <c r="T32" s="31"/>
      <c r="U32" s="31"/>
      <c r="V32" s="31"/>
      <c r="W32" s="147">
        <f t="shared" si="5"/>
        <v>19</v>
      </c>
      <c r="X32" s="151">
        <f t="shared" si="2"/>
        <v>1</v>
      </c>
      <c r="Y32" s="151">
        <f>AVERAGE(X$15:X32)</f>
        <v>1</v>
      </c>
    </row>
    <row r="33" spans="1:26" s="2" customFormat="1" ht="15" customHeight="1" x14ac:dyDescent="0.55000000000000004">
      <c r="A33" s="101">
        <f t="shared" si="1"/>
        <v>19</v>
      </c>
      <c r="B33" s="95">
        <f t="shared" si="3"/>
        <v>19</v>
      </c>
      <c r="C33" s="433" t="str">
        <f>INDEX(Site_Data_Table,MATCH($B33,'Site Data'!$A$5:$A$37,0),MATCH(C$14,Site_Data_Column_Names,0))</f>
        <v>Pomona Courthouse South</v>
      </c>
      <c r="D33" s="434" t="e">
        <f>INDEX('Site Data'!$A$6:$N$37,MATCH($B33,'Site Data'!$A$6:$A$37,0),MATCH(D$14,'Site Data'!$A$5:$N$5,0))</f>
        <v>#N/A</v>
      </c>
      <c r="E33" s="192" t="str">
        <f>INDEX(Site_Data_Table,MATCH($B33,'Site Data'!$A$5:$A$37,0),MATCH(E$14,Site_Data_Column_Names,0))</f>
        <v>19-W1</v>
      </c>
      <c r="F33" s="97">
        <f>INDEX('Site Data'!$A$6:$N$37,MATCH($B33,'Site Data'!$A$6:$A$37,0),MATCH(F$14,'Site Data'!$A$5:$N$5,0))</f>
        <v>2666000</v>
      </c>
      <c r="G33" s="354" t="str">
        <f>_xlfn.TEXTJOIN(" / ",1,INDEX('Site Data'!$M$6:$M$37,$B33),INDEX('Site Data'!$N$6:$N$37,$B33))</f>
        <v>252 / 835</v>
      </c>
      <c r="H33" s="508" t="s">
        <v>4</v>
      </c>
      <c r="I33" s="369"/>
      <c r="J33" s="359" t="str">
        <f>_xlfn.LET(_xlpm.term,INDEX('Site Data'!$S$6:$S$37,MATCH($A33,'Site Data'!$A$6:$A$37,0)),
_xlpm.avg_pcnt_prod,INDEX('System Specification'!$Y$15:$Y$38,MATCH(_xlpm.term,'System Specification'!$W$15:$W$38,0)),
IF(AND($I$10&gt;0,$I$11&gt;0),ROUND((I33*(_xlpm.term-1)*_xlpm.avg_pcnt_prod),-3),""))</f>
        <v/>
      </c>
      <c r="K33" s="360">
        <f t="shared" si="0"/>
        <v>0</v>
      </c>
      <c r="L33" s="513"/>
      <c r="M33" s="514"/>
      <c r="N33" s="515"/>
      <c r="O33" s="515"/>
      <c r="P33" s="515"/>
      <c r="Q33" s="516"/>
      <c r="R33" s="31"/>
      <c r="S33" s="31"/>
      <c r="T33" s="31"/>
      <c r="U33" s="31"/>
      <c r="V33" s="31"/>
      <c r="W33" s="147">
        <f t="shared" si="5"/>
        <v>20</v>
      </c>
      <c r="X33" s="151">
        <f t="shared" si="2"/>
        <v>1</v>
      </c>
      <c r="Y33" s="151">
        <f>AVERAGE(X$15:X33)</f>
        <v>1</v>
      </c>
      <c r="Z33" s="336"/>
    </row>
    <row r="34" spans="1:26" s="2" customFormat="1" ht="15" customHeight="1" x14ac:dyDescent="0.55000000000000004">
      <c r="A34" s="101">
        <f t="shared" si="1"/>
        <v>20</v>
      </c>
      <c r="B34" s="95">
        <f t="shared" si="3"/>
        <v>20</v>
      </c>
      <c r="C34" s="433" t="str">
        <f>INDEX(Site_Data_Table,MATCH($B34,'Site Data'!$A$5:$A$37,0),MATCH(C$14,Site_Data_Column_Names,0))</f>
        <v>The Robert M. Falasco Justice Center</v>
      </c>
      <c r="D34" s="434" t="e">
        <f>INDEX('Site Data'!$A$6:$N$37,MATCH($B34,'Site Data'!$A$6:$A$37,0),MATCH(D$14,'Site Data'!$A$5:$N$5,0))</f>
        <v>#N/A</v>
      </c>
      <c r="E34" s="192" t="str">
        <f>INDEX(Site_Data_Table,MATCH($B34,'Site Data'!$A$5:$A$37,0),MATCH(E$14,Site_Data_Column_Names,0))</f>
        <v>24-G1</v>
      </c>
      <c r="F34" s="97">
        <f>INDEX('Site Data'!$A$6:$N$37,MATCH($B34,'Site Data'!$A$6:$A$37,0),MATCH(F$14,'Site Data'!$A$5:$N$5,0))</f>
        <v>345000</v>
      </c>
      <c r="G34" s="354" t="str">
        <f>_xlfn.TEXTJOIN(" / ",1,INDEX('Site Data'!$M$6:$M$37,$B34),INDEX('Site Data'!$N$6:$N$37,$B34))</f>
        <v>126 / 263</v>
      </c>
      <c r="H34" s="508" t="s">
        <v>4</v>
      </c>
      <c r="I34" s="369"/>
      <c r="J34" s="359" t="str">
        <f>_xlfn.LET(_xlpm.term,INDEX('Site Data'!$S$6:$S$37,MATCH($A34,'Site Data'!$A$6:$A$37,0)),
_xlpm.avg_pcnt_prod,INDEX('System Specification'!$Y$15:$Y$38,MATCH(_xlpm.term,'System Specification'!$W$15:$W$38,0)),
IF(AND($I$10&gt;0,$I$11&gt;0),ROUND((I34*(_xlpm.term-1)*_xlpm.avg_pcnt_prod),-3),""))</f>
        <v/>
      </c>
      <c r="K34" s="360">
        <f t="shared" si="0"/>
        <v>0</v>
      </c>
      <c r="L34" s="513"/>
      <c r="M34" s="514"/>
      <c r="N34" s="515"/>
      <c r="O34" s="515"/>
      <c r="P34" s="515"/>
      <c r="Q34" s="516"/>
      <c r="R34" s="31"/>
      <c r="S34" s="31"/>
      <c r="T34" s="31"/>
      <c r="U34" s="31"/>
      <c r="V34" s="31"/>
      <c r="W34" s="147">
        <f t="shared" si="5"/>
        <v>21</v>
      </c>
      <c r="X34" s="151">
        <f t="shared" si="2"/>
        <v>1</v>
      </c>
      <c r="Y34" s="151">
        <f>AVERAGE(X$15:X34)</f>
        <v>1</v>
      </c>
    </row>
    <row r="35" spans="1:26" s="2" customFormat="1" ht="15" customHeight="1" x14ac:dyDescent="0.55000000000000004">
      <c r="A35" s="101">
        <f t="shared" si="1"/>
        <v>21</v>
      </c>
      <c r="B35" s="95">
        <f t="shared" si="3"/>
        <v>21</v>
      </c>
      <c r="C35" s="433" t="str">
        <f>INDEX(Site_Data_Table,MATCH($B35,'Site Data'!$A$5:$A$37,0),MATCH(C$14,Site_Data_Column_Names,0))</f>
        <v>Mammoth Lakes Courthouse</v>
      </c>
      <c r="D35" s="434" t="e">
        <f>INDEX('Site Data'!$A$6:$N$37,MATCH($B35,'Site Data'!$A$6:$A$37,0),MATCH(D$14,'Site Data'!$A$5:$N$5,0))</f>
        <v>#N/A</v>
      </c>
      <c r="E35" s="192" t="str">
        <f>INDEX(Site_Data_Table,MATCH($B35,'Site Data'!$A$5:$A$37,0),MATCH(E$14,Site_Data_Column_Names,0))</f>
        <v>26-B2</v>
      </c>
      <c r="F35" s="97">
        <f>INDEX('Site Data'!$A$6:$N$37,MATCH($B35,'Site Data'!$A$6:$A$37,0),MATCH(F$14,'Site Data'!$A$5:$N$5,0))</f>
        <v>214000</v>
      </c>
      <c r="G35" s="354" t="str">
        <f>_xlfn.TEXTJOIN(" / ",1,INDEX('Site Data'!$M$6:$M$37,$B35),INDEX('Site Data'!$N$6:$N$37,$B35))</f>
        <v>63 / 163</v>
      </c>
      <c r="H35" s="508" t="s">
        <v>4</v>
      </c>
      <c r="I35" s="369"/>
      <c r="J35" s="359" t="str">
        <f>_xlfn.LET(_xlpm.term,INDEX('Site Data'!$S$6:$S$37,MATCH($A35,'Site Data'!$A$6:$A$37,0)),
_xlpm.avg_pcnt_prod,INDEX('System Specification'!$Y$15:$Y$38,MATCH(_xlpm.term,'System Specification'!$W$15:$W$38,0)),
IF(AND($I$10&gt;0,$I$11&gt;0),ROUND((I35*(_xlpm.term-1)*_xlpm.avg_pcnt_prod),-3),""))</f>
        <v/>
      </c>
      <c r="K35" s="360">
        <f t="shared" si="0"/>
        <v>0</v>
      </c>
      <c r="L35" s="513"/>
      <c r="M35" s="514"/>
      <c r="N35" s="515"/>
      <c r="O35" s="515"/>
      <c r="P35" s="515"/>
      <c r="Q35" s="516"/>
      <c r="R35" s="31"/>
      <c r="S35" s="31"/>
      <c r="T35" s="31"/>
      <c r="U35" s="31"/>
      <c r="V35" s="31"/>
      <c r="W35" s="147">
        <f t="shared" si="5"/>
        <v>22</v>
      </c>
      <c r="X35" s="151">
        <f t="shared" si="2"/>
        <v>1</v>
      </c>
      <c r="Y35" s="151">
        <f>AVERAGE(X$15:X35)</f>
        <v>1</v>
      </c>
    </row>
    <row r="36" spans="1:26" s="2" customFormat="1" ht="15" customHeight="1" x14ac:dyDescent="0.55000000000000004">
      <c r="A36" s="101">
        <f t="shared" si="1"/>
        <v>22</v>
      </c>
      <c r="B36" s="95">
        <f t="shared" si="3"/>
        <v>22</v>
      </c>
      <c r="C36" s="433" t="str">
        <f>INDEX(Site_Data_Table,MATCH($B36,'Site Data'!$A$5:$A$37,0),MATCH(C$14,Site_Data_Column_Names,0))</f>
        <v>Banning Justice Center</v>
      </c>
      <c r="D36" s="434" t="e">
        <f>INDEX('Site Data'!$A$6:$N$37,MATCH($B36,'Site Data'!$A$6:$A$37,0),MATCH(D$14,'Site Data'!$A$5:$N$5,0))</f>
        <v>#N/A</v>
      </c>
      <c r="E36" s="192" t="str">
        <f>INDEX(Site_Data_Table,MATCH($B36,'Site Data'!$A$5:$A$37,0),MATCH(E$14,Site_Data_Column_Names,0))</f>
        <v>33-G4</v>
      </c>
      <c r="F36" s="97">
        <f>INDEX('Site Data'!$A$6:$N$37,MATCH($B36,'Site Data'!$A$6:$A$37,0),MATCH(F$14,'Site Data'!$A$5:$N$5,0))</f>
        <v>1023000</v>
      </c>
      <c r="G36" s="354" t="str">
        <f>_xlfn.TEXTJOIN(" / ",1,INDEX('Site Data'!$M$6:$M$37,$B36),INDEX('Site Data'!$N$6:$N$37,$B36))</f>
        <v>126 / 418</v>
      </c>
      <c r="H36" s="508" t="s">
        <v>4</v>
      </c>
      <c r="I36" s="369"/>
      <c r="J36" s="359" t="str">
        <f>_xlfn.LET(_xlpm.term,INDEX('Site Data'!$S$6:$S$37,MATCH($A36,'Site Data'!$A$6:$A$37,0)),
_xlpm.avg_pcnt_prod,INDEX('System Specification'!$Y$15:$Y$38,MATCH(_xlpm.term,'System Specification'!$W$15:$W$38,0)),
IF(AND($I$10&gt;0,$I$11&gt;0),ROUND((I36*(_xlpm.term-1)*_xlpm.avg_pcnt_prod),-3),""))</f>
        <v/>
      </c>
      <c r="K36" s="360">
        <f t="shared" si="0"/>
        <v>0</v>
      </c>
      <c r="L36" s="513"/>
      <c r="M36" s="514"/>
      <c r="N36" s="515"/>
      <c r="O36" s="515"/>
      <c r="P36" s="515"/>
      <c r="Q36" s="516"/>
      <c r="R36" s="31"/>
      <c r="S36" s="31"/>
      <c r="T36" s="31"/>
      <c r="U36" s="31"/>
      <c r="V36" s="31"/>
      <c r="W36" s="147">
        <f t="shared" si="5"/>
        <v>23</v>
      </c>
      <c r="X36" s="151">
        <f t="shared" si="2"/>
        <v>1</v>
      </c>
      <c r="Y36" s="151">
        <f>AVERAGE(X$15:X36)</f>
        <v>1</v>
      </c>
    </row>
    <row r="37" spans="1:26" s="2" customFormat="1" ht="15" customHeight="1" x14ac:dyDescent="0.55000000000000004">
      <c r="A37" s="101">
        <f t="shared" si="1"/>
        <v>23</v>
      </c>
      <c r="B37" s="95">
        <f t="shared" si="3"/>
        <v>23</v>
      </c>
      <c r="C37" s="433" t="str">
        <f>INDEX(Site_Data_Table,MATCH($B37,'Site Data'!$A$5:$A$37,0),MATCH(C$14,Site_Data_Column_Names,0))</f>
        <v>San Benito County Superior Court</v>
      </c>
      <c r="D37" s="434" t="e">
        <f>INDEX('Site Data'!$A$6:$N$37,MATCH($B37,'Site Data'!$A$6:$A$37,0),MATCH(D$14,'Site Data'!$A$5:$N$5,0))</f>
        <v>#N/A</v>
      </c>
      <c r="E37" s="192" t="str">
        <f>INDEX(Site_Data_Table,MATCH($B37,'Site Data'!$A$5:$A$37,0),MATCH(E$14,Site_Data_Column_Names,0))</f>
        <v>35-C1</v>
      </c>
      <c r="F37" s="97">
        <f>INDEX('Site Data'!$A$6:$N$37,MATCH($B37,'Site Data'!$A$6:$A$37,0),MATCH(F$14,'Site Data'!$A$5:$N$5,0))</f>
        <v>429000</v>
      </c>
      <c r="G37" s="354" t="str">
        <f>_xlfn.TEXTJOIN(" / ",1,INDEX('Site Data'!$M$6:$M$37,$B37),INDEX('Site Data'!$N$6:$N$37,$B37))</f>
        <v>126 / 327</v>
      </c>
      <c r="H37" s="508" t="s">
        <v>4</v>
      </c>
      <c r="I37" s="369"/>
      <c r="J37" s="359" t="str">
        <f>_xlfn.LET(_xlpm.term,INDEX('Site Data'!$S$6:$S$37,MATCH($A37,'Site Data'!$A$6:$A$37,0)),
_xlpm.avg_pcnt_prod,INDEX('System Specification'!$Y$15:$Y$38,MATCH(_xlpm.term,'System Specification'!$W$15:$W$38,0)),
IF(AND($I$10&gt;0,$I$11&gt;0),ROUND((I37*(_xlpm.term-1)*_xlpm.avg_pcnt_prod),-3),""))</f>
        <v/>
      </c>
      <c r="K37" s="360">
        <f t="shared" si="0"/>
        <v>0</v>
      </c>
      <c r="L37" s="513"/>
      <c r="M37" s="514"/>
      <c r="N37" s="515"/>
      <c r="O37" s="515"/>
      <c r="P37" s="515"/>
      <c r="Q37" s="516"/>
      <c r="R37" s="31"/>
      <c r="S37" s="31"/>
      <c r="T37" s="31"/>
      <c r="U37" s="31"/>
      <c r="V37" s="31"/>
      <c r="W37" s="147">
        <f t="shared" si="5"/>
        <v>24</v>
      </c>
      <c r="X37" s="151">
        <f t="shared" si="2"/>
        <v>1</v>
      </c>
      <c r="Y37" s="151">
        <f>AVERAGE(X$15:X37)</f>
        <v>1</v>
      </c>
    </row>
    <row r="38" spans="1:26" s="2" customFormat="1" ht="15" customHeight="1" x14ac:dyDescent="0.55000000000000004">
      <c r="A38" s="101">
        <f t="shared" si="1"/>
        <v>24</v>
      </c>
      <c r="B38" s="95">
        <f t="shared" si="3"/>
        <v>24</v>
      </c>
      <c r="C38" s="433" t="str">
        <f>INDEX(Site_Data_Table,MATCH($B38,'Site Data'!$A$5:$A$37,0),MATCH(C$14,Site_Data_Column_Names,0))</f>
        <v>San Bernardino Justice Center</v>
      </c>
      <c r="D38" s="434" t="e">
        <f>INDEX('Site Data'!$A$6:$N$37,MATCH($B38,'Site Data'!$A$6:$A$37,0),MATCH(D$14,'Site Data'!$A$5:$N$5,0))</f>
        <v>#N/A</v>
      </c>
      <c r="E38" s="192" t="str">
        <f>INDEX(Site_Data_Table,MATCH($B38,'Site Data'!$A$5:$A$37,0),MATCH(E$14,Site_Data_Column_Names,0))</f>
        <v>36-R1</v>
      </c>
      <c r="F38" s="97">
        <f>INDEX('Site Data'!$A$6:$N$37,MATCH($B38,'Site Data'!$A$6:$A$37,0),MATCH(F$14,'Site Data'!$A$5:$N$5,0))</f>
        <v>2707000</v>
      </c>
      <c r="G38" s="354" t="str">
        <f>_xlfn.TEXTJOIN(" / ",1,INDEX('Site Data'!$M$6:$M$37,$B38),INDEX('Site Data'!$N$6:$N$37,$B38))</f>
        <v>252 / 835</v>
      </c>
      <c r="H38" s="508" t="s">
        <v>4</v>
      </c>
      <c r="I38" s="369"/>
      <c r="J38" s="359" t="str">
        <f>_xlfn.LET(_xlpm.term,INDEX('Site Data'!$S$6:$S$37,MATCH($A38,'Site Data'!$A$6:$A$37,0)),
_xlpm.avg_pcnt_prod,INDEX('System Specification'!$Y$15:$Y$38,MATCH(_xlpm.term,'System Specification'!$W$15:$W$38,0)),
IF(AND($I$10&gt;0,$I$11&gt;0),ROUND((I38*(_xlpm.term-1)*_xlpm.avg_pcnt_prod),-3),""))</f>
        <v/>
      </c>
      <c r="K38" s="360">
        <f t="shared" si="0"/>
        <v>0</v>
      </c>
      <c r="L38" s="513"/>
      <c r="M38" s="514"/>
      <c r="N38" s="515"/>
      <c r="O38" s="515"/>
      <c r="P38" s="515"/>
      <c r="Q38" s="516"/>
      <c r="R38" s="31"/>
      <c r="S38" s="31"/>
      <c r="T38" s="31"/>
      <c r="U38" s="31"/>
      <c r="V38" s="31"/>
      <c r="W38" s="147">
        <f t="shared" si="5"/>
        <v>25</v>
      </c>
      <c r="X38" s="151">
        <f t="shared" si="2"/>
        <v>1</v>
      </c>
      <c r="Y38" s="151">
        <f>AVERAGE(X$15:X38)</f>
        <v>1</v>
      </c>
    </row>
    <row r="39" spans="1:26" s="2" customFormat="1" ht="15" customHeight="1" x14ac:dyDescent="0.55000000000000004">
      <c r="A39" s="101">
        <f t="shared" si="1"/>
        <v>25</v>
      </c>
      <c r="B39" s="95">
        <f t="shared" si="3"/>
        <v>25</v>
      </c>
      <c r="C39" s="433" t="str">
        <f>INDEX(Site_Data_Table,MATCH($B39,'Site Data'!$A$5:$A$37,0),MATCH(C$14,Site_Data_Column_Names,0))</f>
        <v>Kearny Mesa Court</v>
      </c>
      <c r="D39" s="434" t="e">
        <f>INDEX('Site Data'!$A$6:$N$37,MATCH($B39,'Site Data'!$A$6:$A$37,0),MATCH(D$14,'Site Data'!$A$5:$N$5,0))</f>
        <v>#N/A</v>
      </c>
      <c r="E39" s="192" t="str">
        <f>INDEX(Site_Data_Table,MATCH($B39,'Site Data'!$A$5:$A$37,0),MATCH(E$14,Site_Data_Column_Names,0))</f>
        <v>37-C1</v>
      </c>
      <c r="F39" s="97">
        <f>INDEX('Site Data'!$A$6:$N$37,MATCH($B39,'Site Data'!$A$6:$A$37,0),MATCH(F$14,'Site Data'!$A$5:$N$5,0))</f>
        <v>516000</v>
      </c>
      <c r="G39" s="354" t="str">
        <f>_xlfn.TEXTJOIN(" / ",1,INDEX('Site Data'!$M$6:$M$37,$B39),INDEX('Site Data'!$N$6:$N$37,$B39))</f>
        <v>126 / 351</v>
      </c>
      <c r="H39" s="329"/>
      <c r="I39" s="369"/>
      <c r="J39" s="359" t="str">
        <f>_xlfn.LET(_xlpm.term,INDEX('Site Data'!$S$6:$S$37,MATCH($A39,'Site Data'!$A$6:$A$37,0)),
_xlpm.avg_pcnt_prod,INDEX('System Specification'!$Y$15:$Y$38,MATCH(_xlpm.term,'System Specification'!$W$15:$W$38,0)),
IF(AND($I$10&gt;0,$I$11&gt;0),ROUND((I39*(_xlpm.term-1)*_xlpm.avg_pcnt_prod),-3),""))</f>
        <v/>
      </c>
      <c r="K39" s="360">
        <f t="shared" si="0"/>
        <v>0</v>
      </c>
      <c r="L39" s="513"/>
      <c r="M39" s="514"/>
      <c r="N39" s="515"/>
      <c r="O39" s="515"/>
      <c r="P39" s="515"/>
      <c r="Q39" s="516"/>
      <c r="R39" s="31"/>
      <c r="S39" s="31"/>
      <c r="T39" s="31"/>
      <c r="U39" s="31"/>
      <c r="V39" s="31"/>
      <c r="W39" s="147"/>
      <c r="X39" s="147"/>
      <c r="Y39" s="147"/>
    </row>
    <row r="40" spans="1:26" s="2" customFormat="1" ht="15" customHeight="1" x14ac:dyDescent="0.55000000000000004">
      <c r="A40" s="101">
        <f t="shared" si="1"/>
        <v>26</v>
      </c>
      <c r="B40" s="95">
        <f t="shared" si="3"/>
        <v>26</v>
      </c>
      <c r="C40" s="433" t="str">
        <f>INDEX(Site_Data_Table,MATCH($B40,'Site Data'!$A$5:$A$37,0),MATCH(C$14,Site_Data_Column_Names,0))</f>
        <v>East County Regional Center</v>
      </c>
      <c r="D40" s="434" t="e">
        <f>INDEX('Site Data'!$A$6:$N$37,MATCH($B40,'Site Data'!$A$6:$A$37,0),MATCH(D$14,'Site Data'!$A$5:$N$5,0))</f>
        <v>#N/A</v>
      </c>
      <c r="E40" s="192" t="str">
        <f>INDEX(Site_Data_Table,MATCH($B40,'Site Data'!$A$5:$A$37,0),MATCH(E$14,Site_Data_Column_Names,0))</f>
        <v>37-I1</v>
      </c>
      <c r="F40" s="97">
        <f>INDEX('Site Data'!$A$6:$N$37,MATCH($B40,'Site Data'!$A$6:$A$37,0),MATCH(F$14,'Site Data'!$A$5:$N$5,0))</f>
        <v>3382000</v>
      </c>
      <c r="G40" s="354" t="str">
        <f>_xlfn.TEXTJOIN(" / ",1,INDEX('Site Data'!$M$6:$M$37,$B40),INDEX('Site Data'!$N$6:$N$37,$B40))</f>
        <v>378 / 1253</v>
      </c>
      <c r="H40" s="508" t="s">
        <v>4</v>
      </c>
      <c r="I40" s="369"/>
      <c r="J40" s="359" t="str">
        <f>_xlfn.LET(_xlpm.term,INDEX('Site Data'!$S$6:$S$37,MATCH($A40,'Site Data'!$A$6:$A$37,0)),
_xlpm.avg_pcnt_prod,INDEX('System Specification'!$Y$15:$Y$38,MATCH(_xlpm.term,'System Specification'!$W$15:$W$38,0)),
IF(AND($I$10&gt;0,$I$11&gt;0),ROUND((I40*(_xlpm.term-1)*_xlpm.avg_pcnt_prod),-3),""))</f>
        <v/>
      </c>
      <c r="K40" s="360">
        <f t="shared" si="0"/>
        <v>0</v>
      </c>
      <c r="L40" s="513"/>
      <c r="M40" s="514"/>
      <c r="N40" s="515"/>
      <c r="O40" s="515"/>
      <c r="P40" s="515"/>
      <c r="Q40" s="516"/>
      <c r="R40" s="31"/>
      <c r="S40" s="31"/>
      <c r="T40" s="31"/>
      <c r="U40" s="31"/>
      <c r="V40" s="31"/>
      <c r="W40" s="147"/>
      <c r="X40" s="147"/>
      <c r="Y40" s="147"/>
    </row>
    <row r="41" spans="1:26" s="2" customFormat="1" ht="15" customHeight="1" x14ac:dyDescent="0.55000000000000004">
      <c r="A41" s="101">
        <f t="shared" si="1"/>
        <v>27</v>
      </c>
      <c r="B41" s="95">
        <f t="shared" si="3"/>
        <v>27</v>
      </c>
      <c r="C41" s="433" t="str">
        <f>INDEX(Site_Data_Table,MATCH($B41,'Site Data'!$A$5:$A$37,0),MATCH(C$14,Site_Data_Column_Names,0))</f>
        <v>Northern Branch Courthouse</v>
      </c>
      <c r="D41" s="434" t="e">
        <f>INDEX('Site Data'!$A$6:$N$37,MATCH($B41,'Site Data'!$A$6:$A$37,0),MATCH(D$14,'Site Data'!$A$5:$N$5,0))</f>
        <v>#N/A</v>
      </c>
      <c r="E41" s="192" t="str">
        <f>INDEX(Site_Data_Table,MATCH($B41,'Site Data'!$A$5:$A$37,0),MATCH(E$14,Site_Data_Column_Names,0))</f>
        <v>41-C1</v>
      </c>
      <c r="F41" s="97">
        <f>INDEX('Site Data'!$A$6:$N$37,MATCH($B41,'Site Data'!$A$6:$A$37,0),MATCH(F$14,'Site Data'!$A$5:$N$5,0))</f>
        <v>361000</v>
      </c>
      <c r="G41" s="354" t="str">
        <f>_xlfn.TEXTJOIN(" / ",1,INDEX('Site Data'!$M$6:$M$37,$B41),INDEX('Site Data'!$N$6:$N$37,$B41))</f>
        <v>63 / 275</v>
      </c>
      <c r="H41" s="508" t="s">
        <v>4</v>
      </c>
      <c r="I41" s="369"/>
      <c r="J41" s="359" t="str">
        <f>_xlfn.LET(_xlpm.term,INDEX('Site Data'!$S$6:$S$37,MATCH($A41,'Site Data'!$A$6:$A$37,0)),
_xlpm.avg_pcnt_prod,INDEX('System Specification'!$Y$15:$Y$38,MATCH(_xlpm.term,'System Specification'!$W$15:$W$38,0)),
IF(AND($I$10&gt;0,$I$11&gt;0),ROUND((I41*(_xlpm.term-1)*_xlpm.avg_pcnt_prod),-3),""))</f>
        <v/>
      </c>
      <c r="K41" s="360">
        <f t="shared" si="0"/>
        <v>0</v>
      </c>
      <c r="L41" s="513"/>
      <c r="M41" s="514"/>
      <c r="N41" s="515"/>
      <c r="O41" s="515"/>
      <c r="P41" s="515"/>
      <c r="Q41" s="516"/>
      <c r="R41" s="31"/>
      <c r="S41" s="31"/>
      <c r="T41" s="31"/>
      <c r="U41" s="31"/>
      <c r="V41" s="31"/>
      <c r="W41" s="147"/>
      <c r="X41" s="147"/>
      <c r="Y41" s="147"/>
    </row>
    <row r="42" spans="1:26" s="2" customFormat="1" ht="15" customHeight="1" x14ac:dyDescent="0.55000000000000004">
      <c r="A42" s="101">
        <f t="shared" si="1"/>
        <v>28</v>
      </c>
      <c r="B42" s="95">
        <f t="shared" si="3"/>
        <v>28</v>
      </c>
      <c r="C42" s="433" t="str">
        <f>INDEX(Site_Data_Table,MATCH($B42,'Site Data'!$A$5:$A$37,0),MATCH(C$14,Site_Data_Column_Names,0))</f>
        <v>Downtown Superior Court</v>
      </c>
      <c r="D42" s="434" t="e">
        <f>INDEX('Site Data'!$A$6:$N$37,MATCH($B42,'Site Data'!$A$6:$A$37,0),MATCH(D$14,'Site Data'!$A$5:$N$5,0))</f>
        <v>#N/A</v>
      </c>
      <c r="E42" s="192" t="str">
        <f>INDEX(Site_Data_Table,MATCH($B42,'Site Data'!$A$5:$A$37,0),MATCH(E$14,Site_Data_Column_Names,0))</f>
        <v>43-B1</v>
      </c>
      <c r="F42" s="97">
        <f>INDEX('Site Data'!$A$6:$N$37,MATCH($B42,'Site Data'!$A$6:$A$37,0),MATCH(F$14,'Site Data'!$A$5:$N$5,0))</f>
        <v>1871000</v>
      </c>
      <c r="G42" s="354" t="str">
        <f>_xlfn.TEXTJOIN(" / ",1,INDEX('Site Data'!$M$6:$M$37,$B42),INDEX('Site Data'!$N$6:$N$37,$B42))</f>
        <v>315 / 726</v>
      </c>
      <c r="H42" s="508" t="s">
        <v>4</v>
      </c>
      <c r="I42" s="369"/>
      <c r="J42" s="359" t="str">
        <f>_xlfn.LET(_xlpm.term,INDEX('Site Data'!$S$6:$S$37,MATCH($A42,'Site Data'!$A$6:$A$37,0)),
_xlpm.avg_pcnt_prod,INDEX('System Specification'!$Y$15:$Y$38,MATCH(_xlpm.term,'System Specification'!$W$15:$W$38,0)),
IF(AND($I$10&gt;0,$I$11&gt;0),ROUND((I42*(_xlpm.term-1)*_xlpm.avg_pcnt_prod),-3),""))</f>
        <v/>
      </c>
      <c r="K42" s="360">
        <f t="shared" si="0"/>
        <v>0</v>
      </c>
      <c r="L42" s="513"/>
      <c r="M42" s="514"/>
      <c r="N42" s="515"/>
      <c r="O42" s="515"/>
      <c r="P42" s="515"/>
      <c r="Q42" s="516"/>
      <c r="R42" s="31"/>
      <c r="S42" s="31"/>
      <c r="T42" s="31"/>
      <c r="U42" s="31"/>
      <c r="V42" s="31"/>
      <c r="W42" s="147"/>
      <c r="X42" s="147"/>
      <c r="Y42" s="147"/>
    </row>
    <row r="43" spans="1:26" s="2" customFormat="1" ht="15" customHeight="1" x14ac:dyDescent="0.55000000000000004">
      <c r="A43" s="101">
        <f t="shared" si="1"/>
        <v>29</v>
      </c>
      <c r="B43" s="95">
        <f t="shared" si="3"/>
        <v>29</v>
      </c>
      <c r="C43" s="433" t="str">
        <f>INDEX(Site_Data_Table,MATCH($B43,'Site Data'!$A$5:$A$37,0),MATCH(C$14,Site_Data_Column_Names,0))</f>
        <v>Sutter County Superior Courthouse</v>
      </c>
      <c r="D43" s="434" t="e">
        <f>INDEX('Site Data'!$A$6:$N$37,MATCH($B43,'Site Data'!$A$6:$A$37,0),MATCH(D$14,'Site Data'!$A$5:$N$5,0))</f>
        <v>#N/A</v>
      </c>
      <c r="E43" s="192" t="str">
        <f>INDEX(Site_Data_Table,MATCH($B43,'Site Data'!$A$5:$A$37,0),MATCH(E$14,Site_Data_Column_Names,0))</f>
        <v>51-C1</v>
      </c>
      <c r="F43" s="97">
        <f>INDEX('Site Data'!$A$6:$N$37,MATCH($B43,'Site Data'!$A$6:$A$37,0),MATCH(F$14,'Site Data'!$A$5:$N$5,0))</f>
        <v>954000</v>
      </c>
      <c r="G43" s="354" t="str">
        <f>_xlfn.TEXTJOIN(" / ",1,INDEX('Site Data'!$M$6:$M$37,$B43),INDEX('Site Data'!$N$6:$N$37,$B43))</f>
        <v>315 / 726</v>
      </c>
      <c r="H43" s="508" t="s">
        <v>4</v>
      </c>
      <c r="I43" s="369"/>
      <c r="J43" s="359" t="str">
        <f>_xlfn.LET(_xlpm.term,INDEX('Site Data'!$S$6:$S$37,MATCH($A43,'Site Data'!$A$6:$A$37,0)),
_xlpm.avg_pcnt_prod,INDEX('System Specification'!$Y$15:$Y$38,MATCH(_xlpm.term,'System Specification'!$W$15:$W$38,0)),
IF(AND($I$10&gt;0,$I$11&gt;0),ROUND((I43*(_xlpm.term-1)*_xlpm.avg_pcnt_prod),-3),""))</f>
        <v/>
      </c>
      <c r="K43" s="360">
        <f t="shared" si="0"/>
        <v>0</v>
      </c>
      <c r="L43" s="513"/>
      <c r="M43" s="514"/>
      <c r="N43" s="515"/>
      <c r="O43" s="515"/>
      <c r="P43" s="515"/>
      <c r="Q43" s="516"/>
      <c r="R43" s="31"/>
      <c r="S43" s="31"/>
      <c r="T43" s="31"/>
      <c r="U43" s="31"/>
      <c r="V43" s="31"/>
      <c r="W43" s="147"/>
      <c r="X43" s="147"/>
      <c r="Y43" s="147"/>
    </row>
    <row r="44" spans="1:26" s="2" customFormat="1" ht="15" customHeight="1" x14ac:dyDescent="0.55000000000000004">
      <c r="A44" s="101">
        <f t="shared" si="1"/>
        <v>30</v>
      </c>
      <c r="B44" s="95">
        <f t="shared" si="3"/>
        <v>30</v>
      </c>
      <c r="C44" s="433" t="str">
        <f>INDEX(Site_Data_Table,MATCH($B44,'Site Data'!$A$5:$A$37,0),MATCH(C$14,Site_Data_Column_Names,0))</f>
        <v>Tehama County Courthouse</v>
      </c>
      <c r="D44" s="434" t="e">
        <f>INDEX('Site Data'!$A$6:$N$37,MATCH($B44,'Site Data'!$A$6:$A$37,0),MATCH(D$14,'Site Data'!$A$5:$N$5,0))</f>
        <v>#N/A</v>
      </c>
      <c r="E44" s="192" t="str">
        <f>INDEX(Site_Data_Table,MATCH($B44,'Site Data'!$A$5:$A$37,0),MATCH(E$14,Site_Data_Column_Names,0))</f>
        <v>52-E1</v>
      </c>
      <c r="F44" s="97">
        <f>INDEX('Site Data'!$A$6:$N$37,MATCH($B44,'Site Data'!$A$6:$A$37,0),MATCH(F$14,'Site Data'!$A$5:$N$5,0))</f>
        <v>558000</v>
      </c>
      <c r="G44" s="354" t="str">
        <f>_xlfn.TEXTJOIN(" / ",1,INDEX('Site Data'!$M$6:$M$37,$B44),INDEX('Site Data'!$N$6:$N$37,$B44))</f>
        <v>189 / 425</v>
      </c>
      <c r="H44" s="329"/>
      <c r="I44" s="369"/>
      <c r="J44" s="359" t="str">
        <f>_xlfn.LET(_xlpm.term,INDEX('Site Data'!$S$6:$S$37,MATCH($A44,'Site Data'!$A$6:$A$37,0)),
_xlpm.avg_pcnt_prod,INDEX('System Specification'!$Y$15:$Y$38,MATCH(_xlpm.term,'System Specification'!$W$15:$W$38,0)),
IF(AND($I$10&gt;0,$I$11&gt;0),ROUND((I44*(_xlpm.term-1)*_xlpm.avg_pcnt_prod),-3),""))</f>
        <v/>
      </c>
      <c r="K44" s="360">
        <f t="shared" si="0"/>
        <v>0</v>
      </c>
      <c r="L44" s="513"/>
      <c r="M44" s="514"/>
      <c r="N44" s="515"/>
      <c r="O44" s="515"/>
      <c r="P44" s="515"/>
      <c r="Q44" s="516"/>
      <c r="R44" s="31"/>
      <c r="S44" s="31"/>
      <c r="T44" s="31"/>
      <c r="U44" s="31"/>
      <c r="V44" s="31"/>
      <c r="W44" s="147"/>
      <c r="X44" s="147"/>
      <c r="Y44" s="147"/>
    </row>
    <row r="45" spans="1:26" s="2" customFormat="1" ht="15" customHeight="1" x14ac:dyDescent="0.55000000000000004">
      <c r="A45" s="101">
        <f t="shared" si="1"/>
        <v>31</v>
      </c>
      <c r="B45" s="95">
        <f t="shared" si="3"/>
        <v>31</v>
      </c>
      <c r="C45" s="433" t="str">
        <f>INDEX(Site_Data_Table,MATCH($B45,'Site Data'!$A$5:$A$37,0),MATCH(C$14,Site_Data_Column_Names,0))</f>
        <v>South County Justice Center</v>
      </c>
      <c r="D45" s="434" t="e">
        <f>INDEX('Site Data'!$A$6:$N$37,MATCH($B45,'Site Data'!$A$6:$A$37,0),MATCH(D$14,'Site Data'!$A$5:$N$5,0))</f>
        <v>#N/A</v>
      </c>
      <c r="E45" s="192" t="str">
        <f>INDEX(Site_Data_Table,MATCH($B45,'Site Data'!$A$5:$A$37,0),MATCH(E$14,Site_Data_Column_Names,0))</f>
        <v>54-I1</v>
      </c>
      <c r="F45" s="97">
        <f>INDEX('Site Data'!$A$6:$N$37,MATCH($B45,'Site Data'!$A$6:$A$37,0),MATCH(F$14,'Site Data'!$A$5:$N$5,0))</f>
        <v>1198000</v>
      </c>
      <c r="G45" s="354" t="str">
        <f>_xlfn.TEXTJOIN(" / ",1,INDEX('Site Data'!$M$6:$M$37,$B45),INDEX('Site Data'!$N$6:$N$37,$B45))</f>
        <v>252 / 912</v>
      </c>
      <c r="H45" s="508" t="s">
        <v>4</v>
      </c>
      <c r="I45" s="369"/>
      <c r="J45" s="359" t="str">
        <f>_xlfn.LET(_xlpm.term,INDEX('Site Data'!$S$6:$S$37,MATCH($A45,'Site Data'!$A$6:$A$37,0)),
_xlpm.avg_pcnt_prod,INDEX('System Specification'!$Y$15:$Y$38,MATCH(_xlpm.term,'System Specification'!$W$15:$W$38,0)),
IF(AND($I$10&gt;0,$I$11&gt;0),ROUND((I45*(_xlpm.term-1)*_xlpm.avg_pcnt_prod),-3),""))</f>
        <v/>
      </c>
      <c r="K45" s="360">
        <f t="shared" si="0"/>
        <v>0</v>
      </c>
      <c r="L45" s="513"/>
      <c r="M45" s="514"/>
      <c r="N45" s="515"/>
      <c r="O45" s="515"/>
      <c r="P45" s="515"/>
      <c r="Q45" s="516"/>
      <c r="R45" s="31"/>
      <c r="S45" s="31"/>
      <c r="T45" s="31"/>
      <c r="U45" s="31"/>
      <c r="V45" s="31"/>
      <c r="W45" s="147"/>
      <c r="X45" s="147"/>
      <c r="Y45" s="147"/>
    </row>
    <row r="46" spans="1:26" s="2" customFormat="1" ht="15" customHeight="1" thickBot="1" x14ac:dyDescent="0.6">
      <c r="A46" s="101">
        <f t="shared" si="1"/>
        <v>32</v>
      </c>
      <c r="B46" s="96">
        <f t="shared" si="3"/>
        <v>32</v>
      </c>
      <c r="C46" s="425" t="str">
        <f>INDEX(Site_Data_Table,MATCH($B46,'Site Data'!$A$5:$A$37,0),MATCH(C$14,Site_Data_Column_Names,0))</f>
        <v>Yolo Superior Court</v>
      </c>
      <c r="D46" s="426" t="e">
        <f>INDEX('Site Data'!$A$6:$N$37,MATCH($B46,'Site Data'!$A$6:$A$37,0),MATCH(D$14,'Site Data'!$A$5:$N$5,0))</f>
        <v>#N/A</v>
      </c>
      <c r="E46" s="193" t="str">
        <f>INDEX(Site_Data_Table,MATCH($B46,'Site Data'!$A$5:$A$37,0),MATCH(E$14,Site_Data_Column_Names,0))</f>
        <v>57-A10</v>
      </c>
      <c r="F46" s="102">
        <f>INDEX('Site Data'!$A$6:$N$37,MATCH($B46,'Site Data'!$A$6:$A$37,0),MATCH(F$14,'Site Data'!$A$5:$N$5,0))</f>
        <v>1240000</v>
      </c>
      <c r="G46" s="355" t="str">
        <f>_xlfn.TEXTJOIN(" / ",1,INDEX('Site Data'!$M$6:$M$37,$B46),INDEX('Site Data'!$N$6:$N$37,$B46))</f>
        <v>252 / 835</v>
      </c>
      <c r="H46" s="409"/>
      <c r="I46" s="370"/>
      <c r="J46" s="361" t="str">
        <f>_xlfn.LET(_xlpm.term,INDEX('Site Data'!$S$6:$S$37,MATCH($A46,'Site Data'!$A$6:$A$37,0)),
_xlpm.avg_pcnt_prod,INDEX('System Specification'!$Y$15:$Y$38,MATCH(_xlpm.term,'System Specification'!$W$15:$W$38,0)),
IF(AND($I$10&gt;0,$I$11&gt;0),ROUND((I46*(_xlpm.term-1)*_xlpm.avg_pcnt_prod),-3),""))</f>
        <v/>
      </c>
      <c r="K46" s="362">
        <f t="shared" si="0"/>
        <v>0</v>
      </c>
      <c r="L46" s="517"/>
      <c r="M46" s="518"/>
      <c r="N46" s="519"/>
      <c r="O46" s="519"/>
      <c r="P46" s="519"/>
      <c r="Q46" s="520"/>
      <c r="R46" s="31"/>
      <c r="S46" s="31"/>
      <c r="T46" s="31"/>
      <c r="U46" s="31"/>
      <c r="V46" s="31"/>
      <c r="W46" s="147"/>
      <c r="X46" s="147"/>
      <c r="Y46" s="147"/>
    </row>
    <row r="47" spans="1:26" s="2" customFormat="1" ht="15" customHeight="1" thickBot="1" x14ac:dyDescent="0.6">
      <c r="A47" s="32"/>
      <c r="B47" s="33"/>
      <c r="C47" s="34"/>
      <c r="D47" s="34"/>
      <c r="E47" s="34"/>
      <c r="F47" s="35"/>
      <c r="G47" s="35"/>
      <c r="H47" s="35"/>
      <c r="I47" s="356">
        <f>SUM(I15:I46)</f>
        <v>0</v>
      </c>
      <c r="J47" s="357">
        <f>SUM(J15:J46)</f>
        <v>0</v>
      </c>
      <c r="K47" s="358">
        <f>SUM(K15:K46)</f>
        <v>0</v>
      </c>
      <c r="L47" s="373">
        <f t="shared" ref="L47:M47" si="6">SUM(L15:L46)</f>
        <v>0</v>
      </c>
      <c r="M47" s="317">
        <f t="shared" si="6"/>
        <v>0</v>
      </c>
      <c r="N47" s="374">
        <f>IFERROR(SUMPRODUCT($M$15:$M$46,$N$15:$N$46)/$M$47,0)</f>
        <v>0</v>
      </c>
      <c r="O47" s="147"/>
      <c r="P47" s="147"/>
      <c r="Q47" s="147"/>
      <c r="R47" s="31"/>
      <c r="S47" s="31"/>
      <c r="T47" s="31"/>
      <c r="U47" s="31"/>
      <c r="V47" s="31"/>
      <c r="W47" s="147"/>
      <c r="X47" s="147"/>
      <c r="Y47" s="147"/>
    </row>
    <row r="48" spans="1:26" x14ac:dyDescent="0.55000000000000004">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row>
  </sheetData>
  <sheetProtection algorithmName="SHA-512" hashValue="iNruzNGFr/wg5aq2rBFazcIQmJIuVrIN7CBFHiX0TXnloUfIkgliYPhf3gnBpk4lUB79H1Nzl9dVTY6e8RTm9w==" saltValue="yuoD1WbVht2c4nVvq7Ih4A==" spinCount="100000" sheet="1" objects="1" scenarios="1"/>
  <mergeCells count="40">
    <mergeCell ref="C36:D36"/>
    <mergeCell ref="C37:D37"/>
    <mergeCell ref="C31:D31"/>
    <mergeCell ref="C32:D32"/>
    <mergeCell ref="C33:D33"/>
    <mergeCell ref="C34:D34"/>
    <mergeCell ref="C35:D35"/>
    <mergeCell ref="C26:D26"/>
    <mergeCell ref="C27:D27"/>
    <mergeCell ref="C28:D28"/>
    <mergeCell ref="C29:D29"/>
    <mergeCell ref="C30:D30"/>
    <mergeCell ref="C39:D39"/>
    <mergeCell ref="C45:D45"/>
    <mergeCell ref="C40:D40"/>
    <mergeCell ref="C41:D41"/>
    <mergeCell ref="C42:D42"/>
    <mergeCell ref="C43:D43"/>
    <mergeCell ref="C44:D44"/>
    <mergeCell ref="I13:K13"/>
    <mergeCell ref="L13:Q13"/>
    <mergeCell ref="C46:D46"/>
    <mergeCell ref="C16:D16"/>
    <mergeCell ref="C15:D15"/>
    <mergeCell ref="C14:D14"/>
    <mergeCell ref="C17:D17"/>
    <mergeCell ref="C18:D18"/>
    <mergeCell ref="C19:D19"/>
    <mergeCell ref="C20:D20"/>
    <mergeCell ref="C21:D21"/>
    <mergeCell ref="C22:D22"/>
    <mergeCell ref="C23:D23"/>
    <mergeCell ref="C24:D24"/>
    <mergeCell ref="C25:D25"/>
    <mergeCell ref="C38:D38"/>
    <mergeCell ref="B1:I1"/>
    <mergeCell ref="D6:G6"/>
    <mergeCell ref="F9:I9"/>
    <mergeCell ref="F10:H10"/>
    <mergeCell ref="F11:H11"/>
  </mergeCells>
  <phoneticPr fontId="17" type="noConversion"/>
  <dataValidations count="1">
    <dataValidation type="list" allowBlank="1" showInputMessage="1" showErrorMessage="1" sqref="H15:H46" xr:uid="{548AA566-C139-4C8B-B579-AC10669C80E9}">
      <formula1>Yes_No</formula1>
    </dataValidation>
  </dataValidations>
  <pageMargins left="0.5" right="0.5" top="0.5" bottom="0.75" header="0.3" footer="0.4"/>
  <pageSetup paperSize="3" scale="50" fitToWidth="2" pageOrder="overThenDown" orientation="landscape" horizontalDpi="300" verticalDpi="300" r:id="rId1"/>
  <headerFooter>
    <oddFooter>&amp;L&amp;10&amp;D&amp;R&amp;10&amp;F | &amp;A | &amp;P</oddFooter>
  </headerFooter>
  <ignoredErrors>
    <ignoredError sqref="E15:E4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4589-C1B3-4BA3-A14C-172DA830E847}">
  <sheetPr>
    <tabColor rgb="FFFFFFA7"/>
  </sheetPr>
  <dimension ref="A1:AQ56"/>
  <sheetViews>
    <sheetView showGridLines="0" topLeftCell="B11" zoomScale="85" zoomScaleNormal="85" workbookViewId="0">
      <selection activeCell="B46" sqref="B46:L56"/>
    </sheetView>
  </sheetViews>
  <sheetFormatPr defaultColWidth="8.6796875" defaultRowHeight="14.4" outlineLevelCol="1" x14ac:dyDescent="0.55000000000000004"/>
  <cols>
    <col min="1" max="1" width="9.76953125" style="3" hidden="1" customWidth="1" outlineLevel="1"/>
    <col min="2" max="2" width="14.453125" style="3" customWidth="1" collapsed="1"/>
    <col min="3" max="3" width="6.54296875" style="3" customWidth="1"/>
    <col min="4" max="4" width="16.76953125" style="3" customWidth="1"/>
    <col min="5" max="5" width="6.2265625" style="3" bestFit="1" customWidth="1"/>
    <col min="6" max="8" width="13" style="3" customWidth="1"/>
    <col min="9" max="10" width="16.54296875" style="3" customWidth="1"/>
    <col min="11" max="11" width="10.76953125" style="3" customWidth="1"/>
    <col min="12" max="12" width="11.08984375" style="3" customWidth="1"/>
    <col min="13" max="13" width="11.76953125" style="3" customWidth="1"/>
    <col min="14" max="15" width="16.54296875" style="3" customWidth="1"/>
    <col min="16" max="16" width="18.76953125" style="3" customWidth="1"/>
    <col min="17" max="17" width="11.08984375" style="3" customWidth="1"/>
    <col min="18" max="18" width="10.2265625" style="3" customWidth="1"/>
    <col min="19" max="19" width="9.76953125" style="3" customWidth="1"/>
    <col min="20" max="22" width="14.08984375" style="6" customWidth="1"/>
    <col min="23" max="24" width="14.2265625" style="6" customWidth="1"/>
    <col min="25" max="25" width="8.6796875" style="3" customWidth="1"/>
    <col min="26" max="26" width="14.2265625" style="3" customWidth="1"/>
    <col min="27" max="30" width="10.31640625" style="3" customWidth="1"/>
    <col min="31" max="40" width="8.6796875" style="3"/>
    <col min="41" max="44" width="8.6796875" style="3" customWidth="1"/>
    <col min="45" max="45" width="9.2265625" style="3" bestFit="1" customWidth="1"/>
    <col min="46" max="16384" width="8.6796875" style="3"/>
  </cols>
  <sheetData>
    <row r="1" spans="1:43" s="67" customFormat="1" ht="217" customHeight="1" x14ac:dyDescent="0.55000000000000004">
      <c r="A1" s="65" t="s">
        <v>181</v>
      </c>
      <c r="B1" s="411" t="s">
        <v>378</v>
      </c>
      <c r="C1" s="411"/>
      <c r="D1" s="411"/>
      <c r="E1" s="411"/>
      <c r="F1" s="411"/>
      <c r="G1" s="411"/>
      <c r="H1" s="411"/>
      <c r="I1" s="411"/>
      <c r="J1" s="411"/>
      <c r="K1" s="411"/>
      <c r="L1" s="411"/>
      <c r="M1" s="411"/>
      <c r="N1" s="411"/>
      <c r="O1" s="411"/>
      <c r="P1" s="411"/>
      <c r="Q1" s="411"/>
      <c r="R1" s="411"/>
      <c r="S1" s="411"/>
      <c r="T1" s="411"/>
      <c r="U1" s="66"/>
      <c r="V1" s="66"/>
      <c r="W1" s="66"/>
      <c r="X1" s="66"/>
      <c r="Y1" s="145"/>
      <c r="Z1" s="145"/>
      <c r="AA1" s="145"/>
      <c r="AB1" s="145"/>
      <c r="AC1" s="145"/>
      <c r="AD1" s="145"/>
      <c r="AE1" s="145"/>
      <c r="AF1" s="145"/>
      <c r="AG1" s="145"/>
      <c r="AH1" s="145"/>
      <c r="AI1" s="145"/>
      <c r="AJ1" s="145"/>
      <c r="AK1" s="145"/>
      <c r="AL1" s="145"/>
      <c r="AM1" s="145"/>
      <c r="AN1" s="145"/>
      <c r="AO1" s="145"/>
      <c r="AP1" s="145"/>
      <c r="AQ1" s="145"/>
    </row>
    <row r="2" spans="1:43" s="10" customFormat="1" ht="30" customHeight="1" x14ac:dyDescent="0.4"/>
    <row r="3" spans="1:43" s="2" customFormat="1" ht="28.2" x14ac:dyDescent="1.05">
      <c r="A3" s="1"/>
      <c r="B3" s="12" t="str">
        <f ca="1">"Attachment C2, "&amp;MID(CELL("filename",B1),FIND("]",CELL("filename",B1))+1,256)</f>
        <v>Attachment C2, BESS Savings</v>
      </c>
      <c r="C3" s="1"/>
      <c r="D3" s="1"/>
      <c r="E3" s="1"/>
      <c r="F3" s="1"/>
      <c r="G3" s="1"/>
      <c r="H3" s="1"/>
      <c r="I3" s="1"/>
      <c r="J3" s="1"/>
      <c r="K3" s="1"/>
      <c r="L3" s="1"/>
      <c r="M3" s="1"/>
      <c r="N3" s="1"/>
      <c r="O3" s="1"/>
      <c r="P3" s="1"/>
      <c r="Q3" s="1"/>
      <c r="R3" s="31"/>
      <c r="S3" s="31"/>
      <c r="T3" s="31"/>
      <c r="U3" s="31"/>
      <c r="V3" s="31"/>
      <c r="W3" s="31"/>
      <c r="X3" s="31"/>
      <c r="Y3" s="31"/>
      <c r="Z3" s="31"/>
      <c r="AA3" s="31"/>
      <c r="AB3" s="31"/>
      <c r="AC3" s="31"/>
      <c r="AD3" s="31"/>
      <c r="AE3" s="31"/>
      <c r="AF3" s="31"/>
      <c r="AG3" s="31"/>
      <c r="AH3" s="31"/>
      <c r="AI3" s="31"/>
      <c r="AJ3" s="31"/>
      <c r="AK3" s="31"/>
      <c r="AL3" s="31"/>
      <c r="AM3" s="31"/>
      <c r="AN3" s="31"/>
      <c r="AO3" s="31"/>
      <c r="AP3" s="31"/>
      <c r="AQ3" s="31"/>
    </row>
    <row r="4" spans="1:43" s="2" customFormat="1" ht="20.399999999999999" x14ac:dyDescent="0.75">
      <c r="A4" s="1"/>
      <c r="B4" s="7" t="str">
        <f>Instructions!B7</f>
        <v>Judicial Council of California Proposed Price Quotation Form</v>
      </c>
      <c r="C4" s="1"/>
      <c r="D4" s="1"/>
      <c r="E4" s="1"/>
      <c r="F4" s="31"/>
      <c r="G4" s="31"/>
      <c r="H4" s="31"/>
      <c r="I4" s="31"/>
      <c r="J4" s="31"/>
      <c r="K4" s="1"/>
      <c r="L4" s="1"/>
      <c r="M4" s="1"/>
      <c r="N4" s="1"/>
      <c r="O4" s="1"/>
      <c r="P4" s="1"/>
      <c r="Q4" s="1"/>
      <c r="R4" s="31"/>
      <c r="S4" s="31"/>
      <c r="T4" s="31"/>
      <c r="U4" s="31"/>
      <c r="V4" s="31"/>
      <c r="W4" s="31"/>
      <c r="X4" s="31"/>
      <c r="Y4" s="31"/>
      <c r="Z4" s="31"/>
      <c r="AA4" s="31"/>
      <c r="AB4" s="31"/>
      <c r="AC4" s="31"/>
      <c r="AD4" s="31"/>
      <c r="AE4" s="31"/>
      <c r="AF4" s="31"/>
      <c r="AG4" s="31"/>
      <c r="AH4" s="31"/>
      <c r="AI4" s="31"/>
      <c r="AJ4" s="31"/>
      <c r="AK4" s="31"/>
      <c r="AL4" s="31"/>
      <c r="AM4" s="31"/>
      <c r="AN4" s="31"/>
      <c r="AO4" s="31"/>
      <c r="AP4" s="31"/>
      <c r="AQ4" s="31"/>
    </row>
    <row r="5" spans="1:43" s="5" customFormat="1" ht="15.6" x14ac:dyDescent="0.6">
      <c r="A5" s="4"/>
      <c r="B5" s="8"/>
      <c r="C5" s="4"/>
      <c r="D5" s="4"/>
      <c r="E5" s="4"/>
      <c r="K5" s="4"/>
      <c r="L5" s="4"/>
      <c r="M5" s="4"/>
      <c r="N5" s="4"/>
      <c r="O5" s="4"/>
      <c r="P5" s="4"/>
      <c r="Q5" s="4"/>
      <c r="T5" s="31"/>
      <c r="U5" s="31"/>
      <c r="V5" s="31"/>
      <c r="W5" s="31"/>
      <c r="X5" s="31"/>
    </row>
    <row r="6" spans="1:43" ht="26.25" customHeight="1" x14ac:dyDescent="0.7">
      <c r="A6" s="146"/>
      <c r="B6" s="73" t="s">
        <v>182</v>
      </c>
      <c r="C6" s="147"/>
      <c r="D6" s="442">
        <f>Vendor_Name</f>
        <v>0</v>
      </c>
      <c r="E6" s="442"/>
      <c r="F6" s="149"/>
      <c r="G6" s="149"/>
      <c r="H6" s="149"/>
      <c r="I6" s="147"/>
      <c r="J6" s="147"/>
      <c r="K6" s="146"/>
      <c r="L6" s="146"/>
      <c r="M6" s="146"/>
      <c r="N6" s="146"/>
      <c r="O6" s="146"/>
      <c r="P6" s="146"/>
      <c r="Q6" s="146"/>
      <c r="R6" s="147"/>
      <c r="S6" s="147"/>
      <c r="T6" s="31"/>
      <c r="U6" s="31"/>
      <c r="V6" s="31"/>
      <c r="W6" s="31"/>
      <c r="X6" s="31"/>
      <c r="Y6" s="147"/>
      <c r="Z6" s="147"/>
      <c r="AA6" s="147"/>
      <c r="AB6" s="147"/>
      <c r="AC6" s="147"/>
      <c r="AD6" s="147"/>
      <c r="AE6" s="147"/>
      <c r="AF6" s="147"/>
      <c r="AG6" s="147"/>
      <c r="AH6" s="147"/>
      <c r="AI6" s="147"/>
      <c r="AJ6" s="147"/>
      <c r="AK6" s="147"/>
      <c r="AL6" s="147"/>
      <c r="AM6" s="147"/>
      <c r="AN6" s="147"/>
      <c r="AO6" s="147"/>
      <c r="AP6" s="147"/>
      <c r="AQ6" s="147"/>
    </row>
    <row r="7" spans="1:43" s="2" customFormat="1" ht="22.5" customHeight="1" x14ac:dyDescent="0.55000000000000004">
      <c r="A7" s="148"/>
      <c r="B7" s="149"/>
      <c r="C7" s="149"/>
      <c r="D7" s="149"/>
      <c r="E7" s="149"/>
      <c r="F7" s="149"/>
      <c r="G7" s="149"/>
      <c r="H7" s="149"/>
      <c r="I7" s="149"/>
      <c r="J7" s="149"/>
      <c r="K7" s="149"/>
      <c r="L7" s="149"/>
      <c r="M7" s="149"/>
      <c r="N7" s="149"/>
      <c r="O7" s="149"/>
      <c r="P7" s="149"/>
      <c r="Q7" s="149"/>
      <c r="R7" s="31"/>
      <c r="S7" s="149"/>
      <c r="T7" s="31"/>
      <c r="U7" s="31"/>
      <c r="V7" s="31"/>
      <c r="W7" s="31"/>
      <c r="X7" s="31"/>
      <c r="Y7" s="31"/>
      <c r="Z7" s="31"/>
      <c r="AA7" s="31"/>
      <c r="AB7" s="31"/>
      <c r="AC7" s="31"/>
      <c r="AD7" s="31"/>
      <c r="AE7" s="31"/>
      <c r="AF7" s="31"/>
      <c r="AG7" s="31"/>
      <c r="AH7" s="31"/>
      <c r="AI7" s="31"/>
      <c r="AJ7" s="31"/>
      <c r="AK7" s="31"/>
      <c r="AL7" s="31"/>
      <c r="AM7" s="31"/>
      <c r="AN7" s="31"/>
      <c r="AO7" s="31"/>
      <c r="AP7" s="31"/>
      <c r="AQ7" s="31"/>
    </row>
    <row r="8" spans="1:43" s="2" customFormat="1" ht="37.5" customHeight="1" thickBot="1" x14ac:dyDescent="0.6">
      <c r="A8" s="148"/>
      <c r="B8" s="37" t="s">
        <v>266</v>
      </c>
      <c r="C8" s="149"/>
      <c r="D8" s="149"/>
      <c r="E8" s="149"/>
      <c r="F8" s="149"/>
      <c r="G8" s="149"/>
      <c r="H8" s="149"/>
      <c r="I8" s="149"/>
      <c r="J8" s="149"/>
      <c r="K8" s="149"/>
      <c r="L8" s="149"/>
      <c r="M8" s="149"/>
      <c r="N8" s="149"/>
      <c r="O8" s="149"/>
      <c r="P8" s="149"/>
      <c r="Q8" s="149"/>
      <c r="R8" s="31"/>
      <c r="S8" s="31"/>
      <c r="T8" s="31"/>
      <c r="U8" s="31"/>
      <c r="V8" s="31"/>
      <c r="W8" s="31"/>
      <c r="X8" s="31"/>
      <c r="Y8" s="31"/>
      <c r="Z8" s="31"/>
      <c r="AA8" s="31"/>
      <c r="AB8" s="31"/>
      <c r="AC8" s="31"/>
      <c r="AD8" s="31"/>
      <c r="AE8" s="31"/>
      <c r="AF8" s="31"/>
      <c r="AG8" s="31"/>
      <c r="AH8" s="31"/>
      <c r="AI8" s="31"/>
      <c r="AJ8" s="31"/>
      <c r="AK8" s="31"/>
      <c r="AL8" s="31"/>
      <c r="AM8" s="31"/>
      <c r="AN8" s="31"/>
      <c r="AO8" s="31"/>
      <c r="AP8" s="31"/>
      <c r="AQ8" s="31"/>
    </row>
    <row r="9" spans="1:43" s="16" customFormat="1" ht="26.1" thickBot="1" x14ac:dyDescent="1">
      <c r="A9" s="150"/>
      <c r="B9" s="36"/>
      <c r="C9" s="9"/>
      <c r="D9" s="9"/>
      <c r="E9" s="9"/>
      <c r="F9" s="150"/>
      <c r="G9" s="150"/>
      <c r="H9" s="150"/>
      <c r="I9" s="109" t="s">
        <v>192</v>
      </c>
      <c r="J9" s="436" t="s">
        <v>376</v>
      </c>
      <c r="K9" s="437"/>
      <c r="L9" s="438"/>
      <c r="M9" s="436" t="s">
        <v>377</v>
      </c>
      <c r="N9" s="437"/>
      <c r="O9" s="438"/>
      <c r="P9" s="9"/>
      <c r="Q9" s="9"/>
      <c r="R9" s="9"/>
      <c r="S9" s="9"/>
      <c r="T9" s="9"/>
      <c r="U9" s="9"/>
      <c r="V9" s="9"/>
    </row>
    <row r="10" spans="1:43" s="17" customFormat="1" ht="43.5" thickBot="1" x14ac:dyDescent="0.6">
      <c r="A10" s="19" t="s">
        <v>181</v>
      </c>
      <c r="B10" s="60" t="str">
        <f>'Site Data'!A5</f>
        <v>Site Number</v>
      </c>
      <c r="C10" s="439" t="str">
        <f>'Site Data'!B5</f>
        <v>Site Name</v>
      </c>
      <c r="D10" s="439"/>
      <c r="E10" s="333" t="str">
        <f>'Site Data'!C5</f>
        <v>Site ID</v>
      </c>
      <c r="F10" s="124" t="str">
        <f>'Site Data'!L5</f>
        <v>Year 1 Target PV Production (kWh)</v>
      </c>
      <c r="G10" s="124" t="s">
        <v>193</v>
      </c>
      <c r="H10" s="64" t="s">
        <v>353</v>
      </c>
      <c r="I10" s="167" t="s">
        <v>362</v>
      </c>
      <c r="J10" s="60" t="s">
        <v>197</v>
      </c>
      <c r="K10" s="333" t="s">
        <v>198</v>
      </c>
      <c r="L10" s="70" t="s">
        <v>199</v>
      </c>
      <c r="M10" s="60" t="s">
        <v>197</v>
      </c>
      <c r="N10" s="372" t="s">
        <v>198</v>
      </c>
      <c r="O10" s="70" t="s">
        <v>199</v>
      </c>
    </row>
    <row r="11" spans="1:43" s="2" customFormat="1" ht="15" customHeight="1" x14ac:dyDescent="0.55000000000000004">
      <c r="A11" s="101">
        <f>B11</f>
        <v>1</v>
      </c>
      <c r="B11" s="341">
        <v>1</v>
      </c>
      <c r="C11" s="440" t="str">
        <f>INDEX(Site_Data_Table,MATCH($B11,'Site Data'!$A$5:$A$37,0),MATCH(C$10,Site_Data_Column_Names,0))</f>
        <v>Fremont Hall of Justice</v>
      </c>
      <c r="D11" s="440" t="e">
        <f>INDEX('Site Data'!$A$6:$N$37,MATCH($B11,'Site Data'!$A$6:$A$37,0),MATCH(D$10,'Site Data'!$A$5:$N$5,0))</f>
        <v>#N/A</v>
      </c>
      <c r="E11" s="342" t="str">
        <f>INDEX(Site_Data_Table,MATCH($B11,'Site Data'!$A$5:$A$37,0),MATCH(E$10,Site_Data_Column_Names,0))</f>
        <v>01-H1</v>
      </c>
      <c r="F11" s="268">
        <f>INDEX('Site Data'!$A$6:$N$37,MATCH($B11,'Site Data'!$A$6:$A$37,0),MATCH(F$10,'Site Data'!$A$5:$N$5,0))</f>
        <v>735000</v>
      </c>
      <c r="G11" s="268" t="str">
        <f>_xlfn.TEXTJOIN(" / ",1,INDEX('Site Data'!$M$6:$M$37,$B11),INDEX('Site Data'!$N$6:$N$37,$B11))</f>
        <v>189 / 559</v>
      </c>
      <c r="H11" s="343" t="str">
        <f>_xlfn.TEXTJOIN(" / ",1,INDEX('System Specification'!$L$15:$L$46,$B11),INDEX('System Specification'!$M$15:$M$46,$B11))</f>
        <v/>
      </c>
      <c r="I11" s="521"/>
      <c r="J11" s="522"/>
      <c r="K11" s="523"/>
      <c r="L11" s="316">
        <f>SUM(J11:K11)</f>
        <v>0</v>
      </c>
      <c r="M11" s="522"/>
      <c r="N11" s="523"/>
      <c r="O11" s="316">
        <f>SUM(M11:N11)</f>
        <v>0</v>
      </c>
      <c r="P11" s="31"/>
      <c r="Q11" s="31"/>
      <c r="R11" s="31"/>
      <c r="S11" s="31"/>
      <c r="T11" s="31"/>
      <c r="U11" s="31"/>
      <c r="V11" s="31"/>
    </row>
    <row r="12" spans="1:43" s="2" customFormat="1" ht="15" customHeight="1" x14ac:dyDescent="0.55000000000000004">
      <c r="A12" s="101">
        <f t="shared" ref="A12:B27" si="0">A11+1</f>
        <v>2</v>
      </c>
      <c r="B12" s="203">
        <f>B11+1</f>
        <v>2</v>
      </c>
      <c r="C12" s="435" t="str">
        <f>INDEX(Site_Data_Table,MATCH($B12,'Site Data'!$A$5:$A$37,0),MATCH(C$10,Site_Data_Column_Names,0))</f>
        <v>Amador Superior Court</v>
      </c>
      <c r="D12" s="435" t="e">
        <f>INDEX('Site Data'!$A$6:$N$37,MATCH($B12,'Site Data'!$A$6:$A$37,0),MATCH(D$10,'Site Data'!$A$5:$N$5,0))</f>
        <v>#N/A</v>
      </c>
      <c r="E12" s="337" t="str">
        <f>INDEX(Site_Data_Table,MATCH($B12,'Site Data'!$A$5:$A$37,0),MATCH(E$10,Site_Data_Column_Names,0))</f>
        <v>03-C1</v>
      </c>
      <c r="F12" s="97">
        <f>INDEX('Site Data'!$A$6:$N$37,MATCH($B12,'Site Data'!$A$6:$A$37,0),MATCH(F$10,'Site Data'!$A$5:$N$5,0))</f>
        <v>233000</v>
      </c>
      <c r="G12" s="97" t="str">
        <f>_xlfn.TEXTJOIN(" / ",1,INDEX('Site Data'!$M$6:$M$37,$B12),INDEX('Site Data'!$N$6:$N$37,$B12))</f>
        <v>63 / 177</v>
      </c>
      <c r="H12" s="338" t="str">
        <f>_xlfn.TEXTJOIN(" / ",1,INDEX('System Specification'!$L$15:$L$46,$B12),INDEX('System Specification'!$M$15:$M$46,$B12))</f>
        <v/>
      </c>
      <c r="I12" s="524"/>
      <c r="J12" s="525"/>
      <c r="K12" s="526"/>
      <c r="L12" s="318">
        <f t="shared" ref="L12:L42" si="1">SUM(J12:K12)</f>
        <v>0</v>
      </c>
      <c r="M12" s="525"/>
      <c r="N12" s="526"/>
      <c r="O12" s="318">
        <f t="shared" ref="O12:O42" si="2">SUM(M12:N12)</f>
        <v>0</v>
      </c>
      <c r="P12" s="31"/>
      <c r="Q12" s="31"/>
      <c r="R12" s="31"/>
      <c r="S12" s="31"/>
      <c r="T12" s="31"/>
      <c r="U12" s="31"/>
      <c r="V12" s="31"/>
    </row>
    <row r="13" spans="1:43" s="2" customFormat="1" ht="15" customHeight="1" x14ac:dyDescent="0.55000000000000004">
      <c r="A13" s="101">
        <f t="shared" si="0"/>
        <v>3</v>
      </c>
      <c r="B13" s="203">
        <f t="shared" si="0"/>
        <v>3</v>
      </c>
      <c r="C13" s="435" t="str">
        <f>INDEX(Site_Data_Table,MATCH($B13,'Site Data'!$A$5:$A$37,0),MATCH(C$10,Site_Data_Column_Names,0))</f>
        <v>North Butte County Courthouse</v>
      </c>
      <c r="D13" s="435" t="e">
        <f>INDEX('Site Data'!$A$6:$N$37,MATCH($B13,'Site Data'!$A$6:$A$37,0),MATCH(D$10,'Site Data'!$A$5:$N$5,0))</f>
        <v>#N/A</v>
      </c>
      <c r="E13" s="337" t="str">
        <f>INDEX(Site_Data_Table,MATCH($B13,'Site Data'!$A$5:$A$37,0),MATCH(E$10,Site_Data_Column_Names,0))</f>
        <v>04-F1</v>
      </c>
      <c r="F13" s="97">
        <f>INDEX('Site Data'!$A$6:$N$37,MATCH($B13,'Site Data'!$A$6:$A$37,0),MATCH(F$10,'Site Data'!$A$5:$N$5,0))</f>
        <v>893000</v>
      </c>
      <c r="G13" s="97" t="str">
        <f>_xlfn.TEXTJOIN(" / ",1,INDEX('Site Data'!$M$6:$M$37,$B13),INDEX('Site Data'!$N$6:$N$37,$B13))</f>
        <v>315 / 680</v>
      </c>
      <c r="H13" s="338" t="str">
        <f>_xlfn.TEXTJOIN(" / ",1,INDEX('System Specification'!$L$15:$L$46,$B13),INDEX('System Specification'!$M$15:$M$46,$B13))</f>
        <v/>
      </c>
      <c r="I13" s="524"/>
      <c r="J13" s="525"/>
      <c r="K13" s="526"/>
      <c r="L13" s="318">
        <f t="shared" si="1"/>
        <v>0</v>
      </c>
      <c r="M13" s="525"/>
      <c r="N13" s="526"/>
      <c r="O13" s="318">
        <f t="shared" si="2"/>
        <v>0</v>
      </c>
      <c r="P13" s="31"/>
      <c r="Q13" s="31"/>
      <c r="R13" s="31"/>
      <c r="S13" s="31"/>
      <c r="T13" s="31"/>
      <c r="U13" s="31"/>
      <c r="V13" s="31"/>
    </row>
    <row r="14" spans="1:43" s="2" customFormat="1" ht="15" customHeight="1" x14ac:dyDescent="0.55000000000000004">
      <c r="A14" s="101">
        <f t="shared" si="0"/>
        <v>4</v>
      </c>
      <c r="B14" s="203">
        <f t="shared" si="0"/>
        <v>4</v>
      </c>
      <c r="C14" s="435" t="str">
        <f>INDEX(Site_Data_Table,MATCH($B14,'Site Data'!$A$5:$A$37,0),MATCH(C$10,Site_Data_Column_Names,0))</f>
        <v>Bray Courts</v>
      </c>
      <c r="D14" s="435" t="e">
        <f>INDEX('Site Data'!$A$6:$N$37,MATCH($B14,'Site Data'!$A$6:$A$37,0),MATCH(D$10,'Site Data'!$A$5:$N$5,0))</f>
        <v>#N/A</v>
      </c>
      <c r="E14" s="337" t="str">
        <f>INDEX(Site_Data_Table,MATCH($B14,'Site Data'!$A$5:$A$37,0),MATCH(E$10,Site_Data_Column_Names,0))</f>
        <v>07-A3</v>
      </c>
      <c r="F14" s="97">
        <f>INDEX('Site Data'!$A$6:$N$37,MATCH($B14,'Site Data'!$A$6:$A$37,0),MATCH(F$10,'Site Data'!$A$5:$N$5,0))</f>
        <v>675000</v>
      </c>
      <c r="G14" s="97" t="str">
        <f>_xlfn.TEXTJOIN(" / ",1,INDEX('Site Data'!$M$6:$M$37,$B14),INDEX('Site Data'!$N$6:$N$37,$B14))</f>
        <v>189 / 514</v>
      </c>
      <c r="H14" s="338" t="str">
        <f>_xlfn.TEXTJOIN(" / ",1,INDEX('System Specification'!$L$15:$L$46,$B14),INDEX('System Specification'!$M$15:$M$46,$B14))</f>
        <v/>
      </c>
      <c r="I14" s="524"/>
      <c r="J14" s="525"/>
      <c r="K14" s="526"/>
      <c r="L14" s="318">
        <f t="shared" si="1"/>
        <v>0</v>
      </c>
      <c r="M14" s="525"/>
      <c r="N14" s="526"/>
      <c r="O14" s="318">
        <f t="shared" si="2"/>
        <v>0</v>
      </c>
      <c r="P14" s="31"/>
      <c r="Q14" s="31"/>
      <c r="R14" s="31"/>
      <c r="S14" s="31"/>
      <c r="T14" s="31"/>
      <c r="U14" s="31"/>
      <c r="V14" s="31"/>
    </row>
    <row r="15" spans="1:43" s="2" customFormat="1" ht="15" customHeight="1" x14ac:dyDescent="0.55000000000000004">
      <c r="A15" s="101">
        <f t="shared" si="0"/>
        <v>5</v>
      </c>
      <c r="B15" s="203">
        <f t="shared" si="0"/>
        <v>5</v>
      </c>
      <c r="C15" s="435" t="str">
        <f>INDEX(Site_Data_Table,MATCH($B15,'Site Data'!$A$5:$A$37,0),MATCH(C$10,Site_Data_Column_Names,0))</f>
        <v>Richard E. Arnason Justice Center</v>
      </c>
      <c r="D15" s="435" t="e">
        <f>INDEX('Site Data'!$A$6:$N$37,MATCH($B15,'Site Data'!$A$6:$A$37,0),MATCH(D$10,'Site Data'!$A$5:$N$5,0))</f>
        <v>#N/A</v>
      </c>
      <c r="E15" s="337" t="str">
        <f>INDEX(Site_Data_Table,MATCH($B15,'Site Data'!$A$5:$A$37,0),MATCH(E$10,Site_Data_Column_Names,0))</f>
        <v>07-E3</v>
      </c>
      <c r="F15" s="97">
        <f>INDEX('Site Data'!$A$6:$N$37,MATCH($B15,'Site Data'!$A$6:$A$37,0),MATCH(F$10,'Site Data'!$A$5:$N$5,0))</f>
        <v>750000</v>
      </c>
      <c r="G15" s="97" t="str">
        <f>_xlfn.TEXTJOIN(" / ",1,INDEX('Site Data'!$M$6:$M$37,$B15),INDEX('Site Data'!$N$6:$N$37,$B15))</f>
        <v>189 / 571</v>
      </c>
      <c r="H15" s="338" t="str">
        <f>_xlfn.TEXTJOIN(" / ",1,INDEX('System Specification'!$L$15:$L$46,$B15),INDEX('System Specification'!$M$15:$M$46,$B15))</f>
        <v/>
      </c>
      <c r="I15" s="524"/>
      <c r="J15" s="525"/>
      <c r="K15" s="526"/>
      <c r="L15" s="318">
        <f t="shared" si="1"/>
        <v>0</v>
      </c>
      <c r="M15" s="525"/>
      <c r="N15" s="526"/>
      <c r="O15" s="318">
        <f t="shared" si="2"/>
        <v>0</v>
      </c>
      <c r="P15" s="31"/>
      <c r="Q15" s="31"/>
      <c r="R15" s="31"/>
      <c r="S15" s="31"/>
      <c r="T15" s="31"/>
      <c r="U15" s="31"/>
      <c r="V15" s="31"/>
    </row>
    <row r="16" spans="1:43" s="2" customFormat="1" ht="15" customHeight="1" x14ac:dyDescent="0.55000000000000004">
      <c r="A16" s="101">
        <f t="shared" si="0"/>
        <v>6</v>
      </c>
      <c r="B16" s="203">
        <f t="shared" si="0"/>
        <v>6</v>
      </c>
      <c r="C16" s="435" t="str">
        <f>INDEX(Site_Data_Table,MATCH($B16,'Site Data'!$A$5:$A$37,0),MATCH(C$10,Site_Data_Column_Names,0))</f>
        <v>Walnut Creek Courthouse</v>
      </c>
      <c r="D16" s="435" t="e">
        <f>INDEX('Site Data'!$A$6:$N$37,MATCH($B16,'Site Data'!$A$6:$A$37,0),MATCH(D$10,'Site Data'!$A$5:$N$5,0))</f>
        <v>#N/A</v>
      </c>
      <c r="E16" s="337" t="str">
        <f>INDEX(Site_Data_Table,MATCH($B16,'Site Data'!$A$5:$A$37,0),MATCH(E$10,Site_Data_Column_Names,0))</f>
        <v>07-C1</v>
      </c>
      <c r="F16" s="97">
        <f>INDEX('Site Data'!$A$6:$N$37,MATCH($B16,'Site Data'!$A$6:$A$37,0),MATCH(F$10,'Site Data'!$A$5:$N$5,0))</f>
        <v>165000</v>
      </c>
      <c r="G16" s="97" t="str">
        <f>_xlfn.TEXTJOIN(" / ",1,INDEX('Site Data'!$M$6:$M$37,$B16),INDEX('Site Data'!$N$6:$N$37,$B16))</f>
        <v>63 / 125</v>
      </c>
      <c r="H16" s="338" t="str">
        <f>_xlfn.TEXTJOIN(" / ",1,INDEX('System Specification'!$L$15:$L$46,$B16),INDEX('System Specification'!$M$15:$M$46,$B16))</f>
        <v/>
      </c>
      <c r="I16" s="524"/>
      <c r="J16" s="525"/>
      <c r="K16" s="526"/>
      <c r="L16" s="318">
        <f t="shared" si="1"/>
        <v>0</v>
      </c>
      <c r="M16" s="525"/>
      <c r="N16" s="526"/>
      <c r="O16" s="318">
        <f t="shared" si="2"/>
        <v>0</v>
      </c>
      <c r="P16" s="31"/>
      <c r="Q16" s="31"/>
      <c r="R16" s="31"/>
      <c r="S16" s="31"/>
      <c r="T16" s="31"/>
      <c r="U16" s="31"/>
      <c r="V16" s="31"/>
    </row>
    <row r="17" spans="1:23" s="2" customFormat="1" ht="15" customHeight="1" x14ac:dyDescent="0.55000000000000004">
      <c r="A17" s="101">
        <f t="shared" si="0"/>
        <v>7</v>
      </c>
      <c r="B17" s="203">
        <f t="shared" si="0"/>
        <v>7</v>
      </c>
      <c r="C17" s="435" t="str">
        <f>INDEX(Site_Data_Table,MATCH($B17,'Site Data'!$A$5:$A$37,0),MATCH(C$10,Site_Data_Column_Names,0))</f>
        <v>B. F. Sisk Courthouse</v>
      </c>
      <c r="D17" s="435" t="e">
        <f>INDEX('Site Data'!$A$6:$N$37,MATCH($B17,'Site Data'!$A$6:$A$37,0),MATCH(D$10,'Site Data'!$A$5:$N$5,0))</f>
        <v>#N/A</v>
      </c>
      <c r="E17" s="337" t="str">
        <f>INDEX(Site_Data_Table,MATCH($B17,'Site Data'!$A$5:$A$37,0),MATCH(E$10,Site_Data_Column_Names,0))</f>
        <v>10-O1</v>
      </c>
      <c r="F17" s="97">
        <f>INDEX('Site Data'!$A$6:$N$37,MATCH($B17,'Site Data'!$A$6:$A$37,0),MATCH(F$10,'Site Data'!$A$5:$N$5,0))</f>
        <v>1604000</v>
      </c>
      <c r="G17" s="97" t="str">
        <f>_xlfn.TEXTJOIN(" / ",1,INDEX('Site Data'!$M$6:$M$37,$B17),INDEX('Site Data'!$N$6:$N$37,$B17))</f>
        <v>378 / 1221</v>
      </c>
      <c r="H17" s="338" t="str">
        <f>_xlfn.TEXTJOIN(" / ",1,INDEX('System Specification'!$L$15:$L$46,$B17),INDEX('System Specification'!$M$15:$M$46,$B17))</f>
        <v/>
      </c>
      <c r="I17" s="524"/>
      <c r="J17" s="525"/>
      <c r="K17" s="526"/>
      <c r="L17" s="318">
        <f t="shared" si="1"/>
        <v>0</v>
      </c>
      <c r="M17" s="525"/>
      <c r="N17" s="526"/>
      <c r="O17" s="318">
        <f t="shared" si="2"/>
        <v>0</v>
      </c>
      <c r="P17" s="31"/>
      <c r="Q17" s="31"/>
      <c r="R17" s="31"/>
      <c r="S17" s="31"/>
      <c r="T17" s="31"/>
      <c r="U17" s="31"/>
      <c r="V17" s="31"/>
    </row>
    <row r="18" spans="1:23" s="2" customFormat="1" ht="15" customHeight="1" x14ac:dyDescent="0.55000000000000004">
      <c r="A18" s="101">
        <f t="shared" si="0"/>
        <v>8</v>
      </c>
      <c r="B18" s="203">
        <f t="shared" si="0"/>
        <v>8</v>
      </c>
      <c r="C18" s="435" t="str">
        <f>INDEX(Site_Data_Table,MATCH($B18,'Site Data'!$A$5:$A$37,0),MATCH(C$10,Site_Data_Column_Names,0))</f>
        <v>Imperial County Courthouse</v>
      </c>
      <c r="D18" s="435" t="e">
        <f>INDEX('Site Data'!$A$6:$N$37,MATCH($B18,'Site Data'!$A$6:$A$37,0),MATCH(D$10,'Site Data'!$A$5:$N$5,0))</f>
        <v>#N/A</v>
      </c>
      <c r="E18" s="337" t="str">
        <f>INDEX(Site_Data_Table,MATCH($B18,'Site Data'!$A$5:$A$37,0),MATCH(E$10,Site_Data_Column_Names,0))</f>
        <v>13-A1</v>
      </c>
      <c r="F18" s="97">
        <f>INDEX('Site Data'!$A$6:$N$37,MATCH($B18,'Site Data'!$A$6:$A$37,0),MATCH(F$10,'Site Data'!$A$5:$N$5,0))</f>
        <v>354000</v>
      </c>
      <c r="G18" s="97" t="str">
        <f>_xlfn.TEXTJOIN(" / ",1,INDEX('Site Data'!$M$6:$M$37,$B18),INDEX('Site Data'!$N$6:$N$37,$B18))</f>
        <v>45 / 180</v>
      </c>
      <c r="H18" s="338" t="str">
        <f>_xlfn.TEXTJOIN(" / ",1,INDEX('System Specification'!$L$15:$L$46,$B18),INDEX('System Specification'!$M$15:$M$46,$B18))</f>
        <v/>
      </c>
      <c r="I18" s="524"/>
      <c r="J18" s="525"/>
      <c r="K18" s="526"/>
      <c r="L18" s="318">
        <f t="shared" si="1"/>
        <v>0</v>
      </c>
      <c r="M18" s="525"/>
      <c r="N18" s="526"/>
      <c r="O18" s="318">
        <f t="shared" si="2"/>
        <v>0</v>
      </c>
      <c r="P18" s="31"/>
      <c r="Q18" s="31"/>
      <c r="R18" s="31"/>
      <c r="S18" s="31"/>
      <c r="T18" s="31"/>
      <c r="U18" s="31"/>
      <c r="V18" s="31"/>
    </row>
    <row r="19" spans="1:23" s="2" customFormat="1" ht="15" customHeight="1" x14ac:dyDescent="0.55000000000000004">
      <c r="A19" s="101">
        <f t="shared" si="0"/>
        <v>9</v>
      </c>
      <c r="B19" s="203">
        <f t="shared" si="0"/>
        <v>9</v>
      </c>
      <c r="C19" s="435" t="str">
        <f>INDEX(Site_Data_Table,MATCH($B19,'Site Data'!$A$5:$A$37,0),MATCH(C$10,Site_Data_Column_Names,0))</f>
        <v>Delano/North Kern Court</v>
      </c>
      <c r="D19" s="435" t="e">
        <f>INDEX('Site Data'!$A$6:$N$37,MATCH($B19,'Site Data'!$A$6:$A$37,0),MATCH(D$10,'Site Data'!$A$5:$N$5,0))</f>
        <v>#N/A</v>
      </c>
      <c r="E19" s="337" t="str">
        <f>INDEX(Site_Data_Table,MATCH($B19,'Site Data'!$A$5:$A$37,0),MATCH(E$10,Site_Data_Column_Names,0))</f>
        <v>15-D1</v>
      </c>
      <c r="F19" s="97">
        <f>INDEX('Site Data'!$A$6:$N$37,MATCH($B19,'Site Data'!$A$6:$A$37,0),MATCH(F$10,'Site Data'!$A$5:$N$5,0))</f>
        <v>169000</v>
      </c>
      <c r="G19" s="97" t="str">
        <f>_xlfn.TEXTJOIN(" / ",1,INDEX('Site Data'!$M$6:$M$37,$B19),INDEX('Site Data'!$N$6:$N$37,$B19))</f>
        <v>63 / 129</v>
      </c>
      <c r="H19" s="338" t="str">
        <f>_xlfn.TEXTJOIN(" / ",1,INDEX('System Specification'!$L$15:$L$46,$B19),INDEX('System Specification'!$M$15:$M$46,$B19))</f>
        <v/>
      </c>
      <c r="I19" s="524"/>
      <c r="J19" s="525"/>
      <c r="K19" s="526"/>
      <c r="L19" s="318">
        <f t="shared" si="1"/>
        <v>0</v>
      </c>
      <c r="M19" s="525"/>
      <c r="N19" s="526"/>
      <c r="O19" s="318">
        <f t="shared" si="2"/>
        <v>0</v>
      </c>
      <c r="P19" s="31"/>
      <c r="Q19" s="31"/>
      <c r="R19" s="31"/>
      <c r="S19" s="31"/>
      <c r="T19" s="31"/>
      <c r="U19" s="31"/>
      <c r="V19" s="31"/>
    </row>
    <row r="20" spans="1:23" s="2" customFormat="1" ht="15" customHeight="1" x14ac:dyDescent="0.55000000000000004">
      <c r="A20" s="101">
        <f t="shared" si="0"/>
        <v>10</v>
      </c>
      <c r="B20" s="203">
        <f t="shared" si="0"/>
        <v>10</v>
      </c>
      <c r="C20" s="435" t="str">
        <f>INDEX(Site_Data_Table,MATCH($B20,'Site Data'!$A$5:$A$37,0),MATCH(C$10,Site_Data_Column_Names,0))</f>
        <v>Kings Superior Court</v>
      </c>
      <c r="D20" s="435" t="e">
        <f>INDEX('Site Data'!$A$6:$N$37,MATCH($B20,'Site Data'!$A$6:$A$37,0),MATCH(D$10,'Site Data'!$A$5:$N$5,0))</f>
        <v>#N/A</v>
      </c>
      <c r="E20" s="337" t="str">
        <f>INDEX(Site_Data_Table,MATCH($B20,'Site Data'!$A$5:$A$37,0),MATCH(E$10,Site_Data_Column_Names,0))</f>
        <v>16-A5</v>
      </c>
      <c r="F20" s="97">
        <f>INDEX('Site Data'!$A$6:$N$37,MATCH($B20,'Site Data'!$A$6:$A$37,0),MATCH(F$10,'Site Data'!$A$5:$N$5,0))</f>
        <v>1849000</v>
      </c>
      <c r="G20" s="97" t="str">
        <f>_xlfn.TEXTJOIN(" / ",1,INDEX('Site Data'!$M$6:$M$37,$B20),INDEX('Site Data'!$N$6:$N$37,$B20))</f>
        <v>252 / 835</v>
      </c>
      <c r="H20" s="338" t="str">
        <f>_xlfn.TEXTJOIN(" / ",1,INDEX('System Specification'!$L$15:$L$46,$B20),INDEX('System Specification'!$M$15:$M$46,$B20))</f>
        <v/>
      </c>
      <c r="I20" s="524"/>
      <c r="J20" s="525"/>
      <c r="K20" s="526"/>
      <c r="L20" s="318">
        <f t="shared" si="1"/>
        <v>0</v>
      </c>
      <c r="M20" s="525"/>
      <c r="N20" s="526"/>
      <c r="O20" s="318">
        <f t="shared" si="2"/>
        <v>0</v>
      </c>
      <c r="P20" s="31"/>
      <c r="Q20" s="31"/>
      <c r="R20" s="31"/>
      <c r="S20" s="31"/>
      <c r="T20" s="31"/>
      <c r="U20" s="31"/>
      <c r="V20" s="31"/>
    </row>
    <row r="21" spans="1:23" s="2" customFormat="1" ht="15" customHeight="1" x14ac:dyDescent="0.55000000000000004">
      <c r="A21" s="101">
        <f t="shared" si="0"/>
        <v>11</v>
      </c>
      <c r="B21" s="203">
        <f t="shared" si="0"/>
        <v>11</v>
      </c>
      <c r="C21" s="435" t="str">
        <f>INDEX(Site_Data_Table,MATCH($B21,'Site Data'!$A$5:$A$37,0),MATCH(C$10,Site_Data_Column_Names,0))</f>
        <v>Whittier Courthouse</v>
      </c>
      <c r="D21" s="435" t="e">
        <f>INDEX('Site Data'!$A$6:$N$37,MATCH($B21,'Site Data'!$A$6:$A$37,0),MATCH(D$10,'Site Data'!$A$5:$N$5,0))</f>
        <v>#N/A</v>
      </c>
      <c r="E21" s="337" t="str">
        <f>INDEX(Site_Data_Table,MATCH($B21,'Site Data'!$A$5:$A$37,0),MATCH(E$10,Site_Data_Column_Names,0))</f>
        <v>19-AO1</v>
      </c>
      <c r="F21" s="97">
        <f>INDEX('Site Data'!$A$6:$N$37,MATCH($B21,'Site Data'!$A$6:$A$37,0),MATCH(F$10,'Site Data'!$A$5:$N$5,0))</f>
        <v>1328000</v>
      </c>
      <c r="G21" s="97" t="str">
        <f>_xlfn.TEXTJOIN(" / ",1,INDEX('Site Data'!$M$6:$M$37,$B21),INDEX('Site Data'!$N$6:$N$37,$B21))</f>
        <v>252 / 835</v>
      </c>
      <c r="H21" s="338" t="str">
        <f>_xlfn.TEXTJOIN(" / ",1,INDEX('System Specification'!$L$15:$L$46,$B21),INDEX('System Specification'!$M$15:$M$46,$B21))</f>
        <v/>
      </c>
      <c r="I21" s="524"/>
      <c r="J21" s="525"/>
      <c r="K21" s="526"/>
      <c r="L21" s="318">
        <f t="shared" si="1"/>
        <v>0</v>
      </c>
      <c r="M21" s="525"/>
      <c r="N21" s="526"/>
      <c r="O21" s="318">
        <f t="shared" si="2"/>
        <v>0</v>
      </c>
      <c r="P21" s="31"/>
      <c r="Q21" s="31"/>
      <c r="R21" s="31"/>
      <c r="S21" s="31"/>
      <c r="T21" s="31"/>
      <c r="U21" s="31"/>
      <c r="V21" s="31"/>
    </row>
    <row r="22" spans="1:23" s="2" customFormat="1" ht="15" customHeight="1" x14ac:dyDescent="0.55000000000000004">
      <c r="A22" s="101">
        <f t="shared" si="0"/>
        <v>12</v>
      </c>
      <c r="B22" s="203">
        <f t="shared" si="0"/>
        <v>12</v>
      </c>
      <c r="C22" s="435" t="str">
        <f>INDEX(Site_Data_Table,MATCH($B22,'Site Data'!$A$5:$A$37,0),MATCH(C$10,Site_Data_Column_Names,0))</f>
        <v>Santa Monica Courthouse</v>
      </c>
      <c r="D22" s="435" t="e">
        <f>INDEX('Site Data'!$A$6:$N$37,MATCH($B22,'Site Data'!$A$6:$A$37,0),MATCH(D$10,'Site Data'!$A$5:$N$5,0))</f>
        <v>#N/A</v>
      </c>
      <c r="E22" s="337" t="str">
        <f>INDEX(Site_Data_Table,MATCH($B22,'Site Data'!$A$5:$A$37,0),MATCH(E$10,Site_Data_Column_Names,0))</f>
        <v>19-AP1</v>
      </c>
      <c r="F22" s="97">
        <f>INDEX('Site Data'!$A$6:$N$37,MATCH($B22,'Site Data'!$A$6:$A$37,0),MATCH(F$10,'Site Data'!$A$5:$N$5,0))</f>
        <v>1652000</v>
      </c>
      <c r="G22" s="97" t="str">
        <f>_xlfn.TEXTJOIN(" / ",1,INDEX('Site Data'!$M$6:$M$37,$B22),INDEX('Site Data'!$N$6:$N$37,$B22))</f>
        <v>315 / 1044</v>
      </c>
      <c r="H22" s="338" t="str">
        <f>_xlfn.TEXTJOIN(" / ",1,INDEX('System Specification'!$L$15:$L$46,$B22),INDEX('System Specification'!$M$15:$M$46,$B22))</f>
        <v/>
      </c>
      <c r="I22" s="524"/>
      <c r="J22" s="525"/>
      <c r="K22" s="526"/>
      <c r="L22" s="318">
        <f t="shared" si="1"/>
        <v>0</v>
      </c>
      <c r="M22" s="525"/>
      <c r="N22" s="526"/>
      <c r="O22" s="318">
        <f t="shared" si="2"/>
        <v>0</v>
      </c>
      <c r="P22" s="31"/>
      <c r="Q22" s="31"/>
      <c r="R22" s="31"/>
      <c r="S22" s="31"/>
      <c r="T22" s="31"/>
      <c r="U22" s="31"/>
      <c r="V22" s="31"/>
    </row>
    <row r="23" spans="1:23" s="2" customFormat="1" ht="15" customHeight="1" x14ac:dyDescent="0.55000000000000004">
      <c r="A23" s="101">
        <f t="shared" si="0"/>
        <v>13</v>
      </c>
      <c r="B23" s="203">
        <f t="shared" si="0"/>
        <v>13</v>
      </c>
      <c r="C23" s="435" t="str">
        <f>INDEX(Site_Data_Table,MATCH($B23,'Site Data'!$A$5:$A$37,0),MATCH(C$10,Site_Data_Column_Names,0))</f>
        <v>Van Nuys Courthouse East</v>
      </c>
      <c r="D23" s="435" t="e">
        <f>INDEX('Site Data'!$A$6:$N$37,MATCH($B23,'Site Data'!$A$6:$A$37,0),MATCH(D$10,'Site Data'!$A$5:$N$5,0))</f>
        <v>#N/A</v>
      </c>
      <c r="E23" s="337" t="str">
        <f>INDEX(Site_Data_Table,MATCH($B23,'Site Data'!$A$5:$A$37,0),MATCH(E$10,Site_Data_Column_Names,0))</f>
        <v>19-AX1</v>
      </c>
      <c r="F23" s="97">
        <f>INDEX('Site Data'!$A$6:$N$37,MATCH($B23,'Site Data'!$A$6:$A$37,0),MATCH(F$10,'Site Data'!$A$5:$N$5,0))</f>
        <v>1909000</v>
      </c>
      <c r="G23" s="97" t="str">
        <f>_xlfn.TEXTJOIN(" / ",1,INDEX('Site Data'!$M$6:$M$37,$B23),INDEX('Site Data'!$N$6:$N$37,$B23))</f>
        <v>252 / 835</v>
      </c>
      <c r="H23" s="338" t="str">
        <f>_xlfn.TEXTJOIN(" / ",1,INDEX('System Specification'!$L$15:$L$46,$B23),INDEX('System Specification'!$M$15:$M$46,$B23))</f>
        <v/>
      </c>
      <c r="I23" s="524"/>
      <c r="J23" s="525"/>
      <c r="K23" s="526"/>
      <c r="L23" s="318">
        <f t="shared" si="1"/>
        <v>0</v>
      </c>
      <c r="M23" s="525"/>
      <c r="N23" s="526"/>
      <c r="O23" s="318">
        <f t="shared" si="2"/>
        <v>0</v>
      </c>
      <c r="P23" s="31"/>
      <c r="Q23" s="31"/>
      <c r="R23" s="31"/>
      <c r="S23" s="31"/>
      <c r="T23" s="31"/>
      <c r="U23" s="31"/>
      <c r="V23" s="31"/>
    </row>
    <row r="24" spans="1:23" s="2" customFormat="1" ht="15" customHeight="1" x14ac:dyDescent="0.55000000000000004">
      <c r="A24" s="101">
        <f t="shared" si="0"/>
        <v>14</v>
      </c>
      <c r="B24" s="203">
        <f t="shared" si="0"/>
        <v>14</v>
      </c>
      <c r="C24" s="435" t="str">
        <f>INDEX(Site_Data_Table,MATCH($B24,'Site Data'!$A$5:$A$37,0),MATCH(C$10,Site_Data_Column_Names,0))</f>
        <v>Torrance Courthouse</v>
      </c>
      <c r="D24" s="435" t="e">
        <f>INDEX('Site Data'!$A$6:$N$37,MATCH($B24,'Site Data'!$A$6:$A$37,0),MATCH(D$10,'Site Data'!$A$5:$N$5,0))</f>
        <v>#N/A</v>
      </c>
      <c r="E24" s="337" t="str">
        <f>INDEX(Site_Data_Table,MATCH($B24,'Site Data'!$A$5:$A$37,0),MATCH(E$10,Site_Data_Column_Names,0))</f>
        <v>19-C1</v>
      </c>
      <c r="F24" s="97">
        <f>INDEX('Site Data'!$A$6:$N$37,MATCH($B24,'Site Data'!$A$6:$A$37,0),MATCH(F$10,'Site Data'!$A$5:$N$5,0))</f>
        <v>2465000</v>
      </c>
      <c r="G24" s="97" t="str">
        <f>_xlfn.TEXTJOIN(" / ",1,INDEX('Site Data'!$M$6:$M$37,$B24),INDEX('Site Data'!$N$6:$N$37,$B24))</f>
        <v>567 / 1876</v>
      </c>
      <c r="H24" s="338" t="str">
        <f>_xlfn.TEXTJOIN(" / ",1,INDEX('System Specification'!$L$15:$L$46,$B24),INDEX('System Specification'!$M$15:$M$46,$B24))</f>
        <v/>
      </c>
      <c r="I24" s="524"/>
      <c r="J24" s="525"/>
      <c r="K24" s="526"/>
      <c r="L24" s="318">
        <f t="shared" si="1"/>
        <v>0</v>
      </c>
      <c r="M24" s="525"/>
      <c r="N24" s="526"/>
      <c r="O24" s="318">
        <f t="shared" si="2"/>
        <v>0</v>
      </c>
      <c r="P24" s="31"/>
      <c r="Q24" s="31"/>
      <c r="R24" s="31"/>
      <c r="S24" s="31"/>
      <c r="T24" s="31"/>
      <c r="U24" s="31"/>
      <c r="V24" s="31"/>
    </row>
    <row r="25" spans="1:23" s="2" customFormat="1" ht="15" customHeight="1" x14ac:dyDescent="0.55000000000000004">
      <c r="A25" s="101">
        <f t="shared" si="0"/>
        <v>15</v>
      </c>
      <c r="B25" s="203">
        <f t="shared" si="0"/>
        <v>15</v>
      </c>
      <c r="C25" s="435" t="str">
        <f>INDEX(Site_Data_Table,MATCH($B25,'Site Data'!$A$5:$A$37,0),MATCH(C$10,Site_Data_Column_Names,0))</f>
        <v>Glendale Courthouse</v>
      </c>
      <c r="D25" s="435" t="e">
        <f>INDEX('Site Data'!$A$6:$N$37,MATCH($B25,'Site Data'!$A$6:$A$37,0),MATCH(D$10,'Site Data'!$A$5:$N$5,0))</f>
        <v>#N/A</v>
      </c>
      <c r="E25" s="337" t="str">
        <f>INDEX(Site_Data_Table,MATCH($B25,'Site Data'!$A$5:$A$37,0),MATCH(E$10,Site_Data_Column_Names,0))</f>
        <v>19-H1</v>
      </c>
      <c r="F25" s="97">
        <f>INDEX('Site Data'!$A$6:$N$37,MATCH($B25,'Site Data'!$A$6:$A$37,0),MATCH(F$10,'Site Data'!$A$5:$N$5,0))</f>
        <v>567000</v>
      </c>
      <c r="G25" s="97" t="str">
        <f>_xlfn.TEXTJOIN(" / ",1,INDEX('Site Data'!$M$6:$M$37,$B25),INDEX('Site Data'!$N$6:$N$37,$B25))</f>
        <v>126 / 432</v>
      </c>
      <c r="H25" s="338" t="str">
        <f>_xlfn.TEXTJOIN(" / ",1,INDEX('System Specification'!$L$15:$L$46,$B25),INDEX('System Specification'!$M$15:$M$46,$B25))</f>
        <v/>
      </c>
      <c r="I25" s="524"/>
      <c r="J25" s="525"/>
      <c r="K25" s="526"/>
      <c r="L25" s="318">
        <f t="shared" si="1"/>
        <v>0</v>
      </c>
      <c r="M25" s="525"/>
      <c r="N25" s="526"/>
      <c r="O25" s="318">
        <f t="shared" si="2"/>
        <v>0</v>
      </c>
      <c r="P25" s="31"/>
      <c r="Q25" s="31"/>
      <c r="R25" s="31"/>
      <c r="S25" s="31"/>
      <c r="T25" s="31"/>
      <c r="U25" s="31"/>
      <c r="V25" s="31"/>
    </row>
    <row r="26" spans="1:23" s="2" customFormat="1" ht="15" customHeight="1" x14ac:dyDescent="0.55000000000000004">
      <c r="A26" s="101">
        <f t="shared" si="0"/>
        <v>16</v>
      </c>
      <c r="B26" s="203">
        <f t="shared" si="0"/>
        <v>16</v>
      </c>
      <c r="C26" s="435" t="str">
        <f>INDEX(Site_Data_Table,MATCH($B26,'Site Data'!$A$5:$A$37,0),MATCH(C$10,Site_Data_Column_Names,0))</f>
        <v>Monrovia Training Center</v>
      </c>
      <c r="D26" s="435" t="e">
        <f>INDEX('Site Data'!$A$6:$N$37,MATCH($B26,'Site Data'!$A$6:$A$37,0),MATCH(D$10,'Site Data'!$A$5:$N$5,0))</f>
        <v>#N/A</v>
      </c>
      <c r="E26" s="337" t="str">
        <f>INDEX(Site_Data_Table,MATCH($B26,'Site Data'!$A$5:$A$37,0),MATCH(E$10,Site_Data_Column_Names,0))</f>
        <v>19-N1</v>
      </c>
      <c r="F26" s="97">
        <f>INDEX('Site Data'!$A$6:$N$37,MATCH($B26,'Site Data'!$A$6:$A$37,0),MATCH(F$10,'Site Data'!$A$5:$N$5,0))</f>
        <v>91000</v>
      </c>
      <c r="G26" s="97" t="str">
        <f>_xlfn.TEXTJOIN(" / ",1,INDEX('Site Data'!$M$6:$M$37,$B26),INDEX('Site Data'!$N$6:$N$37,$B26))</f>
        <v>22.5 / 69</v>
      </c>
      <c r="H26" s="338" t="str">
        <f>_xlfn.TEXTJOIN(" / ",1,INDEX('System Specification'!$L$15:$L$46,$B26),INDEX('System Specification'!$M$15:$M$46,$B26))</f>
        <v/>
      </c>
      <c r="I26" s="524"/>
      <c r="J26" s="525"/>
      <c r="K26" s="526"/>
      <c r="L26" s="318">
        <f t="shared" si="1"/>
        <v>0</v>
      </c>
      <c r="M26" s="525"/>
      <c r="N26" s="526"/>
      <c r="O26" s="318">
        <f t="shared" si="2"/>
        <v>0</v>
      </c>
      <c r="P26" s="31"/>
      <c r="Q26" s="31"/>
      <c r="R26" s="31"/>
      <c r="S26" s="31"/>
      <c r="T26" s="31"/>
      <c r="U26" s="31"/>
      <c r="V26" s="31"/>
    </row>
    <row r="27" spans="1:23" s="2" customFormat="1" ht="15" customHeight="1" x14ac:dyDescent="0.55000000000000004">
      <c r="A27" s="101">
        <f t="shared" si="0"/>
        <v>17</v>
      </c>
      <c r="B27" s="203">
        <f t="shared" si="0"/>
        <v>17</v>
      </c>
      <c r="C27" s="435" t="str">
        <f>INDEX(Site_Data_Table,MATCH($B27,'Site Data'!$A$5:$A$37,0),MATCH(C$10,Site_Data_Column_Names,0))</f>
        <v>Edmund D. Edelman Children's Court</v>
      </c>
      <c r="D27" s="435" t="e">
        <f>INDEX('Site Data'!$A$6:$N$37,MATCH($B27,'Site Data'!$A$6:$A$37,0),MATCH(D$10,'Site Data'!$A$5:$N$5,0))</f>
        <v>#N/A</v>
      </c>
      <c r="E27" s="337" t="str">
        <f>INDEX(Site_Data_Table,MATCH($B27,'Site Data'!$A$5:$A$37,0),MATCH(E$10,Site_Data_Column_Names,0))</f>
        <v>19-Q1</v>
      </c>
      <c r="F27" s="97">
        <f>INDEX('Site Data'!$A$6:$N$37,MATCH($B27,'Site Data'!$A$6:$A$37,0),MATCH(F$10,'Site Data'!$A$5:$N$5,0))</f>
        <v>2791000</v>
      </c>
      <c r="G27" s="97" t="str">
        <f>_xlfn.TEXTJOIN(" / ",1,INDEX('Site Data'!$M$6:$M$37,$B27),INDEX('Site Data'!$N$6:$N$37,$B27))</f>
        <v>252 / 835</v>
      </c>
      <c r="H27" s="338" t="str">
        <f>_xlfn.TEXTJOIN(" / ",1,INDEX('System Specification'!$L$15:$L$46,$B27),INDEX('System Specification'!$M$15:$M$46,$B27))</f>
        <v/>
      </c>
      <c r="I27" s="524"/>
      <c r="J27" s="525"/>
      <c r="K27" s="526"/>
      <c r="L27" s="318">
        <f t="shared" si="1"/>
        <v>0</v>
      </c>
      <c r="M27" s="525"/>
      <c r="N27" s="526"/>
      <c r="O27" s="318">
        <f t="shared" si="2"/>
        <v>0</v>
      </c>
      <c r="P27" s="31"/>
      <c r="Q27" s="31"/>
      <c r="R27" s="31"/>
      <c r="S27" s="31"/>
      <c r="T27" s="31"/>
      <c r="U27" s="31"/>
      <c r="V27" s="31"/>
      <c r="W27" s="336"/>
    </row>
    <row r="28" spans="1:23" s="2" customFormat="1" ht="15" customHeight="1" x14ac:dyDescent="0.55000000000000004">
      <c r="A28" s="101">
        <f t="shared" ref="A28:B42" si="3">A27+1</f>
        <v>18</v>
      </c>
      <c r="B28" s="203">
        <f t="shared" si="3"/>
        <v>18</v>
      </c>
      <c r="C28" s="435" t="str">
        <f>INDEX(Site_Data_Table,MATCH($B28,'Site Data'!$A$5:$A$37,0),MATCH(C$10,Site_Data_Column_Names,0))</f>
        <v>Hollywood Courthouse</v>
      </c>
      <c r="D28" s="435" t="e">
        <f>INDEX('Site Data'!$A$6:$N$37,MATCH($B28,'Site Data'!$A$6:$A$37,0),MATCH(D$10,'Site Data'!$A$5:$N$5,0))</f>
        <v>#N/A</v>
      </c>
      <c r="E28" s="337" t="str">
        <f>INDEX(Site_Data_Table,MATCH($B28,'Site Data'!$A$5:$A$37,0),MATCH(E$10,Site_Data_Column_Names,0))</f>
        <v>19-S1</v>
      </c>
      <c r="F28" s="97">
        <f>INDEX('Site Data'!$A$6:$N$37,MATCH($B28,'Site Data'!$A$6:$A$37,0),MATCH(F$10,'Site Data'!$A$5:$N$5,0))</f>
        <v>622000</v>
      </c>
      <c r="G28" s="97" t="str">
        <f>_xlfn.TEXTJOIN(" / ",1,INDEX('Site Data'!$M$6:$M$37,$B28),INDEX('Site Data'!$N$6:$N$37,$B28))</f>
        <v>189 / 473</v>
      </c>
      <c r="H28" s="338" t="str">
        <f>_xlfn.TEXTJOIN(" / ",1,INDEX('System Specification'!$L$15:$L$46,$B28),INDEX('System Specification'!$M$15:$M$46,$B28))</f>
        <v/>
      </c>
      <c r="I28" s="524"/>
      <c r="J28" s="525"/>
      <c r="K28" s="526"/>
      <c r="L28" s="318">
        <f t="shared" si="1"/>
        <v>0</v>
      </c>
      <c r="M28" s="525"/>
      <c r="N28" s="526"/>
      <c r="O28" s="318">
        <f t="shared" si="2"/>
        <v>0</v>
      </c>
      <c r="P28" s="31"/>
      <c r="Q28" s="31"/>
      <c r="R28" s="31"/>
      <c r="S28" s="31"/>
      <c r="T28" s="31"/>
      <c r="U28" s="31"/>
      <c r="V28" s="31"/>
    </row>
    <row r="29" spans="1:23" s="2" customFormat="1" ht="15" customHeight="1" x14ac:dyDescent="0.55000000000000004">
      <c r="A29" s="101">
        <f t="shared" si="3"/>
        <v>19</v>
      </c>
      <c r="B29" s="203">
        <f t="shared" si="3"/>
        <v>19</v>
      </c>
      <c r="C29" s="435" t="str">
        <f>INDEX(Site_Data_Table,MATCH($B29,'Site Data'!$A$5:$A$37,0),MATCH(C$10,Site_Data_Column_Names,0))</f>
        <v>Pomona Courthouse South</v>
      </c>
      <c r="D29" s="435" t="e">
        <f>INDEX('Site Data'!$A$6:$N$37,MATCH($B29,'Site Data'!$A$6:$A$37,0),MATCH(D$10,'Site Data'!$A$5:$N$5,0))</f>
        <v>#N/A</v>
      </c>
      <c r="E29" s="337" t="str">
        <f>INDEX(Site_Data_Table,MATCH($B29,'Site Data'!$A$5:$A$37,0),MATCH(E$10,Site_Data_Column_Names,0))</f>
        <v>19-W1</v>
      </c>
      <c r="F29" s="97">
        <f>INDEX('Site Data'!$A$6:$N$37,MATCH($B29,'Site Data'!$A$6:$A$37,0),MATCH(F$10,'Site Data'!$A$5:$N$5,0))</f>
        <v>2666000</v>
      </c>
      <c r="G29" s="97" t="str">
        <f>_xlfn.TEXTJOIN(" / ",1,INDEX('Site Data'!$M$6:$M$37,$B29),INDEX('Site Data'!$N$6:$N$37,$B29))</f>
        <v>252 / 835</v>
      </c>
      <c r="H29" s="338" t="str">
        <f>_xlfn.TEXTJOIN(" / ",1,INDEX('System Specification'!$L$15:$L$46,$B29),INDEX('System Specification'!$M$15:$M$46,$B29))</f>
        <v/>
      </c>
      <c r="I29" s="524"/>
      <c r="J29" s="525"/>
      <c r="K29" s="526"/>
      <c r="L29" s="318">
        <f t="shared" si="1"/>
        <v>0</v>
      </c>
      <c r="M29" s="525"/>
      <c r="N29" s="526"/>
      <c r="O29" s="318">
        <f t="shared" si="2"/>
        <v>0</v>
      </c>
      <c r="P29" s="31"/>
      <c r="Q29" s="31"/>
      <c r="R29" s="31"/>
      <c r="S29" s="31"/>
      <c r="T29" s="31"/>
      <c r="U29" s="31"/>
      <c r="V29" s="31"/>
      <c r="W29" s="336"/>
    </row>
    <row r="30" spans="1:23" s="2" customFormat="1" ht="15" customHeight="1" x14ac:dyDescent="0.55000000000000004">
      <c r="A30" s="101">
        <f t="shared" si="3"/>
        <v>20</v>
      </c>
      <c r="B30" s="203">
        <f t="shared" si="3"/>
        <v>20</v>
      </c>
      <c r="C30" s="435" t="str">
        <f>INDEX(Site_Data_Table,MATCH($B30,'Site Data'!$A$5:$A$37,0),MATCH(C$10,Site_Data_Column_Names,0))</f>
        <v>The Robert M. Falasco Justice Center</v>
      </c>
      <c r="D30" s="435" t="e">
        <f>INDEX('Site Data'!$A$6:$N$37,MATCH($B30,'Site Data'!$A$6:$A$37,0),MATCH(D$10,'Site Data'!$A$5:$N$5,0))</f>
        <v>#N/A</v>
      </c>
      <c r="E30" s="337" t="str">
        <f>INDEX(Site_Data_Table,MATCH($B30,'Site Data'!$A$5:$A$37,0),MATCH(E$10,Site_Data_Column_Names,0))</f>
        <v>24-G1</v>
      </c>
      <c r="F30" s="97">
        <f>INDEX('Site Data'!$A$6:$N$37,MATCH($B30,'Site Data'!$A$6:$A$37,0),MATCH(F$10,'Site Data'!$A$5:$N$5,0))</f>
        <v>345000</v>
      </c>
      <c r="G30" s="97" t="str">
        <f>_xlfn.TEXTJOIN(" / ",1,INDEX('Site Data'!$M$6:$M$37,$B30),INDEX('Site Data'!$N$6:$N$37,$B30))</f>
        <v>126 / 263</v>
      </c>
      <c r="H30" s="338" t="str">
        <f>_xlfn.TEXTJOIN(" / ",1,INDEX('System Specification'!$L$15:$L$46,$B30),INDEX('System Specification'!$M$15:$M$46,$B30))</f>
        <v/>
      </c>
      <c r="I30" s="524"/>
      <c r="J30" s="525"/>
      <c r="K30" s="526"/>
      <c r="L30" s="318">
        <f t="shared" si="1"/>
        <v>0</v>
      </c>
      <c r="M30" s="525"/>
      <c r="N30" s="526"/>
      <c r="O30" s="318">
        <f t="shared" si="2"/>
        <v>0</v>
      </c>
      <c r="P30" s="31"/>
      <c r="Q30" s="31"/>
      <c r="R30" s="31"/>
      <c r="S30" s="31"/>
      <c r="T30" s="31"/>
      <c r="U30" s="31"/>
      <c r="V30" s="31"/>
    </row>
    <row r="31" spans="1:23" s="2" customFormat="1" ht="15" customHeight="1" x14ac:dyDescent="0.55000000000000004">
      <c r="A31" s="101">
        <f t="shared" si="3"/>
        <v>21</v>
      </c>
      <c r="B31" s="203">
        <f t="shared" si="3"/>
        <v>21</v>
      </c>
      <c r="C31" s="435" t="str">
        <f>INDEX(Site_Data_Table,MATCH($B31,'Site Data'!$A$5:$A$37,0),MATCH(C$10,Site_Data_Column_Names,0))</f>
        <v>Mammoth Lakes Courthouse</v>
      </c>
      <c r="D31" s="435" t="e">
        <f>INDEX('Site Data'!$A$6:$N$37,MATCH($B31,'Site Data'!$A$6:$A$37,0),MATCH(D$10,'Site Data'!$A$5:$N$5,0))</f>
        <v>#N/A</v>
      </c>
      <c r="E31" s="337" t="str">
        <f>INDEX(Site_Data_Table,MATCH($B31,'Site Data'!$A$5:$A$37,0),MATCH(E$10,Site_Data_Column_Names,0))</f>
        <v>26-B2</v>
      </c>
      <c r="F31" s="97">
        <f>INDEX('Site Data'!$A$6:$N$37,MATCH($B31,'Site Data'!$A$6:$A$37,0),MATCH(F$10,'Site Data'!$A$5:$N$5,0))</f>
        <v>214000</v>
      </c>
      <c r="G31" s="97" t="str">
        <f>_xlfn.TEXTJOIN(" / ",1,INDEX('Site Data'!$M$6:$M$37,$B31),INDEX('Site Data'!$N$6:$N$37,$B31))</f>
        <v>63 / 163</v>
      </c>
      <c r="H31" s="338" t="str">
        <f>_xlfn.TEXTJOIN(" / ",1,INDEX('System Specification'!$L$15:$L$46,$B31),INDEX('System Specification'!$M$15:$M$46,$B31))</f>
        <v/>
      </c>
      <c r="I31" s="524"/>
      <c r="J31" s="525"/>
      <c r="K31" s="526"/>
      <c r="L31" s="318">
        <f t="shared" si="1"/>
        <v>0</v>
      </c>
      <c r="M31" s="525"/>
      <c r="N31" s="526"/>
      <c r="O31" s="318">
        <f t="shared" si="2"/>
        <v>0</v>
      </c>
      <c r="P31" s="31"/>
      <c r="Q31" s="31"/>
      <c r="R31" s="31"/>
      <c r="S31" s="31"/>
      <c r="T31" s="31"/>
      <c r="U31" s="31"/>
      <c r="V31" s="31"/>
    </row>
    <row r="32" spans="1:23" s="2" customFormat="1" ht="15" customHeight="1" x14ac:dyDescent="0.55000000000000004">
      <c r="A32" s="101">
        <f t="shared" si="3"/>
        <v>22</v>
      </c>
      <c r="B32" s="203">
        <f t="shared" si="3"/>
        <v>22</v>
      </c>
      <c r="C32" s="435" t="str">
        <f>INDEX(Site_Data_Table,MATCH($B32,'Site Data'!$A$5:$A$37,0),MATCH(C$10,Site_Data_Column_Names,0))</f>
        <v>Banning Justice Center</v>
      </c>
      <c r="D32" s="435" t="e">
        <f>INDEX('Site Data'!$A$6:$N$37,MATCH($B32,'Site Data'!$A$6:$A$37,0),MATCH(D$10,'Site Data'!$A$5:$N$5,0))</f>
        <v>#N/A</v>
      </c>
      <c r="E32" s="337" t="str">
        <f>INDEX(Site_Data_Table,MATCH($B32,'Site Data'!$A$5:$A$37,0),MATCH(E$10,Site_Data_Column_Names,0))</f>
        <v>33-G4</v>
      </c>
      <c r="F32" s="97">
        <f>INDEX('Site Data'!$A$6:$N$37,MATCH($B32,'Site Data'!$A$6:$A$37,0),MATCH(F$10,'Site Data'!$A$5:$N$5,0))</f>
        <v>1023000</v>
      </c>
      <c r="G32" s="97" t="str">
        <f>_xlfn.TEXTJOIN(" / ",1,INDEX('Site Data'!$M$6:$M$37,$B32),INDEX('Site Data'!$N$6:$N$37,$B32))</f>
        <v>126 / 418</v>
      </c>
      <c r="H32" s="338" t="str">
        <f>_xlfn.TEXTJOIN(" / ",1,INDEX('System Specification'!$L$15:$L$46,$B32),INDEX('System Specification'!$M$15:$M$46,$B32))</f>
        <v/>
      </c>
      <c r="I32" s="524"/>
      <c r="J32" s="525"/>
      <c r="K32" s="526"/>
      <c r="L32" s="318">
        <f t="shared" si="1"/>
        <v>0</v>
      </c>
      <c r="M32" s="525"/>
      <c r="N32" s="526"/>
      <c r="O32" s="318">
        <f t="shared" si="2"/>
        <v>0</v>
      </c>
      <c r="P32" s="31"/>
      <c r="Q32" s="31"/>
      <c r="R32" s="31"/>
      <c r="S32" s="31"/>
      <c r="T32" s="31"/>
      <c r="U32" s="31"/>
      <c r="V32" s="31"/>
    </row>
    <row r="33" spans="1:43" s="2" customFormat="1" ht="15" customHeight="1" x14ac:dyDescent="0.55000000000000004">
      <c r="A33" s="101">
        <f t="shared" si="3"/>
        <v>23</v>
      </c>
      <c r="B33" s="203">
        <f t="shared" si="3"/>
        <v>23</v>
      </c>
      <c r="C33" s="435" t="str">
        <f>INDEX(Site_Data_Table,MATCH($B33,'Site Data'!$A$5:$A$37,0),MATCH(C$10,Site_Data_Column_Names,0))</f>
        <v>San Benito County Superior Court</v>
      </c>
      <c r="D33" s="435" t="e">
        <f>INDEX('Site Data'!$A$6:$N$37,MATCH($B33,'Site Data'!$A$6:$A$37,0),MATCH(D$10,'Site Data'!$A$5:$N$5,0))</f>
        <v>#N/A</v>
      </c>
      <c r="E33" s="337" t="str">
        <f>INDEX(Site_Data_Table,MATCH($B33,'Site Data'!$A$5:$A$37,0),MATCH(E$10,Site_Data_Column_Names,0))</f>
        <v>35-C1</v>
      </c>
      <c r="F33" s="97">
        <f>INDEX('Site Data'!$A$6:$N$37,MATCH($B33,'Site Data'!$A$6:$A$37,0),MATCH(F$10,'Site Data'!$A$5:$N$5,0))</f>
        <v>429000</v>
      </c>
      <c r="G33" s="97" t="str">
        <f>_xlfn.TEXTJOIN(" / ",1,INDEX('Site Data'!$M$6:$M$37,$B33),INDEX('Site Data'!$N$6:$N$37,$B33))</f>
        <v>126 / 327</v>
      </c>
      <c r="H33" s="338" t="str">
        <f>_xlfn.TEXTJOIN(" / ",1,INDEX('System Specification'!$L$15:$L$46,$B33),INDEX('System Specification'!$M$15:$M$46,$B33))</f>
        <v/>
      </c>
      <c r="I33" s="524"/>
      <c r="J33" s="525"/>
      <c r="K33" s="526"/>
      <c r="L33" s="318">
        <f t="shared" si="1"/>
        <v>0</v>
      </c>
      <c r="M33" s="525"/>
      <c r="N33" s="526"/>
      <c r="O33" s="318">
        <f t="shared" si="2"/>
        <v>0</v>
      </c>
      <c r="P33" s="31"/>
      <c r="Q33" s="31"/>
      <c r="R33" s="31"/>
      <c r="S33" s="31"/>
      <c r="T33" s="31"/>
      <c r="U33" s="31"/>
      <c r="V33" s="31"/>
    </row>
    <row r="34" spans="1:43" s="2" customFormat="1" ht="15" customHeight="1" x14ac:dyDescent="0.55000000000000004">
      <c r="A34" s="101">
        <f t="shared" si="3"/>
        <v>24</v>
      </c>
      <c r="B34" s="203">
        <f t="shared" si="3"/>
        <v>24</v>
      </c>
      <c r="C34" s="435" t="str">
        <f>INDEX(Site_Data_Table,MATCH($B34,'Site Data'!$A$5:$A$37,0),MATCH(C$10,Site_Data_Column_Names,0))</f>
        <v>San Bernardino Justice Center</v>
      </c>
      <c r="D34" s="435" t="e">
        <f>INDEX('Site Data'!$A$6:$N$37,MATCH($B34,'Site Data'!$A$6:$A$37,0),MATCH(D$10,'Site Data'!$A$5:$N$5,0))</f>
        <v>#N/A</v>
      </c>
      <c r="E34" s="337" t="str">
        <f>INDEX(Site_Data_Table,MATCH($B34,'Site Data'!$A$5:$A$37,0),MATCH(E$10,Site_Data_Column_Names,0))</f>
        <v>36-R1</v>
      </c>
      <c r="F34" s="97">
        <f>INDEX('Site Data'!$A$6:$N$37,MATCH($B34,'Site Data'!$A$6:$A$37,0),MATCH(F$10,'Site Data'!$A$5:$N$5,0))</f>
        <v>2707000</v>
      </c>
      <c r="G34" s="97" t="str">
        <f>_xlfn.TEXTJOIN(" / ",1,INDEX('Site Data'!$M$6:$M$37,$B34),INDEX('Site Data'!$N$6:$N$37,$B34))</f>
        <v>252 / 835</v>
      </c>
      <c r="H34" s="338" t="str">
        <f>_xlfn.TEXTJOIN(" / ",1,INDEX('System Specification'!$L$15:$L$46,$B34),INDEX('System Specification'!$M$15:$M$46,$B34))</f>
        <v/>
      </c>
      <c r="I34" s="524"/>
      <c r="J34" s="525"/>
      <c r="K34" s="526"/>
      <c r="L34" s="318">
        <f t="shared" si="1"/>
        <v>0</v>
      </c>
      <c r="M34" s="525"/>
      <c r="N34" s="526"/>
      <c r="O34" s="318">
        <f t="shared" si="2"/>
        <v>0</v>
      </c>
      <c r="P34" s="31"/>
      <c r="Q34" s="31"/>
      <c r="R34" s="31"/>
      <c r="S34" s="31"/>
      <c r="T34" s="31"/>
      <c r="U34" s="31"/>
      <c r="V34" s="31"/>
    </row>
    <row r="35" spans="1:43" s="2" customFormat="1" ht="15" customHeight="1" x14ac:dyDescent="0.55000000000000004">
      <c r="A35" s="101">
        <f t="shared" si="3"/>
        <v>25</v>
      </c>
      <c r="B35" s="203">
        <f t="shared" si="3"/>
        <v>25</v>
      </c>
      <c r="C35" s="435" t="str">
        <f>INDEX(Site_Data_Table,MATCH($B35,'Site Data'!$A$5:$A$37,0),MATCH(C$10,Site_Data_Column_Names,0))</f>
        <v>Kearny Mesa Court</v>
      </c>
      <c r="D35" s="435" t="e">
        <f>INDEX('Site Data'!$A$6:$N$37,MATCH($B35,'Site Data'!$A$6:$A$37,0),MATCH(D$10,'Site Data'!$A$5:$N$5,0))</f>
        <v>#N/A</v>
      </c>
      <c r="E35" s="337" t="str">
        <f>INDEX(Site_Data_Table,MATCH($B35,'Site Data'!$A$5:$A$37,0),MATCH(E$10,Site_Data_Column_Names,0))</f>
        <v>37-C1</v>
      </c>
      <c r="F35" s="97">
        <f>INDEX('Site Data'!$A$6:$N$37,MATCH($B35,'Site Data'!$A$6:$A$37,0),MATCH(F$10,'Site Data'!$A$5:$N$5,0))</f>
        <v>516000</v>
      </c>
      <c r="G35" s="97" t="str">
        <f>_xlfn.TEXTJOIN(" / ",1,INDEX('Site Data'!$M$6:$M$37,$B35),INDEX('Site Data'!$N$6:$N$37,$B35))</f>
        <v>126 / 351</v>
      </c>
      <c r="H35" s="338" t="str">
        <f>_xlfn.TEXTJOIN(" / ",1,INDEX('System Specification'!$L$15:$L$46,$B35),INDEX('System Specification'!$M$15:$M$46,$B35))</f>
        <v/>
      </c>
      <c r="I35" s="524"/>
      <c r="J35" s="525"/>
      <c r="K35" s="526"/>
      <c r="L35" s="318">
        <f t="shared" si="1"/>
        <v>0</v>
      </c>
      <c r="M35" s="525"/>
      <c r="N35" s="526"/>
      <c r="O35" s="318">
        <f t="shared" si="2"/>
        <v>0</v>
      </c>
      <c r="P35" s="31"/>
      <c r="Q35" s="31"/>
      <c r="R35" s="31"/>
      <c r="S35" s="31"/>
      <c r="T35" s="31"/>
      <c r="U35" s="31"/>
      <c r="V35" s="31"/>
    </row>
    <row r="36" spans="1:43" s="2" customFormat="1" ht="15" customHeight="1" x14ac:dyDescent="0.55000000000000004">
      <c r="A36" s="101">
        <f t="shared" si="3"/>
        <v>26</v>
      </c>
      <c r="B36" s="203">
        <f t="shared" si="3"/>
        <v>26</v>
      </c>
      <c r="C36" s="435" t="str">
        <f>INDEX(Site_Data_Table,MATCH($B36,'Site Data'!$A$5:$A$37,0),MATCH(C$10,Site_Data_Column_Names,0))</f>
        <v>East County Regional Center</v>
      </c>
      <c r="D36" s="435" t="e">
        <f>INDEX('Site Data'!$A$6:$N$37,MATCH($B36,'Site Data'!$A$6:$A$37,0),MATCH(D$10,'Site Data'!$A$5:$N$5,0))</f>
        <v>#N/A</v>
      </c>
      <c r="E36" s="337" t="str">
        <f>INDEX(Site_Data_Table,MATCH($B36,'Site Data'!$A$5:$A$37,0),MATCH(E$10,Site_Data_Column_Names,0))</f>
        <v>37-I1</v>
      </c>
      <c r="F36" s="97">
        <f>INDEX('Site Data'!$A$6:$N$37,MATCH($B36,'Site Data'!$A$6:$A$37,0),MATCH(F$10,'Site Data'!$A$5:$N$5,0))</f>
        <v>3382000</v>
      </c>
      <c r="G36" s="97" t="str">
        <f>_xlfn.TEXTJOIN(" / ",1,INDEX('Site Data'!$M$6:$M$37,$B36),INDEX('Site Data'!$N$6:$N$37,$B36))</f>
        <v>378 / 1253</v>
      </c>
      <c r="H36" s="338" t="str">
        <f>_xlfn.TEXTJOIN(" / ",1,INDEX('System Specification'!$L$15:$L$46,$B36),INDEX('System Specification'!$M$15:$M$46,$B36))</f>
        <v/>
      </c>
      <c r="I36" s="524"/>
      <c r="J36" s="525"/>
      <c r="K36" s="526"/>
      <c r="L36" s="318">
        <f t="shared" si="1"/>
        <v>0</v>
      </c>
      <c r="M36" s="525"/>
      <c r="N36" s="526"/>
      <c r="O36" s="318">
        <f t="shared" si="2"/>
        <v>0</v>
      </c>
      <c r="P36" s="31"/>
      <c r="Q36" s="31"/>
      <c r="R36" s="31"/>
      <c r="S36" s="31"/>
      <c r="T36" s="31"/>
      <c r="U36" s="31"/>
      <c r="V36" s="31"/>
    </row>
    <row r="37" spans="1:43" s="2" customFormat="1" ht="15" customHeight="1" x14ac:dyDescent="0.55000000000000004">
      <c r="A37" s="101">
        <f t="shared" si="3"/>
        <v>27</v>
      </c>
      <c r="B37" s="203">
        <f t="shared" si="3"/>
        <v>27</v>
      </c>
      <c r="C37" s="435" t="str">
        <f>INDEX(Site_Data_Table,MATCH($B37,'Site Data'!$A$5:$A$37,0),MATCH(C$10,Site_Data_Column_Names,0))</f>
        <v>Northern Branch Courthouse</v>
      </c>
      <c r="D37" s="435" t="e">
        <f>INDEX('Site Data'!$A$6:$N$37,MATCH($B37,'Site Data'!$A$6:$A$37,0),MATCH(D$10,'Site Data'!$A$5:$N$5,0))</f>
        <v>#N/A</v>
      </c>
      <c r="E37" s="337" t="str">
        <f>INDEX(Site_Data_Table,MATCH($B37,'Site Data'!$A$5:$A$37,0),MATCH(E$10,Site_Data_Column_Names,0))</f>
        <v>41-C1</v>
      </c>
      <c r="F37" s="97">
        <f>INDEX('Site Data'!$A$6:$N$37,MATCH($B37,'Site Data'!$A$6:$A$37,0),MATCH(F$10,'Site Data'!$A$5:$N$5,0))</f>
        <v>361000</v>
      </c>
      <c r="G37" s="97" t="str">
        <f>_xlfn.TEXTJOIN(" / ",1,INDEX('Site Data'!$M$6:$M$37,$B37),INDEX('Site Data'!$N$6:$N$37,$B37))</f>
        <v>63 / 275</v>
      </c>
      <c r="H37" s="338" t="str">
        <f>_xlfn.TEXTJOIN(" / ",1,INDEX('System Specification'!$L$15:$L$46,$B37),INDEX('System Specification'!$M$15:$M$46,$B37))</f>
        <v/>
      </c>
      <c r="I37" s="524"/>
      <c r="J37" s="525"/>
      <c r="K37" s="526"/>
      <c r="L37" s="318">
        <f t="shared" si="1"/>
        <v>0</v>
      </c>
      <c r="M37" s="525"/>
      <c r="N37" s="526"/>
      <c r="O37" s="318">
        <f t="shared" si="2"/>
        <v>0</v>
      </c>
      <c r="P37" s="31"/>
      <c r="Q37" s="31"/>
      <c r="R37" s="31"/>
      <c r="S37" s="31"/>
      <c r="T37" s="31"/>
      <c r="U37" s="31"/>
      <c r="V37" s="31"/>
    </row>
    <row r="38" spans="1:43" s="2" customFormat="1" ht="15" customHeight="1" x14ac:dyDescent="0.55000000000000004">
      <c r="A38" s="101">
        <f t="shared" si="3"/>
        <v>28</v>
      </c>
      <c r="B38" s="203">
        <f t="shared" si="3"/>
        <v>28</v>
      </c>
      <c r="C38" s="435" t="str">
        <f>INDEX(Site_Data_Table,MATCH($B38,'Site Data'!$A$5:$A$37,0),MATCH(C$10,Site_Data_Column_Names,0))</f>
        <v>Downtown Superior Court</v>
      </c>
      <c r="D38" s="435" t="e">
        <f>INDEX('Site Data'!$A$6:$N$37,MATCH($B38,'Site Data'!$A$6:$A$37,0),MATCH(D$10,'Site Data'!$A$5:$N$5,0))</f>
        <v>#N/A</v>
      </c>
      <c r="E38" s="337" t="str">
        <f>INDEX(Site_Data_Table,MATCH($B38,'Site Data'!$A$5:$A$37,0),MATCH(E$10,Site_Data_Column_Names,0))</f>
        <v>43-B1</v>
      </c>
      <c r="F38" s="97">
        <f>INDEX('Site Data'!$A$6:$N$37,MATCH($B38,'Site Data'!$A$6:$A$37,0),MATCH(F$10,'Site Data'!$A$5:$N$5,0))</f>
        <v>1871000</v>
      </c>
      <c r="G38" s="97" t="str">
        <f>_xlfn.TEXTJOIN(" / ",1,INDEX('Site Data'!$M$6:$M$37,$B38),INDEX('Site Data'!$N$6:$N$37,$B38))</f>
        <v>315 / 726</v>
      </c>
      <c r="H38" s="338" t="str">
        <f>_xlfn.TEXTJOIN(" / ",1,INDEX('System Specification'!$L$15:$L$46,$B38),INDEX('System Specification'!$M$15:$M$46,$B38))</f>
        <v/>
      </c>
      <c r="I38" s="524"/>
      <c r="J38" s="525"/>
      <c r="K38" s="526"/>
      <c r="L38" s="318">
        <f t="shared" si="1"/>
        <v>0</v>
      </c>
      <c r="M38" s="525"/>
      <c r="N38" s="526"/>
      <c r="O38" s="318">
        <f t="shared" si="2"/>
        <v>0</v>
      </c>
      <c r="P38" s="31"/>
      <c r="Q38" s="31"/>
      <c r="R38" s="31"/>
      <c r="S38" s="31"/>
      <c r="T38" s="31"/>
      <c r="U38" s="31"/>
      <c r="V38" s="31"/>
    </row>
    <row r="39" spans="1:43" s="2" customFormat="1" ht="15" customHeight="1" x14ac:dyDescent="0.55000000000000004">
      <c r="A39" s="101">
        <f t="shared" si="3"/>
        <v>29</v>
      </c>
      <c r="B39" s="203">
        <f t="shared" si="3"/>
        <v>29</v>
      </c>
      <c r="C39" s="435" t="str">
        <f>INDEX(Site_Data_Table,MATCH($B39,'Site Data'!$A$5:$A$37,0),MATCH(C$10,Site_Data_Column_Names,0))</f>
        <v>Sutter County Superior Courthouse</v>
      </c>
      <c r="D39" s="435" t="e">
        <f>INDEX('Site Data'!$A$6:$N$37,MATCH($B39,'Site Data'!$A$6:$A$37,0),MATCH(D$10,'Site Data'!$A$5:$N$5,0))</f>
        <v>#N/A</v>
      </c>
      <c r="E39" s="337" t="str">
        <f>INDEX(Site_Data_Table,MATCH($B39,'Site Data'!$A$5:$A$37,0),MATCH(E$10,Site_Data_Column_Names,0))</f>
        <v>51-C1</v>
      </c>
      <c r="F39" s="97">
        <f>INDEX('Site Data'!$A$6:$N$37,MATCH($B39,'Site Data'!$A$6:$A$37,0),MATCH(F$10,'Site Data'!$A$5:$N$5,0))</f>
        <v>954000</v>
      </c>
      <c r="G39" s="97" t="str">
        <f>_xlfn.TEXTJOIN(" / ",1,INDEX('Site Data'!$M$6:$M$37,$B39),INDEX('Site Data'!$N$6:$N$37,$B39))</f>
        <v>315 / 726</v>
      </c>
      <c r="H39" s="338" t="str">
        <f>_xlfn.TEXTJOIN(" / ",1,INDEX('System Specification'!$L$15:$L$46,$B39),INDEX('System Specification'!$M$15:$M$46,$B39))</f>
        <v/>
      </c>
      <c r="I39" s="524"/>
      <c r="J39" s="525"/>
      <c r="K39" s="526"/>
      <c r="L39" s="318">
        <f t="shared" si="1"/>
        <v>0</v>
      </c>
      <c r="M39" s="525"/>
      <c r="N39" s="526"/>
      <c r="O39" s="318">
        <f t="shared" si="2"/>
        <v>0</v>
      </c>
      <c r="P39" s="31"/>
      <c r="Q39" s="31"/>
      <c r="R39" s="31"/>
      <c r="S39" s="31"/>
      <c r="T39" s="31"/>
      <c r="U39" s="31"/>
      <c r="V39" s="31"/>
    </row>
    <row r="40" spans="1:43" s="2" customFormat="1" ht="15" customHeight="1" x14ac:dyDescent="0.55000000000000004">
      <c r="A40" s="101">
        <f t="shared" si="3"/>
        <v>30</v>
      </c>
      <c r="B40" s="203">
        <f t="shared" si="3"/>
        <v>30</v>
      </c>
      <c r="C40" s="435" t="str">
        <f>INDEX(Site_Data_Table,MATCH($B40,'Site Data'!$A$5:$A$37,0),MATCH(C$10,Site_Data_Column_Names,0))</f>
        <v>Tehama County Courthouse</v>
      </c>
      <c r="D40" s="435" t="e">
        <f>INDEX('Site Data'!$A$6:$N$37,MATCH($B40,'Site Data'!$A$6:$A$37,0),MATCH(D$10,'Site Data'!$A$5:$N$5,0))</f>
        <v>#N/A</v>
      </c>
      <c r="E40" s="337" t="str">
        <f>INDEX(Site_Data_Table,MATCH($B40,'Site Data'!$A$5:$A$37,0),MATCH(E$10,Site_Data_Column_Names,0))</f>
        <v>52-E1</v>
      </c>
      <c r="F40" s="97">
        <f>INDEX('Site Data'!$A$6:$N$37,MATCH($B40,'Site Data'!$A$6:$A$37,0),MATCH(F$10,'Site Data'!$A$5:$N$5,0))</f>
        <v>558000</v>
      </c>
      <c r="G40" s="97" t="str">
        <f>_xlfn.TEXTJOIN(" / ",1,INDEX('Site Data'!$M$6:$M$37,$B40),INDEX('Site Data'!$N$6:$N$37,$B40))</f>
        <v>189 / 425</v>
      </c>
      <c r="H40" s="338" t="str">
        <f>_xlfn.TEXTJOIN(" / ",1,INDEX('System Specification'!$L$15:$L$46,$B40),INDEX('System Specification'!$M$15:$M$46,$B40))</f>
        <v/>
      </c>
      <c r="I40" s="524"/>
      <c r="J40" s="525"/>
      <c r="K40" s="526"/>
      <c r="L40" s="318">
        <f t="shared" si="1"/>
        <v>0</v>
      </c>
      <c r="M40" s="525"/>
      <c r="N40" s="526"/>
      <c r="O40" s="318">
        <f t="shared" si="2"/>
        <v>0</v>
      </c>
      <c r="P40" s="31"/>
      <c r="Q40" s="31"/>
      <c r="R40" s="31"/>
      <c r="S40" s="31"/>
      <c r="T40" s="31"/>
      <c r="U40" s="31"/>
      <c r="V40" s="31"/>
    </row>
    <row r="41" spans="1:43" s="2" customFormat="1" ht="15" customHeight="1" x14ac:dyDescent="0.55000000000000004">
      <c r="A41" s="101">
        <f t="shared" si="3"/>
        <v>31</v>
      </c>
      <c r="B41" s="203">
        <f t="shared" si="3"/>
        <v>31</v>
      </c>
      <c r="C41" s="435" t="str">
        <f>INDEX(Site_Data_Table,MATCH($B41,'Site Data'!$A$5:$A$37,0),MATCH(C$10,Site_Data_Column_Names,0))</f>
        <v>South County Justice Center</v>
      </c>
      <c r="D41" s="435" t="e">
        <f>INDEX('Site Data'!$A$6:$N$37,MATCH($B41,'Site Data'!$A$6:$A$37,0),MATCH(D$10,'Site Data'!$A$5:$N$5,0))</f>
        <v>#N/A</v>
      </c>
      <c r="E41" s="337" t="str">
        <f>INDEX(Site_Data_Table,MATCH($B41,'Site Data'!$A$5:$A$37,0),MATCH(E$10,Site_Data_Column_Names,0))</f>
        <v>54-I1</v>
      </c>
      <c r="F41" s="97">
        <f>INDEX('Site Data'!$A$6:$N$37,MATCH($B41,'Site Data'!$A$6:$A$37,0),MATCH(F$10,'Site Data'!$A$5:$N$5,0))</f>
        <v>1198000</v>
      </c>
      <c r="G41" s="97" t="str">
        <f>_xlfn.TEXTJOIN(" / ",1,INDEX('Site Data'!$M$6:$M$37,$B41),INDEX('Site Data'!$N$6:$N$37,$B41))</f>
        <v>252 / 912</v>
      </c>
      <c r="H41" s="338" t="str">
        <f>_xlfn.TEXTJOIN(" / ",1,INDEX('System Specification'!$L$15:$L$46,$B41),INDEX('System Specification'!$M$15:$M$46,$B41))</f>
        <v/>
      </c>
      <c r="I41" s="524"/>
      <c r="J41" s="525"/>
      <c r="K41" s="526"/>
      <c r="L41" s="318">
        <f t="shared" si="1"/>
        <v>0</v>
      </c>
      <c r="M41" s="525"/>
      <c r="N41" s="526"/>
      <c r="O41" s="318">
        <f t="shared" si="2"/>
        <v>0</v>
      </c>
      <c r="P41" s="31"/>
      <c r="Q41" s="31"/>
      <c r="R41" s="31"/>
      <c r="S41" s="31"/>
      <c r="T41" s="31"/>
      <c r="U41" s="31"/>
      <c r="V41" s="31"/>
    </row>
    <row r="42" spans="1:43" s="2" customFormat="1" ht="15" customHeight="1" thickBot="1" x14ac:dyDescent="0.6">
      <c r="A42" s="101">
        <f t="shared" si="3"/>
        <v>32</v>
      </c>
      <c r="B42" s="96">
        <f t="shared" si="3"/>
        <v>32</v>
      </c>
      <c r="C42" s="441" t="str">
        <f>INDEX(Site_Data_Table,MATCH($B42,'Site Data'!$A$5:$A$37,0),MATCH(C$10,Site_Data_Column_Names,0))</f>
        <v>Yolo Superior Court</v>
      </c>
      <c r="D42" s="441" t="e">
        <f>INDEX('Site Data'!$A$6:$N$37,MATCH($B42,'Site Data'!$A$6:$A$37,0),MATCH(D$10,'Site Data'!$A$5:$N$5,0))</f>
        <v>#N/A</v>
      </c>
      <c r="E42" s="339" t="str">
        <f>INDEX(Site_Data_Table,MATCH($B42,'Site Data'!$A$5:$A$37,0),MATCH(E$10,Site_Data_Column_Names,0))</f>
        <v>57-A10</v>
      </c>
      <c r="F42" s="102">
        <f>INDEX('Site Data'!$A$6:$N$37,MATCH($B42,'Site Data'!$A$6:$A$37,0),MATCH(F$10,'Site Data'!$A$5:$N$5,0))</f>
        <v>1240000</v>
      </c>
      <c r="G42" s="102" t="str">
        <f>_xlfn.TEXTJOIN(" / ",1,INDEX('Site Data'!$M$6:$M$37,$B42),INDEX('Site Data'!$N$6:$N$37,$B42))</f>
        <v>252 / 835</v>
      </c>
      <c r="H42" s="340" t="str">
        <f>_xlfn.TEXTJOIN(" / ",1,INDEX('System Specification'!$L$15:$L$46,$B42),INDEX('System Specification'!$M$15:$M$46,$B42))</f>
        <v/>
      </c>
      <c r="I42" s="527"/>
      <c r="J42" s="528"/>
      <c r="K42" s="529"/>
      <c r="L42" s="318">
        <f t="shared" si="1"/>
        <v>0</v>
      </c>
      <c r="M42" s="528"/>
      <c r="N42" s="529"/>
      <c r="O42" s="318">
        <f t="shared" si="2"/>
        <v>0</v>
      </c>
      <c r="P42" s="31"/>
      <c r="Q42" s="31"/>
      <c r="R42" s="31"/>
      <c r="S42" s="31"/>
      <c r="T42" s="31"/>
      <c r="U42" s="31"/>
      <c r="V42" s="31"/>
    </row>
    <row r="43" spans="1:43" s="2" customFormat="1" ht="15" customHeight="1" thickBot="1" x14ac:dyDescent="0.6">
      <c r="A43" s="32"/>
      <c r="B43" s="33"/>
      <c r="C43" s="34"/>
      <c r="D43" s="34"/>
      <c r="E43" s="34"/>
      <c r="F43" s="35"/>
      <c r="G43" s="35"/>
      <c r="H43" s="35"/>
      <c r="I43" s="319">
        <f>SUM(I11:I42)</f>
        <v>0</v>
      </c>
      <c r="J43" s="320">
        <f t="shared" ref="J43:L43" si="4">SUM(J11:J42)</f>
        <v>0</v>
      </c>
      <c r="K43" s="321">
        <f t="shared" si="4"/>
        <v>0</v>
      </c>
      <c r="L43" s="322">
        <f t="shared" si="4"/>
        <v>0</v>
      </c>
      <c r="M43" s="320">
        <f t="shared" ref="M43:O43" si="5">SUM(M11:M42)</f>
        <v>0</v>
      </c>
      <c r="N43" s="321">
        <f t="shared" si="5"/>
        <v>0</v>
      </c>
      <c r="O43" s="322">
        <f t="shared" si="5"/>
        <v>0</v>
      </c>
      <c r="P43" s="31"/>
      <c r="Q43" s="31"/>
      <c r="R43" s="31"/>
      <c r="S43" s="31"/>
      <c r="T43" s="31"/>
      <c r="U43" s="31"/>
      <c r="V43" s="31"/>
    </row>
    <row r="44" spans="1:43" x14ac:dyDescent="0.55000000000000004">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row>
    <row r="45" spans="1:43" x14ac:dyDescent="0.55000000000000004">
      <c r="B45" s="371" t="s">
        <v>179</v>
      </c>
    </row>
    <row r="46" spans="1:43" x14ac:dyDescent="0.55000000000000004">
      <c r="B46" s="530"/>
      <c r="C46" s="530"/>
      <c r="D46" s="530"/>
      <c r="E46" s="530"/>
      <c r="F46" s="530"/>
      <c r="G46" s="530"/>
      <c r="H46" s="530"/>
      <c r="I46" s="530"/>
      <c r="J46" s="530"/>
      <c r="K46" s="530"/>
      <c r="L46" s="530"/>
    </row>
    <row r="47" spans="1:43" x14ac:dyDescent="0.55000000000000004">
      <c r="B47" s="530"/>
      <c r="C47" s="530"/>
      <c r="D47" s="530"/>
      <c r="E47" s="530"/>
      <c r="F47" s="530"/>
      <c r="G47" s="530"/>
      <c r="H47" s="530"/>
      <c r="I47" s="530"/>
      <c r="J47" s="530"/>
      <c r="K47" s="530"/>
      <c r="L47" s="530"/>
    </row>
    <row r="48" spans="1:43" x14ac:dyDescent="0.55000000000000004">
      <c r="B48" s="530"/>
      <c r="C48" s="530"/>
      <c r="D48" s="530"/>
      <c r="E48" s="530"/>
      <c r="F48" s="530"/>
      <c r="G48" s="530"/>
      <c r="H48" s="530"/>
      <c r="I48" s="530"/>
      <c r="J48" s="530"/>
      <c r="K48" s="530"/>
      <c r="L48" s="530"/>
    </row>
    <row r="49" spans="2:12" x14ac:dyDescent="0.55000000000000004">
      <c r="B49" s="530"/>
      <c r="C49" s="530"/>
      <c r="D49" s="530"/>
      <c r="E49" s="530"/>
      <c r="F49" s="530"/>
      <c r="G49" s="530"/>
      <c r="H49" s="530"/>
      <c r="I49" s="530"/>
      <c r="J49" s="530"/>
      <c r="K49" s="530"/>
      <c r="L49" s="530"/>
    </row>
    <row r="50" spans="2:12" x14ac:dyDescent="0.55000000000000004">
      <c r="B50" s="530"/>
      <c r="C50" s="530"/>
      <c r="D50" s="530"/>
      <c r="E50" s="530"/>
      <c r="F50" s="530"/>
      <c r="G50" s="530"/>
      <c r="H50" s="530"/>
      <c r="I50" s="530"/>
      <c r="J50" s="530"/>
      <c r="K50" s="530"/>
      <c r="L50" s="530"/>
    </row>
    <row r="51" spans="2:12" x14ac:dyDescent="0.55000000000000004">
      <c r="B51" s="530"/>
      <c r="C51" s="530"/>
      <c r="D51" s="530"/>
      <c r="E51" s="530"/>
      <c r="F51" s="530"/>
      <c r="G51" s="530"/>
      <c r="H51" s="530"/>
      <c r="I51" s="530"/>
      <c r="J51" s="530"/>
      <c r="K51" s="530"/>
      <c r="L51" s="530"/>
    </row>
    <row r="52" spans="2:12" x14ac:dyDescent="0.55000000000000004">
      <c r="B52" s="530"/>
      <c r="C52" s="530"/>
      <c r="D52" s="530"/>
      <c r="E52" s="530"/>
      <c r="F52" s="530"/>
      <c r="G52" s="530"/>
      <c r="H52" s="530"/>
      <c r="I52" s="530"/>
      <c r="J52" s="530"/>
      <c r="K52" s="530"/>
      <c r="L52" s="530"/>
    </row>
    <row r="53" spans="2:12" x14ac:dyDescent="0.55000000000000004">
      <c r="B53" s="530"/>
      <c r="C53" s="530"/>
      <c r="D53" s="530"/>
      <c r="E53" s="530"/>
      <c r="F53" s="530"/>
      <c r="G53" s="530"/>
      <c r="H53" s="530"/>
      <c r="I53" s="530"/>
      <c r="J53" s="530"/>
      <c r="K53" s="530"/>
      <c r="L53" s="530"/>
    </row>
    <row r="54" spans="2:12" x14ac:dyDescent="0.55000000000000004">
      <c r="B54" s="530"/>
      <c r="C54" s="530"/>
      <c r="D54" s="530"/>
      <c r="E54" s="530"/>
      <c r="F54" s="530"/>
      <c r="G54" s="530"/>
      <c r="H54" s="530"/>
      <c r="I54" s="530"/>
      <c r="J54" s="530"/>
      <c r="K54" s="530"/>
      <c r="L54" s="530"/>
    </row>
    <row r="55" spans="2:12" x14ac:dyDescent="0.55000000000000004">
      <c r="B55" s="530"/>
      <c r="C55" s="530"/>
      <c r="D55" s="530"/>
      <c r="E55" s="530"/>
      <c r="F55" s="530"/>
      <c r="G55" s="530"/>
      <c r="H55" s="530"/>
      <c r="I55" s="530"/>
      <c r="J55" s="530"/>
      <c r="K55" s="530"/>
      <c r="L55" s="530"/>
    </row>
    <row r="56" spans="2:12" x14ac:dyDescent="0.55000000000000004">
      <c r="B56" s="530"/>
      <c r="C56" s="530"/>
      <c r="D56" s="530"/>
      <c r="E56" s="530"/>
      <c r="F56" s="530"/>
      <c r="G56" s="530"/>
      <c r="H56" s="530"/>
      <c r="I56" s="530"/>
      <c r="J56" s="530"/>
      <c r="K56" s="530"/>
      <c r="L56" s="530"/>
    </row>
  </sheetData>
  <sheetProtection algorithmName="SHA-512" hashValue="ft1Yxzu0mXuwMIRGFLxlh115upCE//5aJPiTda/q0PongCdfG7gtRynV5J8vpI15cjUHMDrwHQZH+Iu4UcfIjg==" saltValue="T5DpMLMQxGScoRIrylkvZA==" spinCount="100000" sheet="1" objects="1" scenarios="1"/>
  <mergeCells count="38">
    <mergeCell ref="M9:O9"/>
    <mergeCell ref="C40:D40"/>
    <mergeCell ref="C41:D41"/>
    <mergeCell ref="C42:D42"/>
    <mergeCell ref="D6:E6"/>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B46:L56"/>
    <mergeCell ref="C15:D15"/>
    <mergeCell ref="J9:L9"/>
    <mergeCell ref="B1:T1"/>
    <mergeCell ref="C10:D10"/>
    <mergeCell ref="C11:D11"/>
    <mergeCell ref="C12:D12"/>
    <mergeCell ref="C13:D13"/>
    <mergeCell ref="C14:D14"/>
    <mergeCell ref="C27:D27"/>
    <mergeCell ref="C16:D16"/>
    <mergeCell ref="C17:D17"/>
    <mergeCell ref="C18:D18"/>
    <mergeCell ref="C19:D19"/>
    <mergeCell ref="C20:D20"/>
    <mergeCell ref="C21:D21"/>
  </mergeCells>
  <pageMargins left="0.5" right="0.5" top="0.5" bottom="0.75" header="0.3" footer="0.4"/>
  <pageSetup paperSize="3" scale="50" fitToWidth="2" pageOrder="overThenDown" orientation="landscape" horizontalDpi="300" verticalDpi="300" r:id="rId1"/>
  <headerFooter>
    <oddFooter>&amp;L&amp;10&amp;D&amp;R&amp;10&amp;F | &amp;A | &amp;P</oddFooter>
  </headerFooter>
  <ignoredErrors>
    <ignoredError sqref="E11:E42" formula="1"/>
    <ignoredError sqref="L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A6A7-C467-44E4-8758-955EC9CBD13F}">
  <sheetPr codeName="Sheet5">
    <tabColor rgb="FFFFFFA7"/>
  </sheetPr>
  <dimension ref="A1:AG65"/>
  <sheetViews>
    <sheetView zoomScale="90" zoomScaleNormal="90" workbookViewId="0">
      <selection sqref="A1:J1"/>
    </sheetView>
  </sheetViews>
  <sheetFormatPr defaultColWidth="8.76953125" defaultRowHeight="15" outlineLevelRow="1" x14ac:dyDescent="0.5"/>
  <cols>
    <col min="1" max="1" width="9.54296875" style="72" customWidth="1"/>
    <col min="2" max="33" width="11.08984375" style="72" customWidth="1"/>
    <col min="34" max="16384" width="8.76953125" style="72"/>
  </cols>
  <sheetData>
    <row r="1" spans="1:11" s="39" customFormat="1" ht="96" customHeight="1" x14ac:dyDescent="0.5">
      <c r="A1" s="446" t="s">
        <v>361</v>
      </c>
      <c r="B1" s="446"/>
      <c r="C1" s="446"/>
      <c r="D1" s="446"/>
      <c r="E1" s="446"/>
      <c r="F1" s="446"/>
      <c r="G1" s="446"/>
      <c r="H1" s="446"/>
      <c r="I1" s="446"/>
      <c r="J1" s="446"/>
    </row>
    <row r="3" spans="1:11" ht="28.2" x14ac:dyDescent="1.05">
      <c r="A3" s="74" t="str">
        <f ca="1">"FORM A2, "&amp;MID(CELL("filename",A1),FIND("]",CELL("filename",A1))+1,256)</f>
        <v>FORM A2, PeGu</v>
      </c>
    </row>
    <row r="4" spans="1:11" ht="20.399999999999999" x14ac:dyDescent="0.75">
      <c r="A4" s="75" t="str">
        <f>Instructions!$B$7</f>
        <v>Judicial Council of California Proposed Price Quotation Form</v>
      </c>
      <c r="B4" s="76"/>
      <c r="C4" s="77"/>
      <c r="D4" s="78"/>
      <c r="E4" s="78"/>
      <c r="F4" s="78"/>
      <c r="G4" s="78"/>
      <c r="H4" s="78"/>
      <c r="I4" s="78"/>
      <c r="J4" s="78"/>
      <c r="K4" s="78"/>
    </row>
    <row r="5" spans="1:11" ht="15.6" x14ac:dyDescent="0.6">
      <c r="A5" s="79"/>
      <c r="B5" s="80"/>
      <c r="C5" s="81"/>
      <c r="D5" s="82"/>
      <c r="E5" s="82"/>
      <c r="F5" s="82"/>
      <c r="G5" s="82"/>
      <c r="H5" s="82"/>
      <c r="I5" s="82"/>
      <c r="J5" s="82"/>
      <c r="K5" s="82"/>
    </row>
    <row r="6" spans="1:11" ht="18.3" x14ac:dyDescent="0.7">
      <c r="A6" s="447" t="s">
        <v>182</v>
      </c>
      <c r="B6" s="447"/>
      <c r="C6" s="442">
        <f>Vendor_Name</f>
        <v>0</v>
      </c>
      <c r="D6" s="442"/>
      <c r="E6" s="78"/>
      <c r="F6" s="78"/>
      <c r="G6" s="78"/>
      <c r="H6" s="78"/>
      <c r="I6" s="78"/>
      <c r="J6" s="78"/>
      <c r="K6" s="78"/>
    </row>
    <row r="7" spans="1:11" ht="15.3" x14ac:dyDescent="0.55000000000000004">
      <c r="A7" s="83"/>
      <c r="B7" s="84"/>
      <c r="C7" s="78"/>
      <c r="D7" s="78"/>
      <c r="E7" s="78"/>
      <c r="F7" s="78"/>
      <c r="G7" s="78"/>
      <c r="H7" s="78"/>
      <c r="I7" s="78"/>
      <c r="J7" s="78"/>
      <c r="K7" s="78"/>
    </row>
    <row r="8" spans="1:11" ht="24.9" x14ac:dyDescent="0.55000000000000004">
      <c r="A8" s="85" t="s">
        <v>330</v>
      </c>
      <c r="B8" s="78"/>
      <c r="C8" s="78"/>
      <c r="D8" s="78"/>
      <c r="E8" s="78"/>
      <c r="G8" s="85" t="s">
        <v>367</v>
      </c>
      <c r="H8" s="78"/>
      <c r="I8" s="78"/>
      <c r="J8" s="78"/>
      <c r="K8" s="78"/>
    </row>
    <row r="9" spans="1:11" ht="15.6" x14ac:dyDescent="0.5">
      <c r="A9" s="413" t="s">
        <v>369</v>
      </c>
      <c r="B9" s="414"/>
      <c r="C9" s="414"/>
      <c r="D9" s="414"/>
      <c r="E9" s="415"/>
      <c r="G9" s="413" t="s">
        <v>368</v>
      </c>
      <c r="H9" s="414"/>
      <c r="I9" s="414"/>
      <c r="J9" s="414"/>
      <c r="K9" s="415"/>
    </row>
    <row r="10" spans="1:11" ht="15.3" x14ac:dyDescent="0.55000000000000004">
      <c r="A10" s="448" t="s">
        <v>185</v>
      </c>
      <c r="B10" s="449"/>
      <c r="C10" s="449"/>
      <c r="D10" s="450"/>
      <c r="E10" s="323">
        <f>'System Specification'!I10</f>
        <v>0</v>
      </c>
      <c r="G10" s="448" t="s">
        <v>371</v>
      </c>
      <c r="H10" s="449"/>
      <c r="I10" s="449"/>
      <c r="J10" s="450"/>
      <c r="K10" s="323">
        <f>'System Specification'!N47</f>
        <v>0</v>
      </c>
    </row>
    <row r="11" spans="1:11" ht="15.3" x14ac:dyDescent="0.55000000000000004">
      <c r="A11" s="448" t="s">
        <v>186</v>
      </c>
      <c r="B11" s="449"/>
      <c r="C11" s="449"/>
      <c r="D11" s="450"/>
      <c r="E11" s="324">
        <f>'System Specification'!I11</f>
        <v>0</v>
      </c>
      <c r="G11" s="448" t="s">
        <v>372</v>
      </c>
      <c r="H11" s="449"/>
      <c r="I11" s="449"/>
      <c r="J11" s="450"/>
      <c r="K11" s="63"/>
    </row>
    <row r="12" spans="1:11" ht="15.3" x14ac:dyDescent="0.55000000000000004">
      <c r="A12" s="448" t="s">
        <v>201</v>
      </c>
      <c r="B12" s="449"/>
      <c r="C12" s="449"/>
      <c r="D12" s="450"/>
      <c r="E12" s="63"/>
      <c r="F12" s="78"/>
      <c r="G12" s="448" t="s">
        <v>375</v>
      </c>
      <c r="H12" s="449"/>
      <c r="I12" s="449"/>
      <c r="J12" s="450"/>
      <c r="K12" s="377"/>
    </row>
    <row r="13" spans="1:11" ht="15.3" x14ac:dyDescent="0.55000000000000004">
      <c r="A13" s="448" t="s">
        <v>332</v>
      </c>
      <c r="B13" s="449"/>
      <c r="C13" s="449"/>
      <c r="D13" s="450"/>
      <c r="E13" s="531">
        <v>1</v>
      </c>
      <c r="F13" s="78"/>
      <c r="G13" s="448" t="s">
        <v>360</v>
      </c>
      <c r="H13" s="449"/>
      <c r="I13" s="449"/>
      <c r="J13" s="450"/>
      <c r="K13" s="533">
        <v>0.03</v>
      </c>
    </row>
    <row r="14" spans="1:11" ht="15.3" x14ac:dyDescent="0.55000000000000004">
      <c r="A14" s="448" t="s">
        <v>359</v>
      </c>
      <c r="B14" s="449"/>
      <c r="C14" s="449"/>
      <c r="D14" s="450"/>
      <c r="E14" s="532">
        <v>0.05</v>
      </c>
      <c r="F14" s="78"/>
    </row>
    <row r="15" spans="1:11" ht="15.3" x14ac:dyDescent="0.55000000000000004">
      <c r="A15" s="448" t="s">
        <v>360</v>
      </c>
      <c r="B15" s="449"/>
      <c r="C15" s="449"/>
      <c r="D15" s="450"/>
      <c r="E15" s="533">
        <v>0.03</v>
      </c>
      <c r="F15" s="78"/>
    </row>
    <row r="16" spans="1:11" ht="15.3" x14ac:dyDescent="0.55000000000000004">
      <c r="A16" s="443" t="s">
        <v>370</v>
      </c>
      <c r="B16" s="444"/>
      <c r="C16" s="444"/>
      <c r="D16" s="445"/>
      <c r="E16" s="63"/>
      <c r="F16" s="78"/>
    </row>
    <row r="17" spans="1:33" ht="15.3" x14ac:dyDescent="0.55000000000000004">
      <c r="A17" s="78"/>
      <c r="B17" s="78"/>
      <c r="C17" s="78"/>
      <c r="D17" s="78"/>
      <c r="E17" s="78"/>
      <c r="F17" s="78"/>
    </row>
    <row r="18" spans="1:33" ht="24.9" x14ac:dyDescent="0.55000000000000004">
      <c r="A18" s="85" t="s">
        <v>373</v>
      </c>
      <c r="B18" s="78"/>
      <c r="C18" s="78"/>
      <c r="D18" s="78"/>
    </row>
    <row r="19" spans="1:33" ht="57.6" x14ac:dyDescent="0.5">
      <c r="A19" s="86" t="s">
        <v>202</v>
      </c>
      <c r="B19" s="309" t="str" cm="1">
        <f t="array" ref="B19:AG19">TRANSPOSE('System Specification'!$C$15:$C$46)</f>
        <v>Fremont Hall of Justice</v>
      </c>
      <c r="C19" s="309" t="str">
        <v>Amador Superior Court</v>
      </c>
      <c r="D19" s="309" t="str">
        <v>North Butte County Courthouse</v>
      </c>
      <c r="E19" s="309" t="str">
        <v>Bray Courts</v>
      </c>
      <c r="F19" s="309" t="str">
        <v>Richard E. Arnason Justice Center</v>
      </c>
      <c r="G19" s="309" t="str">
        <v>Walnut Creek Courthouse</v>
      </c>
      <c r="H19" s="309" t="str">
        <v>B. F. Sisk Courthouse</v>
      </c>
      <c r="I19" s="309" t="str">
        <v>Imperial County Courthouse</v>
      </c>
      <c r="J19" s="309" t="str">
        <v>Delano/North Kern Court</v>
      </c>
      <c r="K19" s="309" t="str">
        <v>Kings Superior Court</v>
      </c>
      <c r="L19" s="309" t="str">
        <v>Whittier Courthouse</v>
      </c>
      <c r="M19" s="309" t="str">
        <v>Santa Monica Courthouse</v>
      </c>
      <c r="N19" s="309" t="str">
        <v>Van Nuys Courthouse East</v>
      </c>
      <c r="O19" s="309" t="str">
        <v>Torrance Courthouse</v>
      </c>
      <c r="P19" s="309" t="str">
        <v>Glendale Courthouse</v>
      </c>
      <c r="Q19" s="309" t="str">
        <v>Monrovia Training Center</v>
      </c>
      <c r="R19" s="309" t="str">
        <v>Edmund D. Edelman Children's Court</v>
      </c>
      <c r="S19" s="309" t="str">
        <v>Hollywood Courthouse</v>
      </c>
      <c r="T19" s="309" t="str">
        <v>Pomona Courthouse South</v>
      </c>
      <c r="U19" s="309" t="str">
        <v>The Robert M. Falasco Justice Center</v>
      </c>
      <c r="V19" s="309" t="str">
        <v>Mammoth Lakes Courthouse</v>
      </c>
      <c r="W19" s="309" t="str">
        <v>Banning Justice Center</v>
      </c>
      <c r="X19" s="309" t="str">
        <v>San Benito County Superior Court</v>
      </c>
      <c r="Y19" s="309" t="str">
        <v>San Bernardino Justice Center</v>
      </c>
      <c r="Z19" s="309" t="str">
        <v>Kearny Mesa Court</v>
      </c>
      <c r="AA19" s="309" t="str">
        <v>East County Regional Center</v>
      </c>
      <c r="AB19" s="309" t="str">
        <v>Northern Branch Courthouse</v>
      </c>
      <c r="AC19" s="309" t="str">
        <v>Downtown Superior Court</v>
      </c>
      <c r="AD19" s="309" t="str">
        <v>Sutter County Superior Courthouse</v>
      </c>
      <c r="AE19" s="309" t="str">
        <v>Tehama County Courthouse</v>
      </c>
      <c r="AF19" s="309" t="str">
        <v>South County Justice Center</v>
      </c>
      <c r="AG19" s="309" t="str">
        <v>Yolo Superior Court</v>
      </c>
    </row>
    <row r="20" spans="1:33" hidden="1" outlineLevel="1" x14ac:dyDescent="0.5">
      <c r="A20" s="86" t="s">
        <v>328</v>
      </c>
      <c r="B20" s="310" t="str">
        <f>_xlfn.LET(_xlpm.ppa_lease,INDEX('Microgrid Proposal'!$H$31:$H$62,MATCH(B$19,'Microgrid Proposal'!$B$31:$B$62,0)),
_xlpm.ppa_rate,INDEX('Microgrid Proposal'!$J$31:$J$62,MATCH(B$19,'Microgrid Proposal'!$B$31:$B$62,0)),
IF(AND(_xlpm.ppa_lease="SEL",_xlpm.ppa_rate&gt;0),"PPA",_xlpm.ppa_lease))</f>
        <v>PPA</v>
      </c>
      <c r="C20" s="310" t="str">
        <f>_xlfn.LET(_xlpm.ppa_lease,INDEX('Microgrid Proposal'!$H$31:$H$62,MATCH(C$19,'Microgrid Proposal'!$B$31:$B$62,0)),
_xlpm.ppa_rate,INDEX('Microgrid Proposal'!$J$31:$J$62,MATCH(C$19,'Microgrid Proposal'!$B$31:$B$62,0)),
IF(AND(_xlpm.ppa_lease="SEL",_xlpm.ppa_rate&gt;0),"PPA",_xlpm.ppa_lease))</f>
        <v>PPA</v>
      </c>
      <c r="D20" s="310" t="str">
        <f>_xlfn.LET(_xlpm.ppa_lease,INDEX('Microgrid Proposal'!$H$31:$H$62,MATCH(D$19,'Microgrid Proposal'!$B$31:$B$62,0)),
_xlpm.ppa_rate,INDEX('Microgrid Proposal'!$J$31:$J$62,MATCH(D$19,'Microgrid Proposal'!$B$31:$B$62,0)),
IF(AND(_xlpm.ppa_lease="SEL",_xlpm.ppa_rate&gt;0),"PPA",_xlpm.ppa_lease))</f>
        <v>PPA</v>
      </c>
      <c r="E20" s="310" t="str">
        <f>_xlfn.LET(_xlpm.ppa_lease,INDEX('Microgrid Proposal'!$H$31:$H$62,MATCH(E$19,'Microgrid Proposal'!$B$31:$B$62,0)),
_xlpm.ppa_rate,INDEX('Microgrid Proposal'!$J$31:$J$62,MATCH(E$19,'Microgrid Proposal'!$B$31:$B$62,0)),
IF(AND(_xlpm.ppa_lease="SEL",_xlpm.ppa_rate&gt;0),"PPA",_xlpm.ppa_lease))</f>
        <v>PPA</v>
      </c>
      <c r="F20" s="310" t="str">
        <f>_xlfn.LET(_xlpm.ppa_lease,INDEX('Microgrid Proposal'!$H$31:$H$62,MATCH(F$19,'Microgrid Proposal'!$B$31:$B$62,0)),
_xlpm.ppa_rate,INDEX('Microgrid Proposal'!$J$31:$J$62,MATCH(F$19,'Microgrid Proposal'!$B$31:$B$62,0)),
IF(AND(_xlpm.ppa_lease="SEL",_xlpm.ppa_rate&gt;0),"PPA",_xlpm.ppa_lease))</f>
        <v>PPA</v>
      </c>
      <c r="G20" s="310" t="str">
        <f>_xlfn.LET(_xlpm.ppa_lease,INDEX('Microgrid Proposal'!$H$31:$H$62,MATCH(G$19,'Microgrid Proposal'!$B$31:$B$62,0)),
_xlpm.ppa_rate,INDEX('Microgrid Proposal'!$J$31:$J$62,MATCH(G$19,'Microgrid Proposal'!$B$31:$B$62,0)),
IF(AND(_xlpm.ppa_lease="SEL",_xlpm.ppa_rate&gt;0),"PPA",_xlpm.ppa_lease))</f>
        <v>PPA</v>
      </c>
      <c r="H20" s="310" t="str">
        <f>_xlfn.LET(_xlpm.ppa_lease,INDEX('Microgrid Proposal'!$H$31:$H$62,MATCH(H$19,'Microgrid Proposal'!$B$31:$B$62,0)),
_xlpm.ppa_rate,INDEX('Microgrid Proposal'!$J$31:$J$62,MATCH(H$19,'Microgrid Proposal'!$B$31:$B$62,0)),
IF(AND(_xlpm.ppa_lease="SEL",_xlpm.ppa_rate&gt;0),"PPA",_xlpm.ppa_lease))</f>
        <v>PPA</v>
      </c>
      <c r="I20" s="310" t="str">
        <f>_xlfn.LET(_xlpm.ppa_lease,INDEX('Microgrid Proposal'!$H$31:$H$62,MATCH(I$19,'Microgrid Proposal'!$B$31:$B$62,0)),
_xlpm.ppa_rate,INDEX('Microgrid Proposal'!$J$31:$J$62,MATCH(I$19,'Microgrid Proposal'!$B$31:$B$62,0)),
IF(AND(_xlpm.ppa_lease="SEL",_xlpm.ppa_rate&gt;0),"PPA",_xlpm.ppa_lease))</f>
        <v>PPA</v>
      </c>
      <c r="J20" s="310" t="str">
        <f>_xlfn.LET(_xlpm.ppa_lease,INDEX('Microgrid Proposal'!$H$31:$H$62,MATCH(J$19,'Microgrid Proposal'!$B$31:$B$62,0)),
_xlpm.ppa_rate,INDEX('Microgrid Proposal'!$J$31:$J$62,MATCH(J$19,'Microgrid Proposal'!$B$31:$B$62,0)),
IF(AND(_xlpm.ppa_lease="SEL",_xlpm.ppa_rate&gt;0),"PPA",_xlpm.ppa_lease))</f>
        <v>PPA</v>
      </c>
      <c r="K20" s="310" t="str">
        <f>_xlfn.LET(_xlpm.ppa_lease,INDEX('Microgrid Proposal'!$H$31:$H$62,MATCH(K$19,'Microgrid Proposal'!$B$31:$B$62,0)),
_xlpm.ppa_rate,INDEX('Microgrid Proposal'!$J$31:$J$62,MATCH(K$19,'Microgrid Proposal'!$B$31:$B$62,0)),
IF(AND(_xlpm.ppa_lease="SEL",_xlpm.ppa_rate&gt;0),"PPA",_xlpm.ppa_lease))</f>
        <v>PPA</v>
      </c>
      <c r="L20" s="310" t="str">
        <f>_xlfn.LET(_xlpm.ppa_lease,INDEX('Microgrid Proposal'!$H$31:$H$62,MATCH(L$19,'Microgrid Proposal'!$B$31:$B$62,0)),
_xlpm.ppa_rate,INDEX('Microgrid Proposal'!$J$31:$J$62,MATCH(L$19,'Microgrid Proposal'!$B$31:$B$62,0)),
IF(AND(_xlpm.ppa_lease="SEL",_xlpm.ppa_rate&gt;0),"PPA",_xlpm.ppa_lease))</f>
        <v>PPA</v>
      </c>
      <c r="M20" s="310" t="str">
        <f>_xlfn.LET(_xlpm.ppa_lease,INDEX('Microgrid Proposal'!$H$31:$H$62,MATCH(M$19,'Microgrid Proposal'!$B$31:$B$62,0)),
_xlpm.ppa_rate,INDEX('Microgrid Proposal'!$J$31:$J$62,MATCH(M$19,'Microgrid Proposal'!$B$31:$B$62,0)),
IF(AND(_xlpm.ppa_lease="SEL",_xlpm.ppa_rate&gt;0),"PPA",_xlpm.ppa_lease))</f>
        <v>PPA</v>
      </c>
      <c r="N20" s="310" t="str">
        <f>_xlfn.LET(_xlpm.ppa_lease,INDEX('Microgrid Proposal'!$H$31:$H$62,MATCH(N$19,'Microgrid Proposal'!$B$31:$B$62,0)),
_xlpm.ppa_rate,INDEX('Microgrid Proposal'!$J$31:$J$62,MATCH(N$19,'Microgrid Proposal'!$B$31:$B$62,0)),
IF(AND(_xlpm.ppa_lease="SEL",_xlpm.ppa_rate&gt;0),"PPA",_xlpm.ppa_lease))</f>
        <v>SEL</v>
      </c>
      <c r="O20" s="310" t="str">
        <f>_xlfn.LET(_xlpm.ppa_lease,INDEX('Microgrid Proposal'!$H$31:$H$62,MATCH(O$19,'Microgrid Proposal'!$B$31:$B$62,0)),
_xlpm.ppa_rate,INDEX('Microgrid Proposal'!$J$31:$J$62,MATCH(O$19,'Microgrid Proposal'!$B$31:$B$62,0)),
IF(AND(_xlpm.ppa_lease="SEL",_xlpm.ppa_rate&gt;0),"PPA",_xlpm.ppa_lease))</f>
        <v>PPA</v>
      </c>
      <c r="P20" s="310" t="str">
        <f>_xlfn.LET(_xlpm.ppa_lease,INDEX('Microgrid Proposal'!$H$31:$H$62,MATCH(P$19,'Microgrid Proposal'!$B$31:$B$62,0)),
_xlpm.ppa_rate,INDEX('Microgrid Proposal'!$J$31:$J$62,MATCH(P$19,'Microgrid Proposal'!$B$31:$B$62,0)),
IF(AND(_xlpm.ppa_lease="SEL",_xlpm.ppa_rate&gt;0),"PPA",_xlpm.ppa_lease))</f>
        <v>SEL</v>
      </c>
      <c r="Q20" s="310" t="str">
        <f>_xlfn.LET(_xlpm.ppa_lease,INDEX('Microgrid Proposal'!$H$31:$H$62,MATCH(Q$19,'Microgrid Proposal'!$B$31:$B$62,0)),
_xlpm.ppa_rate,INDEX('Microgrid Proposal'!$J$31:$J$62,MATCH(Q$19,'Microgrid Proposal'!$B$31:$B$62,0)),
IF(AND(_xlpm.ppa_lease="SEL",_xlpm.ppa_rate&gt;0),"PPA",_xlpm.ppa_lease))</f>
        <v>PPA</v>
      </c>
      <c r="R20" s="310" t="str">
        <f>_xlfn.LET(_xlpm.ppa_lease,INDEX('Microgrid Proposal'!$H$31:$H$62,MATCH(R$19,'Microgrid Proposal'!$B$31:$B$62,0)),
_xlpm.ppa_rate,INDEX('Microgrid Proposal'!$J$31:$J$62,MATCH(R$19,'Microgrid Proposal'!$B$31:$B$62,0)),
IF(AND(_xlpm.ppa_lease="SEL",_xlpm.ppa_rate&gt;0),"PPA",_xlpm.ppa_lease))</f>
        <v>PPA</v>
      </c>
      <c r="S20" s="310" t="str">
        <f>_xlfn.LET(_xlpm.ppa_lease,INDEX('Microgrid Proposal'!$H$31:$H$62,MATCH(S$19,'Microgrid Proposal'!$B$31:$B$62,0)),
_xlpm.ppa_rate,INDEX('Microgrid Proposal'!$J$31:$J$62,MATCH(S$19,'Microgrid Proposal'!$B$31:$B$62,0)),
IF(AND(_xlpm.ppa_lease="SEL",_xlpm.ppa_rate&gt;0),"PPA",_xlpm.ppa_lease))</f>
        <v>SEL</v>
      </c>
      <c r="T20" s="310" t="str">
        <f>_xlfn.LET(_xlpm.ppa_lease,INDEX('Microgrid Proposal'!$H$31:$H$62,MATCH(T$19,'Microgrid Proposal'!$B$31:$B$62,0)),
_xlpm.ppa_rate,INDEX('Microgrid Proposal'!$J$31:$J$62,MATCH(T$19,'Microgrid Proposal'!$B$31:$B$62,0)),
IF(AND(_xlpm.ppa_lease="SEL",_xlpm.ppa_rate&gt;0),"PPA",_xlpm.ppa_lease))</f>
        <v>PPA</v>
      </c>
      <c r="U20" s="310" t="str">
        <f>_xlfn.LET(_xlpm.ppa_lease,INDEX('Microgrid Proposal'!$H$31:$H$62,MATCH(U$19,'Microgrid Proposal'!$B$31:$B$62,0)),
_xlpm.ppa_rate,INDEX('Microgrid Proposal'!$J$31:$J$62,MATCH(U$19,'Microgrid Proposal'!$B$31:$B$62,0)),
IF(AND(_xlpm.ppa_lease="SEL",_xlpm.ppa_rate&gt;0),"PPA",_xlpm.ppa_lease))</f>
        <v>PPA</v>
      </c>
      <c r="V20" s="310" t="str">
        <f>_xlfn.LET(_xlpm.ppa_lease,INDEX('Microgrid Proposal'!$H$31:$H$62,MATCH(V$19,'Microgrid Proposal'!$B$31:$B$62,0)),
_xlpm.ppa_rate,INDEX('Microgrid Proposal'!$J$31:$J$62,MATCH(V$19,'Microgrid Proposal'!$B$31:$B$62,0)),
IF(AND(_xlpm.ppa_lease="SEL",_xlpm.ppa_rate&gt;0),"PPA",_xlpm.ppa_lease))</f>
        <v>PPA</v>
      </c>
      <c r="W20" s="310" t="str">
        <f>_xlfn.LET(_xlpm.ppa_lease,INDEX('Microgrid Proposal'!$H$31:$H$62,MATCH(W$19,'Microgrid Proposal'!$B$31:$B$62,0)),
_xlpm.ppa_rate,INDEX('Microgrid Proposal'!$J$31:$J$62,MATCH(W$19,'Microgrid Proposal'!$B$31:$B$62,0)),
IF(AND(_xlpm.ppa_lease="SEL",_xlpm.ppa_rate&gt;0),"PPA",_xlpm.ppa_lease))</f>
        <v>SEL</v>
      </c>
      <c r="X20" s="310" t="str">
        <f>_xlfn.LET(_xlpm.ppa_lease,INDEX('Microgrid Proposal'!$H$31:$H$62,MATCH(X$19,'Microgrid Proposal'!$B$31:$B$62,0)),
_xlpm.ppa_rate,INDEX('Microgrid Proposal'!$J$31:$J$62,MATCH(X$19,'Microgrid Proposal'!$B$31:$B$62,0)),
IF(AND(_xlpm.ppa_lease="SEL",_xlpm.ppa_rate&gt;0),"PPA",_xlpm.ppa_lease))</f>
        <v>PPA</v>
      </c>
      <c r="Y20" s="310" t="str">
        <f>_xlfn.LET(_xlpm.ppa_lease,INDEX('Microgrid Proposal'!$H$31:$H$62,MATCH(Y$19,'Microgrid Proposal'!$B$31:$B$62,0)),
_xlpm.ppa_rate,INDEX('Microgrid Proposal'!$J$31:$J$62,MATCH(Y$19,'Microgrid Proposal'!$B$31:$B$62,0)),
IF(AND(_xlpm.ppa_lease="SEL",_xlpm.ppa_rate&gt;0),"PPA",_xlpm.ppa_lease))</f>
        <v>PPA</v>
      </c>
      <c r="Z20" s="310" t="str">
        <f>_xlfn.LET(_xlpm.ppa_lease,INDEX('Microgrid Proposal'!$H$31:$H$62,MATCH(Z$19,'Microgrid Proposal'!$B$31:$B$62,0)),
_xlpm.ppa_rate,INDEX('Microgrid Proposal'!$J$31:$J$62,MATCH(Z$19,'Microgrid Proposal'!$B$31:$B$62,0)),
IF(AND(_xlpm.ppa_lease="SEL",_xlpm.ppa_rate&gt;0),"PPA",_xlpm.ppa_lease))</f>
        <v>PPA</v>
      </c>
      <c r="AA20" s="310" t="str">
        <f>_xlfn.LET(_xlpm.ppa_lease,INDEX('Microgrid Proposal'!$H$31:$H$62,MATCH(AA$19,'Microgrid Proposal'!$B$31:$B$62,0)),
_xlpm.ppa_rate,INDEX('Microgrid Proposal'!$J$31:$J$62,MATCH(AA$19,'Microgrid Proposal'!$B$31:$B$62,0)),
IF(AND(_xlpm.ppa_lease="SEL",_xlpm.ppa_rate&gt;0),"PPA",_xlpm.ppa_lease))</f>
        <v>PPA</v>
      </c>
      <c r="AB20" s="310" t="str">
        <f>_xlfn.LET(_xlpm.ppa_lease,INDEX('Microgrid Proposal'!$H$31:$H$62,MATCH(AB$19,'Microgrid Proposal'!$B$31:$B$62,0)),
_xlpm.ppa_rate,INDEX('Microgrid Proposal'!$J$31:$J$62,MATCH(AB$19,'Microgrid Proposal'!$B$31:$B$62,0)),
IF(AND(_xlpm.ppa_lease="SEL",_xlpm.ppa_rate&gt;0),"PPA",_xlpm.ppa_lease))</f>
        <v>PPA</v>
      </c>
      <c r="AC20" s="310" t="str">
        <f>_xlfn.LET(_xlpm.ppa_lease,INDEX('Microgrid Proposal'!$H$31:$H$62,MATCH(AC$19,'Microgrid Proposal'!$B$31:$B$62,0)),
_xlpm.ppa_rate,INDEX('Microgrid Proposal'!$J$31:$J$62,MATCH(AC$19,'Microgrid Proposal'!$B$31:$B$62,0)),
IF(AND(_xlpm.ppa_lease="SEL",_xlpm.ppa_rate&gt;0),"PPA",_xlpm.ppa_lease))</f>
        <v>PPA</v>
      </c>
      <c r="AD20" s="310" t="str">
        <f>_xlfn.LET(_xlpm.ppa_lease,INDEX('Microgrid Proposal'!$H$31:$H$62,MATCH(AD$19,'Microgrid Proposal'!$B$31:$B$62,0)),
_xlpm.ppa_rate,INDEX('Microgrid Proposal'!$J$31:$J$62,MATCH(AD$19,'Microgrid Proposal'!$B$31:$B$62,0)),
IF(AND(_xlpm.ppa_lease="SEL",_xlpm.ppa_rate&gt;0),"PPA",_xlpm.ppa_lease))</f>
        <v>PPA</v>
      </c>
      <c r="AE20" s="310" t="str">
        <f>_xlfn.LET(_xlpm.ppa_lease,INDEX('Microgrid Proposal'!$H$31:$H$62,MATCH(AE$19,'Microgrid Proposal'!$B$31:$B$62,0)),
_xlpm.ppa_rate,INDEX('Microgrid Proposal'!$J$31:$J$62,MATCH(AE$19,'Microgrid Proposal'!$B$31:$B$62,0)),
IF(AND(_xlpm.ppa_lease="SEL",_xlpm.ppa_rate&gt;0),"PPA",_xlpm.ppa_lease))</f>
        <v>PPA</v>
      </c>
      <c r="AF20" s="310" t="str">
        <f>_xlfn.LET(_xlpm.ppa_lease,INDEX('Microgrid Proposal'!$H$31:$H$62,MATCH(AF$19,'Microgrid Proposal'!$B$31:$B$62,0)),
_xlpm.ppa_rate,INDEX('Microgrid Proposal'!$J$31:$J$62,MATCH(AF$19,'Microgrid Proposal'!$B$31:$B$62,0)),
IF(AND(_xlpm.ppa_lease="SEL",_xlpm.ppa_rate&gt;0),"PPA",_xlpm.ppa_lease))</f>
        <v>PPA</v>
      </c>
      <c r="AG20" s="310" t="str">
        <f>_xlfn.LET(_xlpm.ppa_lease,INDEX('Microgrid Proposal'!$H$31:$H$62,MATCH(AG$19,'Microgrid Proposal'!$B$31:$B$62,0)),
_xlpm.ppa_rate,INDEX('Microgrid Proposal'!$J$31:$J$62,MATCH(AG$19,'Microgrid Proposal'!$B$31:$B$62,0)),
IF(AND(_xlpm.ppa_lease="SEL",_xlpm.ppa_rate&gt;0),"PPA",_xlpm.ppa_lease))</f>
        <v>PPA</v>
      </c>
    </row>
    <row r="21" spans="1:33" hidden="1" outlineLevel="1" x14ac:dyDescent="0.5">
      <c r="A21" s="86" t="s">
        <v>249</v>
      </c>
      <c r="B21" s="311">
        <f>INDEX('Microgrid Proposal'!$I$31:$I$62,MATCH(B$19,'Microgrid Proposal'!$B$31:$B$62,0))</f>
        <v>20</v>
      </c>
      <c r="C21" s="311">
        <f>INDEX('Microgrid Proposal'!$I$31:$I$62,MATCH(C$19,'Microgrid Proposal'!$B$31:$B$62,0))</f>
        <v>20</v>
      </c>
      <c r="D21" s="311">
        <f>INDEX('Microgrid Proposal'!$I$31:$I$62,MATCH(D$19,'Microgrid Proposal'!$B$31:$B$62,0))</f>
        <v>20</v>
      </c>
      <c r="E21" s="311">
        <f>INDEX('Microgrid Proposal'!$I$31:$I$62,MATCH(E$19,'Microgrid Proposal'!$B$31:$B$62,0))</f>
        <v>18</v>
      </c>
      <c r="F21" s="311">
        <f>INDEX('Microgrid Proposal'!$I$31:$I$62,MATCH(F$19,'Microgrid Proposal'!$B$31:$B$62,0))</f>
        <v>20</v>
      </c>
      <c r="G21" s="311">
        <f>INDEX('Microgrid Proposal'!$I$31:$I$62,MATCH(G$19,'Microgrid Proposal'!$B$31:$B$62,0))</f>
        <v>20</v>
      </c>
      <c r="H21" s="311">
        <f>INDEX('Microgrid Proposal'!$I$31:$I$62,MATCH(H$19,'Microgrid Proposal'!$B$31:$B$62,0))</f>
        <v>20</v>
      </c>
      <c r="I21" s="311">
        <f>INDEX('Microgrid Proposal'!$I$31:$I$62,MATCH(I$19,'Microgrid Proposal'!$B$31:$B$62,0))</f>
        <v>20</v>
      </c>
      <c r="J21" s="311">
        <f>INDEX('Microgrid Proposal'!$I$31:$I$62,MATCH(J$19,'Microgrid Proposal'!$B$31:$B$62,0))</f>
        <v>20</v>
      </c>
      <c r="K21" s="311">
        <f>INDEX('Microgrid Proposal'!$I$31:$I$62,MATCH(K$19,'Microgrid Proposal'!$B$31:$B$62,0))</f>
        <v>20</v>
      </c>
      <c r="L21" s="311">
        <f>INDEX('Microgrid Proposal'!$I$31:$I$62,MATCH(L$19,'Microgrid Proposal'!$B$31:$B$62,0))</f>
        <v>20</v>
      </c>
      <c r="M21" s="311">
        <f>INDEX('Microgrid Proposal'!$I$31:$I$62,MATCH(M$19,'Microgrid Proposal'!$B$31:$B$62,0))</f>
        <v>18</v>
      </c>
      <c r="N21" s="311">
        <f>INDEX('Microgrid Proposal'!$I$31:$I$62,MATCH(N$19,'Microgrid Proposal'!$B$31:$B$62,0))</f>
        <v>20</v>
      </c>
      <c r="O21" s="311">
        <f>INDEX('Microgrid Proposal'!$I$31:$I$62,MATCH(O$19,'Microgrid Proposal'!$B$31:$B$62,0))</f>
        <v>20</v>
      </c>
      <c r="P21" s="311">
        <f>INDEX('Microgrid Proposal'!$I$31:$I$62,MATCH(P$19,'Microgrid Proposal'!$B$31:$B$62,0))</f>
        <v>20</v>
      </c>
      <c r="Q21" s="311">
        <f>INDEX('Microgrid Proposal'!$I$31:$I$62,MATCH(Q$19,'Microgrid Proposal'!$B$31:$B$62,0))</f>
        <v>20</v>
      </c>
      <c r="R21" s="311">
        <f>INDEX('Microgrid Proposal'!$I$31:$I$62,MATCH(R$19,'Microgrid Proposal'!$B$31:$B$62,0))</f>
        <v>20</v>
      </c>
      <c r="S21" s="311">
        <f>INDEX('Microgrid Proposal'!$I$31:$I$62,MATCH(S$19,'Microgrid Proposal'!$B$31:$B$62,0))</f>
        <v>20</v>
      </c>
      <c r="T21" s="311">
        <f>INDEX('Microgrid Proposal'!$I$31:$I$62,MATCH(T$19,'Microgrid Proposal'!$B$31:$B$62,0))</f>
        <v>20</v>
      </c>
      <c r="U21" s="311">
        <f>INDEX('Microgrid Proposal'!$I$31:$I$62,MATCH(U$19,'Microgrid Proposal'!$B$31:$B$62,0))</f>
        <v>20</v>
      </c>
      <c r="V21" s="311">
        <f>INDEX('Microgrid Proposal'!$I$31:$I$62,MATCH(V$19,'Microgrid Proposal'!$B$31:$B$62,0))</f>
        <v>20</v>
      </c>
      <c r="W21" s="311">
        <f>INDEX('Microgrid Proposal'!$I$31:$I$62,MATCH(W$19,'Microgrid Proposal'!$B$31:$B$62,0))</f>
        <v>20</v>
      </c>
      <c r="X21" s="311">
        <f>INDEX('Microgrid Proposal'!$I$31:$I$62,MATCH(X$19,'Microgrid Proposal'!$B$31:$B$62,0))</f>
        <v>20</v>
      </c>
      <c r="Y21" s="311">
        <f>INDEX('Microgrid Proposal'!$I$31:$I$62,MATCH(Y$19,'Microgrid Proposal'!$B$31:$B$62,0))</f>
        <v>20</v>
      </c>
      <c r="Z21" s="311">
        <f>INDEX('Microgrid Proposal'!$I$31:$I$62,MATCH(Z$19,'Microgrid Proposal'!$B$31:$B$62,0))</f>
        <v>20</v>
      </c>
      <c r="AA21" s="311">
        <f>INDEX('Microgrid Proposal'!$I$31:$I$62,MATCH(AA$19,'Microgrid Proposal'!$B$31:$B$62,0))</f>
        <v>20</v>
      </c>
      <c r="AB21" s="311">
        <f>INDEX('Microgrid Proposal'!$I$31:$I$62,MATCH(AB$19,'Microgrid Proposal'!$B$31:$B$62,0))</f>
        <v>20</v>
      </c>
      <c r="AC21" s="311">
        <f>INDEX('Microgrid Proposal'!$I$31:$I$62,MATCH(AC$19,'Microgrid Proposal'!$B$31:$B$62,0))</f>
        <v>20</v>
      </c>
      <c r="AD21" s="311">
        <f>INDEX('Microgrid Proposal'!$I$31:$I$62,MATCH(AD$19,'Microgrid Proposal'!$B$31:$B$62,0))</f>
        <v>20</v>
      </c>
      <c r="AE21" s="311">
        <f>INDEX('Microgrid Proposal'!$I$31:$I$62,MATCH(AE$19,'Microgrid Proposal'!$B$31:$B$62,0))</f>
        <v>20</v>
      </c>
      <c r="AF21" s="311">
        <f>INDEX('Microgrid Proposal'!$I$31:$I$62,MATCH(AF$19,'Microgrid Proposal'!$B$31:$B$62,0))</f>
        <v>20</v>
      </c>
      <c r="AG21" s="311">
        <f>INDEX('Microgrid Proposal'!$I$31:$I$62,MATCH(AG$19,'Microgrid Proposal'!$B$31:$B$62,0))</f>
        <v>20</v>
      </c>
    </row>
    <row r="22" spans="1:33" collapsed="1" x14ac:dyDescent="0.5">
      <c r="A22" s="87">
        <v>1</v>
      </c>
      <c r="B22" s="313" t="str" cm="1">
        <f t="array" ref="B22:AG22">IF($B$20:$AG$20="SEL","N/A - SEL",TRANSPOSE(IF('System Specification'!I$15:I$46&gt;0,ROUND('System Specification'!I$15:I$46*$E$12,-2),"")))</f>
        <v/>
      </c>
      <c r="C22" s="313" t="str">
        <v/>
      </c>
      <c r="D22" s="313" t="str">
        <v/>
      </c>
      <c r="E22" s="313" t="str">
        <v/>
      </c>
      <c r="F22" s="313" t="str">
        <v/>
      </c>
      <c r="G22" s="313" t="str">
        <v/>
      </c>
      <c r="H22" s="313" t="str">
        <v/>
      </c>
      <c r="I22" s="313" t="str">
        <v/>
      </c>
      <c r="J22" s="313" t="str">
        <v/>
      </c>
      <c r="K22" s="313" t="str">
        <v/>
      </c>
      <c r="L22" s="313" t="str">
        <v/>
      </c>
      <c r="M22" s="313" t="str">
        <v/>
      </c>
      <c r="N22" s="313" t="str">
        <v>N/A - SEL</v>
      </c>
      <c r="O22" s="313" t="str">
        <v/>
      </c>
      <c r="P22" s="313" t="str">
        <v>N/A - SEL</v>
      </c>
      <c r="Q22" s="313" t="str">
        <v/>
      </c>
      <c r="R22" s="313" t="str">
        <v/>
      </c>
      <c r="S22" s="313" t="str">
        <v>N/A - SEL</v>
      </c>
      <c r="T22" s="313" t="str">
        <v/>
      </c>
      <c r="U22" s="313" t="str">
        <v/>
      </c>
      <c r="V22" s="313" t="str">
        <v/>
      </c>
      <c r="W22" s="313" t="str">
        <v>N/A - SEL</v>
      </c>
      <c r="X22" s="313" t="str">
        <v/>
      </c>
      <c r="Y22" s="313" t="str">
        <v/>
      </c>
      <c r="Z22" s="313" t="str">
        <v/>
      </c>
      <c r="AA22" s="313" t="str">
        <v/>
      </c>
      <c r="AB22" s="313" t="str">
        <v/>
      </c>
      <c r="AC22" s="313" t="str">
        <v/>
      </c>
      <c r="AD22" s="313" t="str">
        <v/>
      </c>
      <c r="AE22" s="313" t="str">
        <v/>
      </c>
      <c r="AF22" s="313" t="str">
        <v/>
      </c>
      <c r="AG22" s="313" t="str">
        <v/>
      </c>
    </row>
    <row r="23" spans="1:33" x14ac:dyDescent="0.5">
      <c r="A23" s="87">
        <v>2</v>
      </c>
      <c r="B23" s="314" t="str">
        <f t="shared" ref="B23:B41" si="0">IF(B$20="SEL","N/A - SEL",IF(OR(B22="",$A23&gt;B$21),"",ROUND(B22*(1-$E$11),-2)))</f>
        <v/>
      </c>
      <c r="C23" s="314" t="str">
        <f t="shared" ref="C23:C41" si="1">IF(C$20="SEL","N/A - SEL",IF(OR(C22="",$A23&gt;C$21),"",ROUND(C22*(1-$E$11),-2)))</f>
        <v/>
      </c>
      <c r="D23" s="314" t="str">
        <f t="shared" ref="D23:D41" si="2">IF(D$20="SEL","N/A - SEL",IF(OR(D22="",$A23&gt;D$21),"",ROUND(D22*(1-$E$11),-2)))</f>
        <v/>
      </c>
      <c r="E23" s="314" t="str">
        <f t="shared" ref="E23:E41" si="3">IF(E$20="SEL","N/A - SEL",IF(OR(E22="",$A23&gt;E$21),"",ROUND(E22*(1-$E$11),-2)))</f>
        <v/>
      </c>
      <c r="F23" s="314" t="str">
        <f t="shared" ref="F23:F41" si="4">IF(F$20="SEL","N/A - SEL",IF(OR(F22="",$A23&gt;F$21),"",ROUND(F22*(1-$E$11),-2)))</f>
        <v/>
      </c>
      <c r="G23" s="314" t="str">
        <f t="shared" ref="G23:G41" si="5">IF(G$20="SEL","N/A - SEL",IF(OR(G22="",$A23&gt;G$21),"",ROUND(G22*(1-$E$11),-2)))</f>
        <v/>
      </c>
      <c r="H23" s="314" t="str">
        <f t="shared" ref="H23:H41" si="6">IF(H$20="SEL","N/A - SEL",IF(OR(H22="",$A23&gt;H$21),"",ROUND(H22*(1-$E$11),-2)))</f>
        <v/>
      </c>
      <c r="I23" s="314" t="str">
        <f t="shared" ref="I23:I41" si="7">IF(I$20="SEL","N/A - SEL",IF(OR(I22="",$A23&gt;I$21),"",ROUND(I22*(1-$E$11),-2)))</f>
        <v/>
      </c>
      <c r="J23" s="314" t="str">
        <f t="shared" ref="J23:J41" si="8">IF(J$20="SEL","N/A - SEL",IF(OR(J22="",$A23&gt;J$21),"",ROUND(J22*(1-$E$11),-2)))</f>
        <v/>
      </c>
      <c r="K23" s="314" t="str">
        <f t="shared" ref="K23:K41" si="9">IF(K$20="SEL","N/A - SEL",IF(OR(K22="",$A23&gt;K$21),"",ROUND(K22*(1-$E$11),-2)))</f>
        <v/>
      </c>
      <c r="L23" s="314" t="str">
        <f t="shared" ref="L23:L41" si="10">IF(L$20="SEL","N/A - SEL",IF(OR(L22="",$A23&gt;L$21),"",ROUND(L22*(1-$E$11),-2)))</f>
        <v/>
      </c>
      <c r="M23" s="314" t="str">
        <f t="shared" ref="M23:M41" si="11">IF(M$20="SEL","N/A - SEL",IF(OR(M22="",$A23&gt;M$21),"",ROUND(M22*(1-$E$11),-2)))</f>
        <v/>
      </c>
      <c r="N23" s="314" t="str">
        <f t="shared" ref="N23:N41" si="12">IF(N$20="SEL","N/A - SEL",IF(OR(N22="",$A23&gt;N$21),"",ROUND(N22*(1-$E$11),-2)))</f>
        <v>N/A - SEL</v>
      </c>
      <c r="O23" s="314" t="str">
        <f t="shared" ref="O23:O41" si="13">IF(O$20="SEL","N/A - SEL",IF(OR(O22="",$A23&gt;O$21),"",ROUND(O22*(1-$E$11),-2)))</f>
        <v/>
      </c>
      <c r="P23" s="314" t="str">
        <f t="shared" ref="P23:P41" si="14">IF(P$20="SEL","N/A - SEL",IF(OR(P22="",$A23&gt;P$21),"",ROUND(P22*(1-$E$11),-2)))</f>
        <v>N/A - SEL</v>
      </c>
      <c r="Q23" s="314" t="str">
        <f t="shared" ref="Q23:Q41" si="15">IF(Q$20="SEL","N/A - SEL",IF(OR(Q22="",$A23&gt;Q$21),"",ROUND(Q22*(1-$E$11),-2)))</f>
        <v/>
      </c>
      <c r="R23" s="314" t="str">
        <f t="shared" ref="R23:R41" si="16">IF(R$20="SEL","N/A - SEL",IF(OR(R22="",$A23&gt;R$21),"",ROUND(R22*(1-$E$11),-2)))</f>
        <v/>
      </c>
      <c r="S23" s="314" t="str">
        <f t="shared" ref="S23:S41" si="17">IF(S$20="SEL","N/A - SEL",IF(OR(S22="",$A23&gt;S$21),"",ROUND(S22*(1-$E$11),-2)))</f>
        <v>N/A - SEL</v>
      </c>
      <c r="T23" s="314" t="str">
        <f t="shared" ref="T23:T41" si="18">IF(T$20="SEL","N/A - SEL",IF(OR(T22="",$A23&gt;T$21),"",ROUND(T22*(1-$E$11),-2)))</f>
        <v/>
      </c>
      <c r="U23" s="314" t="str">
        <f t="shared" ref="U23:U41" si="19">IF(U$20="SEL","N/A - SEL",IF(OR(U22="",$A23&gt;U$21),"",ROUND(U22*(1-$E$11),-2)))</f>
        <v/>
      </c>
      <c r="V23" s="314" t="str">
        <f t="shared" ref="V23:V41" si="20">IF(V$20="SEL","N/A - SEL",IF(OR(V22="",$A23&gt;V$21),"",ROUND(V22*(1-$E$11),-2)))</f>
        <v/>
      </c>
      <c r="W23" s="314" t="str">
        <f t="shared" ref="W23:W41" si="21">IF(W$20="SEL","N/A - SEL",IF(OR(W22="",$A23&gt;W$21),"",ROUND(W22*(1-$E$11),-2)))</f>
        <v>N/A - SEL</v>
      </c>
      <c r="X23" s="314" t="str">
        <f t="shared" ref="X23:X41" si="22">IF(X$20="SEL","N/A - SEL",IF(OR(X22="",$A23&gt;X$21),"",ROUND(X22*(1-$E$11),-2)))</f>
        <v/>
      </c>
      <c r="Y23" s="314" t="str">
        <f t="shared" ref="Y23:Y41" si="23">IF(Y$20="SEL","N/A - SEL",IF(OR(Y22="",$A23&gt;Y$21),"",ROUND(Y22*(1-$E$11),-2)))</f>
        <v/>
      </c>
      <c r="Z23" s="314" t="str">
        <f t="shared" ref="Z23:Z41" si="24">IF(Z$20="SEL","N/A - SEL",IF(OR(Z22="",$A23&gt;Z$21),"",ROUND(Z22*(1-$E$11),-2)))</f>
        <v/>
      </c>
      <c r="AA23" s="314" t="str">
        <f t="shared" ref="AA23:AA41" si="25">IF(AA$20="SEL","N/A - SEL",IF(OR(AA22="",$A23&gt;AA$21),"",ROUND(AA22*(1-$E$11),-2)))</f>
        <v/>
      </c>
      <c r="AB23" s="314" t="str">
        <f t="shared" ref="AB23:AB41" si="26">IF(AB$20="SEL","N/A - SEL",IF(OR(AB22="",$A23&gt;AB$21),"",ROUND(AB22*(1-$E$11),-2)))</f>
        <v/>
      </c>
      <c r="AC23" s="314" t="str">
        <f t="shared" ref="AC23:AC41" si="27">IF(AC$20="SEL","N/A - SEL",IF(OR(AC22="",$A23&gt;AC$21),"",ROUND(AC22*(1-$E$11),-2)))</f>
        <v/>
      </c>
      <c r="AD23" s="314" t="str">
        <f t="shared" ref="AD23:AD41" si="28">IF(AD$20="SEL","N/A - SEL",IF(OR(AD22="",$A23&gt;AD$21),"",ROUND(AD22*(1-$E$11),-2)))</f>
        <v/>
      </c>
      <c r="AE23" s="314" t="str">
        <f t="shared" ref="AE23:AE41" si="29">IF(AE$20="SEL","N/A - SEL",IF(OR(AE22="",$A23&gt;AE$21),"",ROUND(AE22*(1-$E$11),-2)))</f>
        <v/>
      </c>
      <c r="AF23" s="314" t="str">
        <f t="shared" ref="AF23:AF41" si="30">IF(AF$20="SEL","N/A - SEL",IF(OR(AF22="",$A23&gt;AF$21),"",ROUND(AF22*(1-$E$11),-2)))</f>
        <v/>
      </c>
      <c r="AG23" s="314" t="str">
        <f t="shared" ref="AG23:AG41" si="31">IF(AG$20="SEL","N/A - SEL",IF(OR(AG22="",$A23&gt;AG$21),"",ROUND(AG22*(1-$E$11),-2)))</f>
        <v/>
      </c>
    </row>
    <row r="24" spans="1:33" x14ac:dyDescent="0.5">
      <c r="A24" s="87">
        <v>3</v>
      </c>
      <c r="B24" s="314" t="str">
        <f t="shared" si="0"/>
        <v/>
      </c>
      <c r="C24" s="314" t="str">
        <f t="shared" si="1"/>
        <v/>
      </c>
      <c r="D24" s="314" t="str">
        <f t="shared" si="2"/>
        <v/>
      </c>
      <c r="E24" s="314" t="str">
        <f t="shared" si="3"/>
        <v/>
      </c>
      <c r="F24" s="314" t="str">
        <f t="shared" si="4"/>
        <v/>
      </c>
      <c r="G24" s="314" t="str">
        <f t="shared" si="5"/>
        <v/>
      </c>
      <c r="H24" s="314" t="str">
        <f t="shared" si="6"/>
        <v/>
      </c>
      <c r="I24" s="314" t="str">
        <f t="shared" si="7"/>
        <v/>
      </c>
      <c r="J24" s="314" t="str">
        <f t="shared" si="8"/>
        <v/>
      </c>
      <c r="K24" s="314" t="str">
        <f t="shared" si="9"/>
        <v/>
      </c>
      <c r="L24" s="314" t="str">
        <f t="shared" si="10"/>
        <v/>
      </c>
      <c r="M24" s="314" t="str">
        <f t="shared" si="11"/>
        <v/>
      </c>
      <c r="N24" s="314" t="str">
        <f t="shared" si="12"/>
        <v>N/A - SEL</v>
      </c>
      <c r="O24" s="314" t="str">
        <f t="shared" si="13"/>
        <v/>
      </c>
      <c r="P24" s="314" t="str">
        <f t="shared" si="14"/>
        <v>N/A - SEL</v>
      </c>
      <c r="Q24" s="314" t="str">
        <f t="shared" si="15"/>
        <v/>
      </c>
      <c r="R24" s="314" t="str">
        <f t="shared" si="16"/>
        <v/>
      </c>
      <c r="S24" s="314" t="str">
        <f t="shared" si="17"/>
        <v>N/A - SEL</v>
      </c>
      <c r="T24" s="314" t="str">
        <f t="shared" si="18"/>
        <v/>
      </c>
      <c r="U24" s="314" t="str">
        <f t="shared" si="19"/>
        <v/>
      </c>
      <c r="V24" s="314" t="str">
        <f t="shared" si="20"/>
        <v/>
      </c>
      <c r="W24" s="314" t="str">
        <f t="shared" si="21"/>
        <v>N/A - SEL</v>
      </c>
      <c r="X24" s="314" t="str">
        <f t="shared" si="22"/>
        <v/>
      </c>
      <c r="Y24" s="314" t="str">
        <f t="shared" si="23"/>
        <v/>
      </c>
      <c r="Z24" s="314" t="str">
        <f t="shared" si="24"/>
        <v/>
      </c>
      <c r="AA24" s="314" t="str">
        <f t="shared" si="25"/>
        <v/>
      </c>
      <c r="AB24" s="314" t="str">
        <f t="shared" si="26"/>
        <v/>
      </c>
      <c r="AC24" s="314" t="str">
        <f t="shared" si="27"/>
        <v/>
      </c>
      <c r="AD24" s="314" t="str">
        <f t="shared" si="28"/>
        <v/>
      </c>
      <c r="AE24" s="314" t="str">
        <f t="shared" si="29"/>
        <v/>
      </c>
      <c r="AF24" s="314" t="str">
        <f t="shared" si="30"/>
        <v/>
      </c>
      <c r="AG24" s="314" t="str">
        <f t="shared" si="31"/>
        <v/>
      </c>
    </row>
    <row r="25" spans="1:33" x14ac:dyDescent="0.5">
      <c r="A25" s="87">
        <v>4</v>
      </c>
      <c r="B25" s="314" t="str">
        <f t="shared" si="0"/>
        <v/>
      </c>
      <c r="C25" s="314" t="str">
        <f t="shared" si="1"/>
        <v/>
      </c>
      <c r="D25" s="314" t="str">
        <f t="shared" si="2"/>
        <v/>
      </c>
      <c r="E25" s="314" t="str">
        <f t="shared" si="3"/>
        <v/>
      </c>
      <c r="F25" s="314" t="str">
        <f t="shared" si="4"/>
        <v/>
      </c>
      <c r="G25" s="314" t="str">
        <f t="shared" si="5"/>
        <v/>
      </c>
      <c r="H25" s="314" t="str">
        <f t="shared" si="6"/>
        <v/>
      </c>
      <c r="I25" s="314" t="str">
        <f t="shared" si="7"/>
        <v/>
      </c>
      <c r="J25" s="314" t="str">
        <f t="shared" si="8"/>
        <v/>
      </c>
      <c r="K25" s="314" t="str">
        <f t="shared" si="9"/>
        <v/>
      </c>
      <c r="L25" s="314" t="str">
        <f t="shared" si="10"/>
        <v/>
      </c>
      <c r="M25" s="314" t="str">
        <f t="shared" si="11"/>
        <v/>
      </c>
      <c r="N25" s="314" t="str">
        <f t="shared" si="12"/>
        <v>N/A - SEL</v>
      </c>
      <c r="O25" s="314" t="str">
        <f t="shared" si="13"/>
        <v/>
      </c>
      <c r="P25" s="314" t="str">
        <f t="shared" si="14"/>
        <v>N/A - SEL</v>
      </c>
      <c r="Q25" s="314" t="str">
        <f t="shared" si="15"/>
        <v/>
      </c>
      <c r="R25" s="314" t="str">
        <f t="shared" si="16"/>
        <v/>
      </c>
      <c r="S25" s="314" t="str">
        <f t="shared" si="17"/>
        <v>N/A - SEL</v>
      </c>
      <c r="T25" s="314" t="str">
        <f t="shared" si="18"/>
        <v/>
      </c>
      <c r="U25" s="314" t="str">
        <f t="shared" si="19"/>
        <v/>
      </c>
      <c r="V25" s="314" t="str">
        <f t="shared" si="20"/>
        <v/>
      </c>
      <c r="W25" s="314" t="str">
        <f t="shared" si="21"/>
        <v>N/A - SEL</v>
      </c>
      <c r="X25" s="314" t="str">
        <f t="shared" si="22"/>
        <v/>
      </c>
      <c r="Y25" s="314" t="str">
        <f t="shared" si="23"/>
        <v/>
      </c>
      <c r="Z25" s="314" t="str">
        <f t="shared" si="24"/>
        <v/>
      </c>
      <c r="AA25" s="314" t="str">
        <f t="shared" si="25"/>
        <v/>
      </c>
      <c r="AB25" s="314" t="str">
        <f t="shared" si="26"/>
        <v/>
      </c>
      <c r="AC25" s="314" t="str">
        <f t="shared" si="27"/>
        <v/>
      </c>
      <c r="AD25" s="314" t="str">
        <f t="shared" si="28"/>
        <v/>
      </c>
      <c r="AE25" s="314" t="str">
        <f t="shared" si="29"/>
        <v/>
      </c>
      <c r="AF25" s="314" t="str">
        <f t="shared" si="30"/>
        <v/>
      </c>
      <c r="AG25" s="314" t="str">
        <f t="shared" si="31"/>
        <v/>
      </c>
    </row>
    <row r="26" spans="1:33" x14ac:dyDescent="0.5">
      <c r="A26" s="87">
        <v>5</v>
      </c>
      <c r="B26" s="314" t="str">
        <f t="shared" si="0"/>
        <v/>
      </c>
      <c r="C26" s="314" t="str">
        <f t="shared" si="1"/>
        <v/>
      </c>
      <c r="D26" s="314" t="str">
        <f t="shared" si="2"/>
        <v/>
      </c>
      <c r="E26" s="314" t="str">
        <f t="shared" si="3"/>
        <v/>
      </c>
      <c r="F26" s="314" t="str">
        <f t="shared" si="4"/>
        <v/>
      </c>
      <c r="G26" s="314" t="str">
        <f t="shared" si="5"/>
        <v/>
      </c>
      <c r="H26" s="314" t="str">
        <f t="shared" si="6"/>
        <v/>
      </c>
      <c r="I26" s="314" t="str">
        <f t="shared" si="7"/>
        <v/>
      </c>
      <c r="J26" s="314" t="str">
        <f t="shared" si="8"/>
        <v/>
      </c>
      <c r="K26" s="314" t="str">
        <f t="shared" si="9"/>
        <v/>
      </c>
      <c r="L26" s="314" t="str">
        <f t="shared" si="10"/>
        <v/>
      </c>
      <c r="M26" s="314" t="str">
        <f t="shared" si="11"/>
        <v/>
      </c>
      <c r="N26" s="314" t="str">
        <f t="shared" si="12"/>
        <v>N/A - SEL</v>
      </c>
      <c r="O26" s="314" t="str">
        <f t="shared" si="13"/>
        <v/>
      </c>
      <c r="P26" s="314" t="str">
        <f t="shared" si="14"/>
        <v>N/A - SEL</v>
      </c>
      <c r="Q26" s="314" t="str">
        <f t="shared" si="15"/>
        <v/>
      </c>
      <c r="R26" s="314" t="str">
        <f t="shared" si="16"/>
        <v/>
      </c>
      <c r="S26" s="314" t="str">
        <f t="shared" si="17"/>
        <v>N/A - SEL</v>
      </c>
      <c r="T26" s="314" t="str">
        <f t="shared" si="18"/>
        <v/>
      </c>
      <c r="U26" s="314" t="str">
        <f t="shared" si="19"/>
        <v/>
      </c>
      <c r="V26" s="314" t="str">
        <f t="shared" si="20"/>
        <v/>
      </c>
      <c r="W26" s="314" t="str">
        <f t="shared" si="21"/>
        <v>N/A - SEL</v>
      </c>
      <c r="X26" s="314" t="str">
        <f t="shared" si="22"/>
        <v/>
      </c>
      <c r="Y26" s="314" t="str">
        <f t="shared" si="23"/>
        <v/>
      </c>
      <c r="Z26" s="314" t="str">
        <f t="shared" si="24"/>
        <v/>
      </c>
      <c r="AA26" s="314" t="str">
        <f t="shared" si="25"/>
        <v/>
      </c>
      <c r="AB26" s="314" t="str">
        <f t="shared" si="26"/>
        <v/>
      </c>
      <c r="AC26" s="314" t="str">
        <f t="shared" si="27"/>
        <v/>
      </c>
      <c r="AD26" s="314" t="str">
        <f t="shared" si="28"/>
        <v/>
      </c>
      <c r="AE26" s="314" t="str">
        <f t="shared" si="29"/>
        <v/>
      </c>
      <c r="AF26" s="314" t="str">
        <f t="shared" si="30"/>
        <v/>
      </c>
      <c r="AG26" s="314" t="str">
        <f t="shared" si="31"/>
        <v/>
      </c>
    </row>
    <row r="27" spans="1:33" x14ac:dyDescent="0.5">
      <c r="A27" s="87">
        <v>6</v>
      </c>
      <c r="B27" s="314" t="str">
        <f t="shared" si="0"/>
        <v/>
      </c>
      <c r="C27" s="314" t="str">
        <f t="shared" si="1"/>
        <v/>
      </c>
      <c r="D27" s="314" t="str">
        <f t="shared" si="2"/>
        <v/>
      </c>
      <c r="E27" s="314" t="str">
        <f t="shared" si="3"/>
        <v/>
      </c>
      <c r="F27" s="314" t="str">
        <f t="shared" si="4"/>
        <v/>
      </c>
      <c r="G27" s="314" t="str">
        <f t="shared" si="5"/>
        <v/>
      </c>
      <c r="H27" s="314" t="str">
        <f t="shared" si="6"/>
        <v/>
      </c>
      <c r="I27" s="314" t="str">
        <f t="shared" si="7"/>
        <v/>
      </c>
      <c r="J27" s="314" t="str">
        <f t="shared" si="8"/>
        <v/>
      </c>
      <c r="K27" s="314" t="str">
        <f t="shared" si="9"/>
        <v/>
      </c>
      <c r="L27" s="314" t="str">
        <f t="shared" si="10"/>
        <v/>
      </c>
      <c r="M27" s="314" t="str">
        <f t="shared" si="11"/>
        <v/>
      </c>
      <c r="N27" s="314" t="str">
        <f t="shared" si="12"/>
        <v>N/A - SEL</v>
      </c>
      <c r="O27" s="314" t="str">
        <f t="shared" si="13"/>
        <v/>
      </c>
      <c r="P27" s="314" t="str">
        <f t="shared" si="14"/>
        <v>N/A - SEL</v>
      </c>
      <c r="Q27" s="314" t="str">
        <f t="shared" si="15"/>
        <v/>
      </c>
      <c r="R27" s="314" t="str">
        <f t="shared" si="16"/>
        <v/>
      </c>
      <c r="S27" s="314" t="str">
        <f t="shared" si="17"/>
        <v>N/A - SEL</v>
      </c>
      <c r="T27" s="314" t="str">
        <f t="shared" si="18"/>
        <v/>
      </c>
      <c r="U27" s="314" t="str">
        <f t="shared" si="19"/>
        <v/>
      </c>
      <c r="V27" s="314" t="str">
        <f t="shared" si="20"/>
        <v/>
      </c>
      <c r="W27" s="314" t="str">
        <f t="shared" si="21"/>
        <v>N/A - SEL</v>
      </c>
      <c r="X27" s="314" t="str">
        <f t="shared" si="22"/>
        <v/>
      </c>
      <c r="Y27" s="314" t="str">
        <f t="shared" si="23"/>
        <v/>
      </c>
      <c r="Z27" s="314" t="str">
        <f t="shared" si="24"/>
        <v/>
      </c>
      <c r="AA27" s="314" t="str">
        <f t="shared" si="25"/>
        <v/>
      </c>
      <c r="AB27" s="314" t="str">
        <f t="shared" si="26"/>
        <v/>
      </c>
      <c r="AC27" s="314" t="str">
        <f t="shared" si="27"/>
        <v/>
      </c>
      <c r="AD27" s="314" t="str">
        <f t="shared" si="28"/>
        <v/>
      </c>
      <c r="AE27" s="314" t="str">
        <f t="shared" si="29"/>
        <v/>
      </c>
      <c r="AF27" s="314" t="str">
        <f t="shared" si="30"/>
        <v/>
      </c>
      <c r="AG27" s="314" t="str">
        <f t="shared" si="31"/>
        <v/>
      </c>
    </row>
    <row r="28" spans="1:33" x14ac:dyDescent="0.5">
      <c r="A28" s="87">
        <v>7</v>
      </c>
      <c r="B28" s="314" t="str">
        <f t="shared" si="0"/>
        <v/>
      </c>
      <c r="C28" s="314" t="str">
        <f t="shared" si="1"/>
        <v/>
      </c>
      <c r="D28" s="314" t="str">
        <f t="shared" si="2"/>
        <v/>
      </c>
      <c r="E28" s="314" t="str">
        <f t="shared" si="3"/>
        <v/>
      </c>
      <c r="F28" s="314" t="str">
        <f t="shared" si="4"/>
        <v/>
      </c>
      <c r="G28" s="314" t="str">
        <f t="shared" si="5"/>
        <v/>
      </c>
      <c r="H28" s="314" t="str">
        <f t="shared" si="6"/>
        <v/>
      </c>
      <c r="I28" s="314" t="str">
        <f t="shared" si="7"/>
        <v/>
      </c>
      <c r="J28" s="314" t="str">
        <f t="shared" si="8"/>
        <v/>
      </c>
      <c r="K28" s="314" t="str">
        <f t="shared" si="9"/>
        <v/>
      </c>
      <c r="L28" s="314" t="str">
        <f t="shared" si="10"/>
        <v/>
      </c>
      <c r="M28" s="314" t="str">
        <f t="shared" si="11"/>
        <v/>
      </c>
      <c r="N28" s="314" t="str">
        <f t="shared" si="12"/>
        <v>N/A - SEL</v>
      </c>
      <c r="O28" s="314" t="str">
        <f t="shared" si="13"/>
        <v/>
      </c>
      <c r="P28" s="314" t="str">
        <f t="shared" si="14"/>
        <v>N/A - SEL</v>
      </c>
      <c r="Q28" s="314" t="str">
        <f t="shared" si="15"/>
        <v/>
      </c>
      <c r="R28" s="314" t="str">
        <f t="shared" si="16"/>
        <v/>
      </c>
      <c r="S28" s="314" t="str">
        <f t="shared" si="17"/>
        <v>N/A - SEL</v>
      </c>
      <c r="T28" s="314" t="str">
        <f t="shared" si="18"/>
        <v/>
      </c>
      <c r="U28" s="314" t="str">
        <f t="shared" si="19"/>
        <v/>
      </c>
      <c r="V28" s="314" t="str">
        <f t="shared" si="20"/>
        <v/>
      </c>
      <c r="W28" s="314" t="str">
        <f t="shared" si="21"/>
        <v>N/A - SEL</v>
      </c>
      <c r="X28" s="314" t="str">
        <f t="shared" si="22"/>
        <v/>
      </c>
      <c r="Y28" s="314" t="str">
        <f t="shared" si="23"/>
        <v/>
      </c>
      <c r="Z28" s="314" t="str">
        <f t="shared" si="24"/>
        <v/>
      </c>
      <c r="AA28" s="314" t="str">
        <f t="shared" si="25"/>
        <v/>
      </c>
      <c r="AB28" s="314" t="str">
        <f t="shared" si="26"/>
        <v/>
      </c>
      <c r="AC28" s="314" t="str">
        <f t="shared" si="27"/>
        <v/>
      </c>
      <c r="AD28" s="314" t="str">
        <f t="shared" si="28"/>
        <v/>
      </c>
      <c r="AE28" s="314" t="str">
        <f t="shared" si="29"/>
        <v/>
      </c>
      <c r="AF28" s="314" t="str">
        <f t="shared" si="30"/>
        <v/>
      </c>
      <c r="AG28" s="314" t="str">
        <f t="shared" si="31"/>
        <v/>
      </c>
    </row>
    <row r="29" spans="1:33" x14ac:dyDescent="0.5">
      <c r="A29" s="87">
        <v>8</v>
      </c>
      <c r="B29" s="314" t="str">
        <f t="shared" si="0"/>
        <v/>
      </c>
      <c r="C29" s="314" t="str">
        <f t="shared" si="1"/>
        <v/>
      </c>
      <c r="D29" s="314" t="str">
        <f t="shared" si="2"/>
        <v/>
      </c>
      <c r="E29" s="314" t="str">
        <f t="shared" si="3"/>
        <v/>
      </c>
      <c r="F29" s="314" t="str">
        <f t="shared" si="4"/>
        <v/>
      </c>
      <c r="G29" s="314" t="str">
        <f t="shared" si="5"/>
        <v/>
      </c>
      <c r="H29" s="314" t="str">
        <f t="shared" si="6"/>
        <v/>
      </c>
      <c r="I29" s="314" t="str">
        <f t="shared" si="7"/>
        <v/>
      </c>
      <c r="J29" s="314" t="str">
        <f t="shared" si="8"/>
        <v/>
      </c>
      <c r="K29" s="314" t="str">
        <f t="shared" si="9"/>
        <v/>
      </c>
      <c r="L29" s="314" t="str">
        <f t="shared" si="10"/>
        <v/>
      </c>
      <c r="M29" s="314" t="str">
        <f t="shared" si="11"/>
        <v/>
      </c>
      <c r="N29" s="314" t="str">
        <f t="shared" si="12"/>
        <v>N/A - SEL</v>
      </c>
      <c r="O29" s="314" t="str">
        <f t="shared" si="13"/>
        <v/>
      </c>
      <c r="P29" s="314" t="str">
        <f t="shared" si="14"/>
        <v>N/A - SEL</v>
      </c>
      <c r="Q29" s="314" t="str">
        <f t="shared" si="15"/>
        <v/>
      </c>
      <c r="R29" s="314" t="str">
        <f t="shared" si="16"/>
        <v/>
      </c>
      <c r="S29" s="314" t="str">
        <f t="shared" si="17"/>
        <v>N/A - SEL</v>
      </c>
      <c r="T29" s="314" t="str">
        <f t="shared" si="18"/>
        <v/>
      </c>
      <c r="U29" s="314" t="str">
        <f t="shared" si="19"/>
        <v/>
      </c>
      <c r="V29" s="314" t="str">
        <f t="shared" si="20"/>
        <v/>
      </c>
      <c r="W29" s="314" t="str">
        <f t="shared" si="21"/>
        <v>N/A - SEL</v>
      </c>
      <c r="X29" s="314" t="str">
        <f t="shared" si="22"/>
        <v/>
      </c>
      <c r="Y29" s="314" t="str">
        <f t="shared" si="23"/>
        <v/>
      </c>
      <c r="Z29" s="314" t="str">
        <f t="shared" si="24"/>
        <v/>
      </c>
      <c r="AA29" s="314" t="str">
        <f t="shared" si="25"/>
        <v/>
      </c>
      <c r="AB29" s="314" t="str">
        <f t="shared" si="26"/>
        <v/>
      </c>
      <c r="AC29" s="314" t="str">
        <f t="shared" si="27"/>
        <v/>
      </c>
      <c r="AD29" s="314" t="str">
        <f t="shared" si="28"/>
        <v/>
      </c>
      <c r="AE29" s="314" t="str">
        <f t="shared" si="29"/>
        <v/>
      </c>
      <c r="AF29" s="314" t="str">
        <f t="shared" si="30"/>
        <v/>
      </c>
      <c r="AG29" s="314" t="str">
        <f t="shared" si="31"/>
        <v/>
      </c>
    </row>
    <row r="30" spans="1:33" x14ac:dyDescent="0.5">
      <c r="A30" s="87">
        <v>9</v>
      </c>
      <c r="B30" s="314" t="str">
        <f t="shared" si="0"/>
        <v/>
      </c>
      <c r="C30" s="314" t="str">
        <f t="shared" si="1"/>
        <v/>
      </c>
      <c r="D30" s="314" t="str">
        <f t="shared" si="2"/>
        <v/>
      </c>
      <c r="E30" s="314" t="str">
        <f t="shared" si="3"/>
        <v/>
      </c>
      <c r="F30" s="314" t="str">
        <f t="shared" si="4"/>
        <v/>
      </c>
      <c r="G30" s="314" t="str">
        <f t="shared" si="5"/>
        <v/>
      </c>
      <c r="H30" s="314" t="str">
        <f t="shared" si="6"/>
        <v/>
      </c>
      <c r="I30" s="314" t="str">
        <f t="shared" si="7"/>
        <v/>
      </c>
      <c r="J30" s="314" t="str">
        <f t="shared" si="8"/>
        <v/>
      </c>
      <c r="K30" s="314" t="str">
        <f t="shared" si="9"/>
        <v/>
      </c>
      <c r="L30" s="314" t="str">
        <f t="shared" si="10"/>
        <v/>
      </c>
      <c r="M30" s="314" t="str">
        <f t="shared" si="11"/>
        <v/>
      </c>
      <c r="N30" s="314" t="str">
        <f t="shared" si="12"/>
        <v>N/A - SEL</v>
      </c>
      <c r="O30" s="314" t="str">
        <f t="shared" si="13"/>
        <v/>
      </c>
      <c r="P30" s="314" t="str">
        <f t="shared" si="14"/>
        <v>N/A - SEL</v>
      </c>
      <c r="Q30" s="314" t="str">
        <f t="shared" si="15"/>
        <v/>
      </c>
      <c r="R30" s="314" t="str">
        <f t="shared" si="16"/>
        <v/>
      </c>
      <c r="S30" s="314" t="str">
        <f t="shared" si="17"/>
        <v>N/A - SEL</v>
      </c>
      <c r="T30" s="314" t="str">
        <f t="shared" si="18"/>
        <v/>
      </c>
      <c r="U30" s="314" t="str">
        <f t="shared" si="19"/>
        <v/>
      </c>
      <c r="V30" s="314" t="str">
        <f t="shared" si="20"/>
        <v/>
      </c>
      <c r="W30" s="314" t="str">
        <f t="shared" si="21"/>
        <v>N/A - SEL</v>
      </c>
      <c r="X30" s="314" t="str">
        <f t="shared" si="22"/>
        <v/>
      </c>
      <c r="Y30" s="314" t="str">
        <f t="shared" si="23"/>
        <v/>
      </c>
      <c r="Z30" s="314" t="str">
        <f t="shared" si="24"/>
        <v/>
      </c>
      <c r="AA30" s="314" t="str">
        <f t="shared" si="25"/>
        <v/>
      </c>
      <c r="AB30" s="314" t="str">
        <f t="shared" si="26"/>
        <v/>
      </c>
      <c r="AC30" s="314" t="str">
        <f t="shared" si="27"/>
        <v/>
      </c>
      <c r="AD30" s="314" t="str">
        <f t="shared" si="28"/>
        <v/>
      </c>
      <c r="AE30" s="314" t="str">
        <f t="shared" si="29"/>
        <v/>
      </c>
      <c r="AF30" s="314" t="str">
        <f t="shared" si="30"/>
        <v/>
      </c>
      <c r="AG30" s="314" t="str">
        <f t="shared" si="31"/>
        <v/>
      </c>
    </row>
    <row r="31" spans="1:33" x14ac:dyDescent="0.5">
      <c r="A31" s="87">
        <v>10</v>
      </c>
      <c r="B31" s="314" t="str">
        <f t="shared" si="0"/>
        <v/>
      </c>
      <c r="C31" s="314" t="str">
        <f t="shared" si="1"/>
        <v/>
      </c>
      <c r="D31" s="314" t="str">
        <f t="shared" si="2"/>
        <v/>
      </c>
      <c r="E31" s="314" t="str">
        <f t="shared" si="3"/>
        <v/>
      </c>
      <c r="F31" s="314" t="str">
        <f t="shared" si="4"/>
        <v/>
      </c>
      <c r="G31" s="314" t="str">
        <f t="shared" si="5"/>
        <v/>
      </c>
      <c r="H31" s="314" t="str">
        <f t="shared" si="6"/>
        <v/>
      </c>
      <c r="I31" s="314" t="str">
        <f t="shared" si="7"/>
        <v/>
      </c>
      <c r="J31" s="314" t="str">
        <f t="shared" si="8"/>
        <v/>
      </c>
      <c r="K31" s="314" t="str">
        <f t="shared" si="9"/>
        <v/>
      </c>
      <c r="L31" s="314" t="str">
        <f t="shared" si="10"/>
        <v/>
      </c>
      <c r="M31" s="314" t="str">
        <f t="shared" si="11"/>
        <v/>
      </c>
      <c r="N31" s="314" t="str">
        <f t="shared" si="12"/>
        <v>N/A - SEL</v>
      </c>
      <c r="O31" s="314" t="str">
        <f t="shared" si="13"/>
        <v/>
      </c>
      <c r="P31" s="314" t="str">
        <f t="shared" si="14"/>
        <v>N/A - SEL</v>
      </c>
      <c r="Q31" s="314" t="str">
        <f t="shared" si="15"/>
        <v/>
      </c>
      <c r="R31" s="314" t="str">
        <f t="shared" si="16"/>
        <v/>
      </c>
      <c r="S31" s="314" t="str">
        <f t="shared" si="17"/>
        <v>N/A - SEL</v>
      </c>
      <c r="T31" s="314" t="str">
        <f t="shared" si="18"/>
        <v/>
      </c>
      <c r="U31" s="314" t="str">
        <f t="shared" si="19"/>
        <v/>
      </c>
      <c r="V31" s="314" t="str">
        <f t="shared" si="20"/>
        <v/>
      </c>
      <c r="W31" s="314" t="str">
        <f t="shared" si="21"/>
        <v>N/A - SEL</v>
      </c>
      <c r="X31" s="314" t="str">
        <f t="shared" si="22"/>
        <v/>
      </c>
      <c r="Y31" s="314" t="str">
        <f t="shared" si="23"/>
        <v/>
      </c>
      <c r="Z31" s="314" t="str">
        <f t="shared" si="24"/>
        <v/>
      </c>
      <c r="AA31" s="314" t="str">
        <f t="shared" si="25"/>
        <v/>
      </c>
      <c r="AB31" s="314" t="str">
        <f t="shared" si="26"/>
        <v/>
      </c>
      <c r="AC31" s="314" t="str">
        <f t="shared" si="27"/>
        <v/>
      </c>
      <c r="AD31" s="314" t="str">
        <f t="shared" si="28"/>
        <v/>
      </c>
      <c r="AE31" s="314" t="str">
        <f t="shared" si="29"/>
        <v/>
      </c>
      <c r="AF31" s="314" t="str">
        <f t="shared" si="30"/>
        <v/>
      </c>
      <c r="AG31" s="314" t="str">
        <f t="shared" si="31"/>
        <v/>
      </c>
    </row>
    <row r="32" spans="1:33" x14ac:dyDescent="0.5">
      <c r="A32" s="87">
        <v>11</v>
      </c>
      <c r="B32" s="314" t="str">
        <f t="shared" si="0"/>
        <v/>
      </c>
      <c r="C32" s="314" t="str">
        <f t="shared" si="1"/>
        <v/>
      </c>
      <c r="D32" s="314" t="str">
        <f t="shared" si="2"/>
        <v/>
      </c>
      <c r="E32" s="314" t="str">
        <f t="shared" si="3"/>
        <v/>
      </c>
      <c r="F32" s="314" t="str">
        <f t="shared" si="4"/>
        <v/>
      </c>
      <c r="G32" s="314" t="str">
        <f t="shared" si="5"/>
        <v/>
      </c>
      <c r="H32" s="314" t="str">
        <f t="shared" si="6"/>
        <v/>
      </c>
      <c r="I32" s="314" t="str">
        <f t="shared" si="7"/>
        <v/>
      </c>
      <c r="J32" s="314" t="str">
        <f t="shared" si="8"/>
        <v/>
      </c>
      <c r="K32" s="314" t="str">
        <f t="shared" si="9"/>
        <v/>
      </c>
      <c r="L32" s="314" t="str">
        <f t="shared" si="10"/>
        <v/>
      </c>
      <c r="M32" s="314" t="str">
        <f t="shared" si="11"/>
        <v/>
      </c>
      <c r="N32" s="314" t="str">
        <f t="shared" si="12"/>
        <v>N/A - SEL</v>
      </c>
      <c r="O32" s="314" t="str">
        <f t="shared" si="13"/>
        <v/>
      </c>
      <c r="P32" s="314" t="str">
        <f t="shared" si="14"/>
        <v>N/A - SEL</v>
      </c>
      <c r="Q32" s="314" t="str">
        <f t="shared" si="15"/>
        <v/>
      </c>
      <c r="R32" s="314" t="str">
        <f t="shared" si="16"/>
        <v/>
      </c>
      <c r="S32" s="314" t="str">
        <f t="shared" si="17"/>
        <v>N/A - SEL</v>
      </c>
      <c r="T32" s="314" t="str">
        <f t="shared" si="18"/>
        <v/>
      </c>
      <c r="U32" s="314" t="str">
        <f t="shared" si="19"/>
        <v/>
      </c>
      <c r="V32" s="314" t="str">
        <f t="shared" si="20"/>
        <v/>
      </c>
      <c r="W32" s="314" t="str">
        <f t="shared" si="21"/>
        <v>N/A - SEL</v>
      </c>
      <c r="X32" s="314" t="str">
        <f t="shared" si="22"/>
        <v/>
      </c>
      <c r="Y32" s="314" t="str">
        <f t="shared" si="23"/>
        <v/>
      </c>
      <c r="Z32" s="314" t="str">
        <f t="shared" si="24"/>
        <v/>
      </c>
      <c r="AA32" s="314" t="str">
        <f t="shared" si="25"/>
        <v/>
      </c>
      <c r="AB32" s="314" t="str">
        <f t="shared" si="26"/>
        <v/>
      </c>
      <c r="AC32" s="314" t="str">
        <f t="shared" si="27"/>
        <v/>
      </c>
      <c r="AD32" s="314" t="str">
        <f t="shared" si="28"/>
        <v/>
      </c>
      <c r="AE32" s="314" t="str">
        <f t="shared" si="29"/>
        <v/>
      </c>
      <c r="AF32" s="314" t="str">
        <f t="shared" si="30"/>
        <v/>
      </c>
      <c r="AG32" s="314" t="str">
        <f t="shared" si="31"/>
        <v/>
      </c>
    </row>
    <row r="33" spans="1:33" x14ac:dyDescent="0.5">
      <c r="A33" s="87">
        <v>12</v>
      </c>
      <c r="B33" s="314" t="str">
        <f t="shared" si="0"/>
        <v/>
      </c>
      <c r="C33" s="314" t="str">
        <f t="shared" si="1"/>
        <v/>
      </c>
      <c r="D33" s="314" t="str">
        <f t="shared" si="2"/>
        <v/>
      </c>
      <c r="E33" s="314" t="str">
        <f t="shared" si="3"/>
        <v/>
      </c>
      <c r="F33" s="314" t="str">
        <f t="shared" si="4"/>
        <v/>
      </c>
      <c r="G33" s="314" t="str">
        <f t="shared" si="5"/>
        <v/>
      </c>
      <c r="H33" s="314" t="str">
        <f t="shared" si="6"/>
        <v/>
      </c>
      <c r="I33" s="314" t="str">
        <f t="shared" si="7"/>
        <v/>
      </c>
      <c r="J33" s="314" t="str">
        <f t="shared" si="8"/>
        <v/>
      </c>
      <c r="K33" s="314" t="str">
        <f t="shared" si="9"/>
        <v/>
      </c>
      <c r="L33" s="314" t="str">
        <f t="shared" si="10"/>
        <v/>
      </c>
      <c r="M33" s="314" t="str">
        <f t="shared" si="11"/>
        <v/>
      </c>
      <c r="N33" s="314" t="str">
        <f t="shared" si="12"/>
        <v>N/A - SEL</v>
      </c>
      <c r="O33" s="314" t="str">
        <f t="shared" si="13"/>
        <v/>
      </c>
      <c r="P33" s="314" t="str">
        <f t="shared" si="14"/>
        <v>N/A - SEL</v>
      </c>
      <c r="Q33" s="314" t="str">
        <f t="shared" si="15"/>
        <v/>
      </c>
      <c r="R33" s="314" t="str">
        <f t="shared" si="16"/>
        <v/>
      </c>
      <c r="S33" s="314" t="str">
        <f t="shared" si="17"/>
        <v>N/A - SEL</v>
      </c>
      <c r="T33" s="314" t="str">
        <f t="shared" si="18"/>
        <v/>
      </c>
      <c r="U33" s="314" t="str">
        <f t="shared" si="19"/>
        <v/>
      </c>
      <c r="V33" s="314" t="str">
        <f t="shared" si="20"/>
        <v/>
      </c>
      <c r="W33" s="314" t="str">
        <f t="shared" si="21"/>
        <v>N/A - SEL</v>
      </c>
      <c r="X33" s="314" t="str">
        <f t="shared" si="22"/>
        <v/>
      </c>
      <c r="Y33" s="314" t="str">
        <f t="shared" si="23"/>
        <v/>
      </c>
      <c r="Z33" s="314" t="str">
        <f t="shared" si="24"/>
        <v/>
      </c>
      <c r="AA33" s="314" t="str">
        <f t="shared" si="25"/>
        <v/>
      </c>
      <c r="AB33" s="314" t="str">
        <f t="shared" si="26"/>
        <v/>
      </c>
      <c r="AC33" s="314" t="str">
        <f t="shared" si="27"/>
        <v/>
      </c>
      <c r="AD33" s="314" t="str">
        <f t="shared" si="28"/>
        <v/>
      </c>
      <c r="AE33" s="314" t="str">
        <f t="shared" si="29"/>
        <v/>
      </c>
      <c r="AF33" s="314" t="str">
        <f t="shared" si="30"/>
        <v/>
      </c>
      <c r="AG33" s="314" t="str">
        <f t="shared" si="31"/>
        <v/>
      </c>
    </row>
    <row r="34" spans="1:33" x14ac:dyDescent="0.5">
      <c r="A34" s="87">
        <v>13</v>
      </c>
      <c r="B34" s="314" t="str">
        <f t="shared" si="0"/>
        <v/>
      </c>
      <c r="C34" s="314" t="str">
        <f t="shared" si="1"/>
        <v/>
      </c>
      <c r="D34" s="314" t="str">
        <f t="shared" si="2"/>
        <v/>
      </c>
      <c r="E34" s="314" t="str">
        <f t="shared" si="3"/>
        <v/>
      </c>
      <c r="F34" s="314" t="str">
        <f t="shared" si="4"/>
        <v/>
      </c>
      <c r="G34" s="314" t="str">
        <f t="shared" si="5"/>
        <v/>
      </c>
      <c r="H34" s="314" t="str">
        <f t="shared" si="6"/>
        <v/>
      </c>
      <c r="I34" s="314" t="str">
        <f t="shared" si="7"/>
        <v/>
      </c>
      <c r="J34" s="314" t="str">
        <f t="shared" si="8"/>
        <v/>
      </c>
      <c r="K34" s="314" t="str">
        <f t="shared" si="9"/>
        <v/>
      </c>
      <c r="L34" s="314" t="str">
        <f t="shared" si="10"/>
        <v/>
      </c>
      <c r="M34" s="314" t="str">
        <f t="shared" si="11"/>
        <v/>
      </c>
      <c r="N34" s="314" t="str">
        <f t="shared" si="12"/>
        <v>N/A - SEL</v>
      </c>
      <c r="O34" s="314" t="str">
        <f t="shared" si="13"/>
        <v/>
      </c>
      <c r="P34" s="314" t="str">
        <f t="shared" si="14"/>
        <v>N/A - SEL</v>
      </c>
      <c r="Q34" s="314" t="str">
        <f t="shared" si="15"/>
        <v/>
      </c>
      <c r="R34" s="314" t="str">
        <f t="shared" si="16"/>
        <v/>
      </c>
      <c r="S34" s="314" t="str">
        <f t="shared" si="17"/>
        <v>N/A - SEL</v>
      </c>
      <c r="T34" s="314" t="str">
        <f t="shared" si="18"/>
        <v/>
      </c>
      <c r="U34" s="314" t="str">
        <f t="shared" si="19"/>
        <v/>
      </c>
      <c r="V34" s="314" t="str">
        <f t="shared" si="20"/>
        <v/>
      </c>
      <c r="W34" s="314" t="str">
        <f t="shared" si="21"/>
        <v>N/A - SEL</v>
      </c>
      <c r="X34" s="314" t="str">
        <f t="shared" si="22"/>
        <v/>
      </c>
      <c r="Y34" s="314" t="str">
        <f t="shared" si="23"/>
        <v/>
      </c>
      <c r="Z34" s="314" t="str">
        <f t="shared" si="24"/>
        <v/>
      </c>
      <c r="AA34" s="314" t="str">
        <f t="shared" si="25"/>
        <v/>
      </c>
      <c r="AB34" s="314" t="str">
        <f t="shared" si="26"/>
        <v/>
      </c>
      <c r="AC34" s="314" t="str">
        <f t="shared" si="27"/>
        <v/>
      </c>
      <c r="AD34" s="314" t="str">
        <f t="shared" si="28"/>
        <v/>
      </c>
      <c r="AE34" s="314" t="str">
        <f t="shared" si="29"/>
        <v/>
      </c>
      <c r="AF34" s="314" t="str">
        <f t="shared" si="30"/>
        <v/>
      </c>
      <c r="AG34" s="314" t="str">
        <f t="shared" si="31"/>
        <v/>
      </c>
    </row>
    <row r="35" spans="1:33" x14ac:dyDescent="0.5">
      <c r="A35" s="87">
        <v>14</v>
      </c>
      <c r="B35" s="314" t="str">
        <f t="shared" si="0"/>
        <v/>
      </c>
      <c r="C35" s="314" t="str">
        <f t="shared" si="1"/>
        <v/>
      </c>
      <c r="D35" s="314" t="str">
        <f t="shared" si="2"/>
        <v/>
      </c>
      <c r="E35" s="314" t="str">
        <f t="shared" si="3"/>
        <v/>
      </c>
      <c r="F35" s="314" t="str">
        <f t="shared" si="4"/>
        <v/>
      </c>
      <c r="G35" s="314" t="str">
        <f t="shared" si="5"/>
        <v/>
      </c>
      <c r="H35" s="314" t="str">
        <f t="shared" si="6"/>
        <v/>
      </c>
      <c r="I35" s="314" t="str">
        <f t="shared" si="7"/>
        <v/>
      </c>
      <c r="J35" s="314" t="str">
        <f t="shared" si="8"/>
        <v/>
      </c>
      <c r="K35" s="314" t="str">
        <f t="shared" si="9"/>
        <v/>
      </c>
      <c r="L35" s="314" t="str">
        <f t="shared" si="10"/>
        <v/>
      </c>
      <c r="M35" s="314" t="str">
        <f t="shared" si="11"/>
        <v/>
      </c>
      <c r="N35" s="314" t="str">
        <f t="shared" si="12"/>
        <v>N/A - SEL</v>
      </c>
      <c r="O35" s="314" t="str">
        <f t="shared" si="13"/>
        <v/>
      </c>
      <c r="P35" s="314" t="str">
        <f t="shared" si="14"/>
        <v>N/A - SEL</v>
      </c>
      <c r="Q35" s="314" t="str">
        <f t="shared" si="15"/>
        <v/>
      </c>
      <c r="R35" s="314" t="str">
        <f t="shared" si="16"/>
        <v/>
      </c>
      <c r="S35" s="314" t="str">
        <f t="shared" si="17"/>
        <v>N/A - SEL</v>
      </c>
      <c r="T35" s="314" t="str">
        <f t="shared" si="18"/>
        <v/>
      </c>
      <c r="U35" s="314" t="str">
        <f t="shared" si="19"/>
        <v/>
      </c>
      <c r="V35" s="314" t="str">
        <f t="shared" si="20"/>
        <v/>
      </c>
      <c r="W35" s="314" t="str">
        <f t="shared" si="21"/>
        <v>N/A - SEL</v>
      </c>
      <c r="X35" s="314" t="str">
        <f t="shared" si="22"/>
        <v/>
      </c>
      <c r="Y35" s="314" t="str">
        <f t="shared" si="23"/>
        <v/>
      </c>
      <c r="Z35" s="314" t="str">
        <f t="shared" si="24"/>
        <v/>
      </c>
      <c r="AA35" s="314" t="str">
        <f t="shared" si="25"/>
        <v/>
      </c>
      <c r="AB35" s="314" t="str">
        <f t="shared" si="26"/>
        <v/>
      </c>
      <c r="AC35" s="314" t="str">
        <f t="shared" si="27"/>
        <v/>
      </c>
      <c r="AD35" s="314" t="str">
        <f t="shared" si="28"/>
        <v/>
      </c>
      <c r="AE35" s="314" t="str">
        <f t="shared" si="29"/>
        <v/>
      </c>
      <c r="AF35" s="314" t="str">
        <f t="shared" si="30"/>
        <v/>
      </c>
      <c r="AG35" s="314" t="str">
        <f t="shared" si="31"/>
        <v/>
      </c>
    </row>
    <row r="36" spans="1:33" x14ac:dyDescent="0.5">
      <c r="A36" s="87">
        <v>15</v>
      </c>
      <c r="B36" s="314" t="str">
        <f t="shared" si="0"/>
        <v/>
      </c>
      <c r="C36" s="314" t="str">
        <f t="shared" si="1"/>
        <v/>
      </c>
      <c r="D36" s="314" t="str">
        <f t="shared" si="2"/>
        <v/>
      </c>
      <c r="E36" s="314" t="str">
        <f t="shared" si="3"/>
        <v/>
      </c>
      <c r="F36" s="314" t="str">
        <f t="shared" si="4"/>
        <v/>
      </c>
      <c r="G36" s="314" t="str">
        <f t="shared" si="5"/>
        <v/>
      </c>
      <c r="H36" s="314" t="str">
        <f t="shared" si="6"/>
        <v/>
      </c>
      <c r="I36" s="314" t="str">
        <f t="shared" si="7"/>
        <v/>
      </c>
      <c r="J36" s="314" t="str">
        <f t="shared" si="8"/>
        <v/>
      </c>
      <c r="K36" s="314" t="str">
        <f t="shared" si="9"/>
        <v/>
      </c>
      <c r="L36" s="314" t="str">
        <f t="shared" si="10"/>
        <v/>
      </c>
      <c r="M36" s="314" t="str">
        <f t="shared" si="11"/>
        <v/>
      </c>
      <c r="N36" s="314" t="str">
        <f t="shared" si="12"/>
        <v>N/A - SEL</v>
      </c>
      <c r="O36" s="314" t="str">
        <f t="shared" si="13"/>
        <v/>
      </c>
      <c r="P36" s="314" t="str">
        <f t="shared" si="14"/>
        <v>N/A - SEL</v>
      </c>
      <c r="Q36" s="314" t="str">
        <f t="shared" si="15"/>
        <v/>
      </c>
      <c r="R36" s="314" t="str">
        <f t="shared" si="16"/>
        <v/>
      </c>
      <c r="S36" s="314" t="str">
        <f t="shared" si="17"/>
        <v>N/A - SEL</v>
      </c>
      <c r="T36" s="314" t="str">
        <f t="shared" si="18"/>
        <v/>
      </c>
      <c r="U36" s="314" t="str">
        <f t="shared" si="19"/>
        <v/>
      </c>
      <c r="V36" s="314" t="str">
        <f t="shared" si="20"/>
        <v/>
      </c>
      <c r="W36" s="314" t="str">
        <f t="shared" si="21"/>
        <v>N/A - SEL</v>
      </c>
      <c r="X36" s="314" t="str">
        <f t="shared" si="22"/>
        <v/>
      </c>
      <c r="Y36" s="314" t="str">
        <f t="shared" si="23"/>
        <v/>
      </c>
      <c r="Z36" s="314" t="str">
        <f t="shared" si="24"/>
        <v/>
      </c>
      <c r="AA36" s="314" t="str">
        <f t="shared" si="25"/>
        <v/>
      </c>
      <c r="AB36" s="314" t="str">
        <f t="shared" si="26"/>
        <v/>
      </c>
      <c r="AC36" s="314" t="str">
        <f t="shared" si="27"/>
        <v/>
      </c>
      <c r="AD36" s="314" t="str">
        <f t="shared" si="28"/>
        <v/>
      </c>
      <c r="AE36" s="314" t="str">
        <f t="shared" si="29"/>
        <v/>
      </c>
      <c r="AF36" s="314" t="str">
        <f t="shared" si="30"/>
        <v/>
      </c>
      <c r="AG36" s="314" t="str">
        <f t="shared" si="31"/>
        <v/>
      </c>
    </row>
    <row r="37" spans="1:33" x14ac:dyDescent="0.5">
      <c r="A37" s="87">
        <v>16</v>
      </c>
      <c r="B37" s="314" t="str">
        <f t="shared" si="0"/>
        <v/>
      </c>
      <c r="C37" s="314" t="str">
        <f t="shared" si="1"/>
        <v/>
      </c>
      <c r="D37" s="314" t="str">
        <f t="shared" si="2"/>
        <v/>
      </c>
      <c r="E37" s="314" t="str">
        <f t="shared" si="3"/>
        <v/>
      </c>
      <c r="F37" s="314" t="str">
        <f t="shared" si="4"/>
        <v/>
      </c>
      <c r="G37" s="314" t="str">
        <f t="shared" si="5"/>
        <v/>
      </c>
      <c r="H37" s="314" t="str">
        <f t="shared" si="6"/>
        <v/>
      </c>
      <c r="I37" s="314" t="str">
        <f t="shared" si="7"/>
        <v/>
      </c>
      <c r="J37" s="314" t="str">
        <f t="shared" si="8"/>
        <v/>
      </c>
      <c r="K37" s="314" t="str">
        <f t="shared" si="9"/>
        <v/>
      </c>
      <c r="L37" s="314" t="str">
        <f t="shared" si="10"/>
        <v/>
      </c>
      <c r="M37" s="314" t="str">
        <f t="shared" si="11"/>
        <v/>
      </c>
      <c r="N37" s="314" t="str">
        <f t="shared" si="12"/>
        <v>N/A - SEL</v>
      </c>
      <c r="O37" s="314" t="str">
        <f t="shared" si="13"/>
        <v/>
      </c>
      <c r="P37" s="314" t="str">
        <f t="shared" si="14"/>
        <v>N/A - SEL</v>
      </c>
      <c r="Q37" s="314" t="str">
        <f t="shared" si="15"/>
        <v/>
      </c>
      <c r="R37" s="314" t="str">
        <f t="shared" si="16"/>
        <v/>
      </c>
      <c r="S37" s="314" t="str">
        <f t="shared" si="17"/>
        <v>N/A - SEL</v>
      </c>
      <c r="T37" s="314" t="str">
        <f t="shared" si="18"/>
        <v/>
      </c>
      <c r="U37" s="314" t="str">
        <f t="shared" si="19"/>
        <v/>
      </c>
      <c r="V37" s="314" t="str">
        <f t="shared" si="20"/>
        <v/>
      </c>
      <c r="W37" s="314" t="str">
        <f t="shared" si="21"/>
        <v>N/A - SEL</v>
      </c>
      <c r="X37" s="314" t="str">
        <f t="shared" si="22"/>
        <v/>
      </c>
      <c r="Y37" s="314" t="str">
        <f t="shared" si="23"/>
        <v/>
      </c>
      <c r="Z37" s="314" t="str">
        <f t="shared" si="24"/>
        <v/>
      </c>
      <c r="AA37" s="314" t="str">
        <f t="shared" si="25"/>
        <v/>
      </c>
      <c r="AB37" s="314" t="str">
        <f t="shared" si="26"/>
        <v/>
      </c>
      <c r="AC37" s="314" t="str">
        <f t="shared" si="27"/>
        <v/>
      </c>
      <c r="AD37" s="314" t="str">
        <f t="shared" si="28"/>
        <v/>
      </c>
      <c r="AE37" s="314" t="str">
        <f t="shared" si="29"/>
        <v/>
      </c>
      <c r="AF37" s="314" t="str">
        <f t="shared" si="30"/>
        <v/>
      </c>
      <c r="AG37" s="314" t="str">
        <f t="shared" si="31"/>
        <v/>
      </c>
    </row>
    <row r="38" spans="1:33" x14ac:dyDescent="0.5">
      <c r="A38" s="87">
        <v>17</v>
      </c>
      <c r="B38" s="314" t="str">
        <f t="shared" si="0"/>
        <v/>
      </c>
      <c r="C38" s="314" t="str">
        <f t="shared" si="1"/>
        <v/>
      </c>
      <c r="D38" s="314" t="str">
        <f t="shared" si="2"/>
        <v/>
      </c>
      <c r="E38" s="314" t="str">
        <f t="shared" si="3"/>
        <v/>
      </c>
      <c r="F38" s="314" t="str">
        <f t="shared" si="4"/>
        <v/>
      </c>
      <c r="G38" s="314" t="str">
        <f t="shared" si="5"/>
        <v/>
      </c>
      <c r="H38" s="314" t="str">
        <f t="shared" si="6"/>
        <v/>
      </c>
      <c r="I38" s="314" t="str">
        <f t="shared" si="7"/>
        <v/>
      </c>
      <c r="J38" s="314" t="str">
        <f t="shared" si="8"/>
        <v/>
      </c>
      <c r="K38" s="314" t="str">
        <f t="shared" si="9"/>
        <v/>
      </c>
      <c r="L38" s="314" t="str">
        <f t="shared" si="10"/>
        <v/>
      </c>
      <c r="M38" s="314" t="str">
        <f t="shared" si="11"/>
        <v/>
      </c>
      <c r="N38" s="314" t="str">
        <f t="shared" si="12"/>
        <v>N/A - SEL</v>
      </c>
      <c r="O38" s="314" t="str">
        <f t="shared" si="13"/>
        <v/>
      </c>
      <c r="P38" s="314" t="str">
        <f t="shared" si="14"/>
        <v>N/A - SEL</v>
      </c>
      <c r="Q38" s="314" t="str">
        <f t="shared" si="15"/>
        <v/>
      </c>
      <c r="R38" s="314" t="str">
        <f t="shared" si="16"/>
        <v/>
      </c>
      <c r="S38" s="314" t="str">
        <f t="shared" si="17"/>
        <v>N/A - SEL</v>
      </c>
      <c r="T38" s="314" t="str">
        <f t="shared" si="18"/>
        <v/>
      </c>
      <c r="U38" s="314" t="str">
        <f t="shared" si="19"/>
        <v/>
      </c>
      <c r="V38" s="314" t="str">
        <f t="shared" si="20"/>
        <v/>
      </c>
      <c r="W38" s="314" t="str">
        <f t="shared" si="21"/>
        <v>N/A - SEL</v>
      </c>
      <c r="X38" s="314" t="str">
        <f t="shared" si="22"/>
        <v/>
      </c>
      <c r="Y38" s="314" t="str">
        <f t="shared" si="23"/>
        <v/>
      </c>
      <c r="Z38" s="314" t="str">
        <f t="shared" si="24"/>
        <v/>
      </c>
      <c r="AA38" s="314" t="str">
        <f t="shared" si="25"/>
        <v/>
      </c>
      <c r="AB38" s="314" t="str">
        <f t="shared" si="26"/>
        <v/>
      </c>
      <c r="AC38" s="314" t="str">
        <f t="shared" si="27"/>
        <v/>
      </c>
      <c r="AD38" s="314" t="str">
        <f t="shared" si="28"/>
        <v/>
      </c>
      <c r="AE38" s="314" t="str">
        <f t="shared" si="29"/>
        <v/>
      </c>
      <c r="AF38" s="314" t="str">
        <f t="shared" si="30"/>
        <v/>
      </c>
      <c r="AG38" s="314" t="str">
        <f t="shared" si="31"/>
        <v/>
      </c>
    </row>
    <row r="39" spans="1:33" x14ac:dyDescent="0.5">
      <c r="A39" s="87">
        <v>18</v>
      </c>
      <c r="B39" s="314" t="str">
        <f t="shared" si="0"/>
        <v/>
      </c>
      <c r="C39" s="314" t="str">
        <f t="shared" si="1"/>
        <v/>
      </c>
      <c r="D39" s="314" t="str">
        <f t="shared" si="2"/>
        <v/>
      </c>
      <c r="E39" s="314" t="str">
        <f t="shared" si="3"/>
        <v/>
      </c>
      <c r="F39" s="314" t="str">
        <f t="shared" si="4"/>
        <v/>
      </c>
      <c r="G39" s="314" t="str">
        <f t="shared" si="5"/>
        <v/>
      </c>
      <c r="H39" s="314" t="str">
        <f t="shared" si="6"/>
        <v/>
      </c>
      <c r="I39" s="314" t="str">
        <f t="shared" si="7"/>
        <v/>
      </c>
      <c r="J39" s="314" t="str">
        <f t="shared" si="8"/>
        <v/>
      </c>
      <c r="K39" s="314" t="str">
        <f t="shared" si="9"/>
        <v/>
      </c>
      <c r="L39" s="314" t="str">
        <f t="shared" si="10"/>
        <v/>
      </c>
      <c r="M39" s="314" t="str">
        <f t="shared" si="11"/>
        <v/>
      </c>
      <c r="N39" s="314" t="str">
        <f t="shared" si="12"/>
        <v>N/A - SEL</v>
      </c>
      <c r="O39" s="314" t="str">
        <f t="shared" si="13"/>
        <v/>
      </c>
      <c r="P39" s="314" t="str">
        <f t="shared" si="14"/>
        <v>N/A - SEL</v>
      </c>
      <c r="Q39" s="314" t="str">
        <f t="shared" si="15"/>
        <v/>
      </c>
      <c r="R39" s="314" t="str">
        <f t="shared" si="16"/>
        <v/>
      </c>
      <c r="S39" s="314" t="str">
        <f t="shared" si="17"/>
        <v>N/A - SEL</v>
      </c>
      <c r="T39" s="314" t="str">
        <f t="shared" si="18"/>
        <v/>
      </c>
      <c r="U39" s="314" t="str">
        <f t="shared" si="19"/>
        <v/>
      </c>
      <c r="V39" s="314" t="str">
        <f t="shared" si="20"/>
        <v/>
      </c>
      <c r="W39" s="314" t="str">
        <f t="shared" si="21"/>
        <v>N/A - SEL</v>
      </c>
      <c r="X39" s="314" t="str">
        <f t="shared" si="22"/>
        <v/>
      </c>
      <c r="Y39" s="314" t="str">
        <f t="shared" si="23"/>
        <v/>
      </c>
      <c r="Z39" s="314" t="str">
        <f t="shared" si="24"/>
        <v/>
      </c>
      <c r="AA39" s="314" t="str">
        <f t="shared" si="25"/>
        <v/>
      </c>
      <c r="AB39" s="314" t="str">
        <f t="shared" si="26"/>
        <v/>
      </c>
      <c r="AC39" s="314" t="str">
        <f t="shared" si="27"/>
        <v/>
      </c>
      <c r="AD39" s="314" t="str">
        <f t="shared" si="28"/>
        <v/>
      </c>
      <c r="AE39" s="314" t="str">
        <f t="shared" si="29"/>
        <v/>
      </c>
      <c r="AF39" s="314" t="str">
        <f t="shared" si="30"/>
        <v/>
      </c>
      <c r="AG39" s="314" t="str">
        <f t="shared" si="31"/>
        <v/>
      </c>
    </row>
    <row r="40" spans="1:33" x14ac:dyDescent="0.5">
      <c r="A40" s="87">
        <v>19</v>
      </c>
      <c r="B40" s="314" t="str">
        <f t="shared" si="0"/>
        <v/>
      </c>
      <c r="C40" s="314" t="str">
        <f t="shared" si="1"/>
        <v/>
      </c>
      <c r="D40" s="314" t="str">
        <f t="shared" si="2"/>
        <v/>
      </c>
      <c r="E40" s="314" t="str">
        <f t="shared" si="3"/>
        <v/>
      </c>
      <c r="F40" s="314" t="str">
        <f t="shared" si="4"/>
        <v/>
      </c>
      <c r="G40" s="314" t="str">
        <f t="shared" si="5"/>
        <v/>
      </c>
      <c r="H40" s="314" t="str">
        <f t="shared" si="6"/>
        <v/>
      </c>
      <c r="I40" s="314" t="str">
        <f t="shared" si="7"/>
        <v/>
      </c>
      <c r="J40" s="314" t="str">
        <f t="shared" si="8"/>
        <v/>
      </c>
      <c r="K40" s="314" t="str">
        <f t="shared" si="9"/>
        <v/>
      </c>
      <c r="L40" s="314" t="str">
        <f t="shared" si="10"/>
        <v/>
      </c>
      <c r="M40" s="314" t="str">
        <f t="shared" si="11"/>
        <v/>
      </c>
      <c r="N40" s="314" t="str">
        <f t="shared" si="12"/>
        <v>N/A - SEL</v>
      </c>
      <c r="O40" s="314" t="str">
        <f t="shared" si="13"/>
        <v/>
      </c>
      <c r="P40" s="314" t="str">
        <f t="shared" si="14"/>
        <v>N/A - SEL</v>
      </c>
      <c r="Q40" s="314" t="str">
        <f t="shared" si="15"/>
        <v/>
      </c>
      <c r="R40" s="314" t="str">
        <f t="shared" si="16"/>
        <v/>
      </c>
      <c r="S40" s="314" t="str">
        <f t="shared" si="17"/>
        <v>N/A - SEL</v>
      </c>
      <c r="T40" s="314" t="str">
        <f t="shared" si="18"/>
        <v/>
      </c>
      <c r="U40" s="314" t="str">
        <f t="shared" si="19"/>
        <v/>
      </c>
      <c r="V40" s="314" t="str">
        <f t="shared" si="20"/>
        <v/>
      </c>
      <c r="W40" s="314" t="str">
        <f t="shared" si="21"/>
        <v>N/A - SEL</v>
      </c>
      <c r="X40" s="314" t="str">
        <f t="shared" si="22"/>
        <v/>
      </c>
      <c r="Y40" s="314" t="str">
        <f t="shared" si="23"/>
        <v/>
      </c>
      <c r="Z40" s="314" t="str">
        <f t="shared" si="24"/>
        <v/>
      </c>
      <c r="AA40" s="314" t="str">
        <f t="shared" si="25"/>
        <v/>
      </c>
      <c r="AB40" s="314" t="str">
        <f t="shared" si="26"/>
        <v/>
      </c>
      <c r="AC40" s="314" t="str">
        <f t="shared" si="27"/>
        <v/>
      </c>
      <c r="AD40" s="314" t="str">
        <f t="shared" si="28"/>
        <v/>
      </c>
      <c r="AE40" s="314" t="str">
        <f t="shared" si="29"/>
        <v/>
      </c>
      <c r="AF40" s="314" t="str">
        <f t="shared" si="30"/>
        <v/>
      </c>
      <c r="AG40" s="314" t="str">
        <f t="shared" si="31"/>
        <v/>
      </c>
    </row>
    <row r="41" spans="1:33" x14ac:dyDescent="0.5">
      <c r="A41" s="87">
        <v>20</v>
      </c>
      <c r="B41" s="314" t="str">
        <f t="shared" si="0"/>
        <v/>
      </c>
      <c r="C41" s="314" t="str">
        <f t="shared" si="1"/>
        <v/>
      </c>
      <c r="D41" s="314" t="str">
        <f t="shared" si="2"/>
        <v/>
      </c>
      <c r="E41" s="314" t="str">
        <f t="shared" si="3"/>
        <v/>
      </c>
      <c r="F41" s="314" t="str">
        <f t="shared" si="4"/>
        <v/>
      </c>
      <c r="G41" s="314" t="str">
        <f t="shared" si="5"/>
        <v/>
      </c>
      <c r="H41" s="314" t="str">
        <f t="shared" si="6"/>
        <v/>
      </c>
      <c r="I41" s="314" t="str">
        <f t="shared" si="7"/>
        <v/>
      </c>
      <c r="J41" s="314" t="str">
        <f t="shared" si="8"/>
        <v/>
      </c>
      <c r="K41" s="314" t="str">
        <f t="shared" si="9"/>
        <v/>
      </c>
      <c r="L41" s="314" t="str">
        <f t="shared" si="10"/>
        <v/>
      </c>
      <c r="M41" s="314" t="str">
        <f t="shared" si="11"/>
        <v/>
      </c>
      <c r="N41" s="314" t="str">
        <f t="shared" si="12"/>
        <v>N/A - SEL</v>
      </c>
      <c r="O41" s="314" t="str">
        <f t="shared" si="13"/>
        <v/>
      </c>
      <c r="P41" s="314" t="str">
        <f t="shared" si="14"/>
        <v>N/A - SEL</v>
      </c>
      <c r="Q41" s="314" t="str">
        <f t="shared" si="15"/>
        <v/>
      </c>
      <c r="R41" s="314" t="str">
        <f t="shared" si="16"/>
        <v/>
      </c>
      <c r="S41" s="314" t="str">
        <f t="shared" si="17"/>
        <v>N/A - SEL</v>
      </c>
      <c r="T41" s="314" t="str">
        <f t="shared" si="18"/>
        <v/>
      </c>
      <c r="U41" s="314" t="str">
        <f t="shared" si="19"/>
        <v/>
      </c>
      <c r="V41" s="314" t="str">
        <f t="shared" si="20"/>
        <v/>
      </c>
      <c r="W41" s="314" t="str">
        <f t="shared" si="21"/>
        <v>N/A - SEL</v>
      </c>
      <c r="X41" s="314" t="str">
        <f t="shared" si="22"/>
        <v/>
      </c>
      <c r="Y41" s="314" t="str">
        <f t="shared" si="23"/>
        <v/>
      </c>
      <c r="Z41" s="314" t="str">
        <f t="shared" si="24"/>
        <v/>
      </c>
      <c r="AA41" s="314" t="str">
        <f t="shared" si="25"/>
        <v/>
      </c>
      <c r="AB41" s="314" t="str">
        <f t="shared" si="26"/>
        <v/>
      </c>
      <c r="AC41" s="314" t="str">
        <f t="shared" si="27"/>
        <v/>
      </c>
      <c r="AD41" s="314" t="str">
        <f t="shared" si="28"/>
        <v/>
      </c>
      <c r="AE41" s="314" t="str">
        <f t="shared" si="29"/>
        <v/>
      </c>
      <c r="AF41" s="314" t="str">
        <f t="shared" si="30"/>
        <v/>
      </c>
      <c r="AG41" s="314" t="str">
        <f t="shared" si="31"/>
        <v/>
      </c>
    </row>
    <row r="42" spans="1:33" x14ac:dyDescent="0.5">
      <c r="A42" s="88" t="s">
        <v>203</v>
      </c>
      <c r="B42" s="315">
        <f t="shared" ref="B42:AG42" si="32">SUM(B22:B41)</f>
        <v>0</v>
      </c>
      <c r="C42" s="315">
        <f t="shared" si="32"/>
        <v>0</v>
      </c>
      <c r="D42" s="315">
        <f t="shared" si="32"/>
        <v>0</v>
      </c>
      <c r="E42" s="315">
        <f t="shared" si="32"/>
        <v>0</v>
      </c>
      <c r="F42" s="315">
        <f t="shared" si="32"/>
        <v>0</v>
      </c>
      <c r="G42" s="315">
        <f t="shared" si="32"/>
        <v>0</v>
      </c>
      <c r="H42" s="315">
        <f t="shared" si="32"/>
        <v>0</v>
      </c>
      <c r="I42" s="315">
        <f t="shared" si="32"/>
        <v>0</v>
      </c>
      <c r="J42" s="315">
        <f t="shared" si="32"/>
        <v>0</v>
      </c>
      <c r="K42" s="315">
        <f t="shared" si="32"/>
        <v>0</v>
      </c>
      <c r="L42" s="315">
        <f t="shared" si="32"/>
        <v>0</v>
      </c>
      <c r="M42" s="315">
        <f t="shared" si="32"/>
        <v>0</v>
      </c>
      <c r="N42" s="315">
        <f t="shared" si="32"/>
        <v>0</v>
      </c>
      <c r="O42" s="315">
        <f t="shared" si="32"/>
        <v>0</v>
      </c>
      <c r="P42" s="315">
        <f t="shared" si="32"/>
        <v>0</v>
      </c>
      <c r="Q42" s="315">
        <f t="shared" si="32"/>
        <v>0</v>
      </c>
      <c r="R42" s="315">
        <f t="shared" si="32"/>
        <v>0</v>
      </c>
      <c r="S42" s="315">
        <f t="shared" si="32"/>
        <v>0</v>
      </c>
      <c r="T42" s="315">
        <f t="shared" si="32"/>
        <v>0</v>
      </c>
      <c r="U42" s="315">
        <f t="shared" si="32"/>
        <v>0</v>
      </c>
      <c r="V42" s="315">
        <f t="shared" si="32"/>
        <v>0</v>
      </c>
      <c r="W42" s="315">
        <f t="shared" si="32"/>
        <v>0</v>
      </c>
      <c r="X42" s="315">
        <f t="shared" si="32"/>
        <v>0</v>
      </c>
      <c r="Y42" s="315">
        <f t="shared" si="32"/>
        <v>0</v>
      </c>
      <c r="Z42" s="315">
        <f t="shared" si="32"/>
        <v>0</v>
      </c>
      <c r="AA42" s="315">
        <f t="shared" si="32"/>
        <v>0</v>
      </c>
      <c r="AB42" s="315">
        <f t="shared" si="32"/>
        <v>0</v>
      </c>
      <c r="AC42" s="315">
        <f t="shared" si="32"/>
        <v>0</v>
      </c>
      <c r="AD42" s="315">
        <f t="shared" si="32"/>
        <v>0</v>
      </c>
      <c r="AE42" s="315">
        <f t="shared" si="32"/>
        <v>0</v>
      </c>
      <c r="AF42" s="315">
        <f t="shared" si="32"/>
        <v>0</v>
      </c>
      <c r="AG42" s="378">
        <f t="shared" si="32"/>
        <v>0</v>
      </c>
    </row>
    <row r="44" spans="1:33" ht="24.9" x14ac:dyDescent="0.55000000000000004">
      <c r="A44" s="85" t="s">
        <v>374</v>
      </c>
      <c r="B44" s="78"/>
      <c r="C44" s="78"/>
      <c r="D44" s="78"/>
    </row>
    <row r="45" spans="1:33" ht="57.6" x14ac:dyDescent="0.5">
      <c r="A45" s="86" t="s">
        <v>202</v>
      </c>
      <c r="B45" s="309" t="str" cm="1">
        <f t="array" ref="B45:AG45">TRANSPOSE('System Specification'!$C$15:$C$46)</f>
        <v>Fremont Hall of Justice</v>
      </c>
      <c r="C45" s="309" t="str">
        <v>Amador Superior Court</v>
      </c>
      <c r="D45" s="309" t="str">
        <v>North Butte County Courthouse</v>
      </c>
      <c r="E45" s="309" t="str">
        <v>Bray Courts</v>
      </c>
      <c r="F45" s="309" t="str">
        <v>Richard E. Arnason Justice Center</v>
      </c>
      <c r="G45" s="309" t="str">
        <v>Walnut Creek Courthouse</v>
      </c>
      <c r="H45" s="309" t="str">
        <v>B. F. Sisk Courthouse</v>
      </c>
      <c r="I45" s="309" t="str">
        <v>Imperial County Courthouse</v>
      </c>
      <c r="J45" s="309" t="str">
        <v>Delano/North Kern Court</v>
      </c>
      <c r="K45" s="309" t="str">
        <v>Kings Superior Court</v>
      </c>
      <c r="L45" s="309" t="str">
        <v>Whittier Courthouse</v>
      </c>
      <c r="M45" s="309" t="str">
        <v>Santa Monica Courthouse</v>
      </c>
      <c r="N45" s="309" t="str">
        <v>Van Nuys Courthouse East</v>
      </c>
      <c r="O45" s="309" t="str">
        <v>Torrance Courthouse</v>
      </c>
      <c r="P45" s="309" t="str">
        <v>Glendale Courthouse</v>
      </c>
      <c r="Q45" s="309" t="str">
        <v>Monrovia Training Center</v>
      </c>
      <c r="R45" s="309" t="str">
        <v>Edmund D. Edelman Children's Court</v>
      </c>
      <c r="S45" s="309" t="str">
        <v>Hollywood Courthouse</v>
      </c>
      <c r="T45" s="309" t="str">
        <v>Pomona Courthouse South</v>
      </c>
      <c r="U45" s="309" t="str">
        <v>The Robert M. Falasco Justice Center</v>
      </c>
      <c r="V45" s="309" t="str">
        <v>Mammoth Lakes Courthouse</v>
      </c>
      <c r="W45" s="309" t="str">
        <v>Banning Justice Center</v>
      </c>
      <c r="X45" s="309" t="str">
        <v>San Benito County Superior Court</v>
      </c>
      <c r="Y45" s="309" t="str">
        <v>San Bernardino Justice Center</v>
      </c>
      <c r="Z45" s="309" t="str">
        <v>Kearny Mesa Court</v>
      </c>
      <c r="AA45" s="309" t="str">
        <v>East County Regional Center</v>
      </c>
      <c r="AB45" s="309" t="str">
        <v>Northern Branch Courthouse</v>
      </c>
      <c r="AC45" s="309" t="str">
        <v>Downtown Superior Court</v>
      </c>
      <c r="AD45" s="309" t="str">
        <v>Sutter County Superior Courthouse</v>
      </c>
      <c r="AE45" s="309" t="str">
        <v>Tehama County Courthouse</v>
      </c>
      <c r="AF45" s="309" t="str">
        <v>South County Justice Center</v>
      </c>
      <c r="AG45" s="309" t="str">
        <v>Yolo Superior Court</v>
      </c>
    </row>
    <row r="46" spans="1:33" x14ac:dyDescent="0.5">
      <c r="A46" s="87">
        <v>1</v>
      </c>
      <c r="B46" s="313" t="str" cm="1">
        <f t="array" ref="B46:AG46">TRANSPOSE(IF('System Specification'!M$15:M$46&gt;0,ROUND('System Specification'!M$15:M$46*$K$11,0),""))</f>
        <v/>
      </c>
      <c r="C46" s="313" t="str">
        <v/>
      </c>
      <c r="D46" s="313" t="str">
        <v/>
      </c>
      <c r="E46" s="313" t="str">
        <v/>
      </c>
      <c r="F46" s="313" t="str">
        <v/>
      </c>
      <c r="G46" s="313" t="str">
        <v/>
      </c>
      <c r="H46" s="313" t="str">
        <v/>
      </c>
      <c r="I46" s="313" t="str">
        <v/>
      </c>
      <c r="J46" s="313" t="str">
        <v/>
      </c>
      <c r="K46" s="313" t="str">
        <v/>
      </c>
      <c r="L46" s="313" t="str">
        <v/>
      </c>
      <c r="M46" s="313" t="str">
        <v/>
      </c>
      <c r="N46" s="313" t="str">
        <v/>
      </c>
      <c r="O46" s="313" t="str">
        <v/>
      </c>
      <c r="P46" s="313" t="str">
        <v/>
      </c>
      <c r="Q46" s="313" t="str">
        <v/>
      </c>
      <c r="R46" s="313" t="str">
        <v/>
      </c>
      <c r="S46" s="313" t="str">
        <v/>
      </c>
      <c r="T46" s="313" t="str">
        <v/>
      </c>
      <c r="U46" s="313" t="str">
        <v/>
      </c>
      <c r="V46" s="313" t="str">
        <v/>
      </c>
      <c r="W46" s="313" t="str">
        <v/>
      </c>
      <c r="X46" s="313" t="str">
        <v/>
      </c>
      <c r="Y46" s="313" t="str">
        <v/>
      </c>
      <c r="Z46" s="313" t="str">
        <v/>
      </c>
      <c r="AA46" s="313" t="str">
        <v/>
      </c>
      <c r="AB46" s="313" t="str">
        <v/>
      </c>
      <c r="AC46" s="313" t="str">
        <v/>
      </c>
      <c r="AD46" s="313" t="str">
        <v/>
      </c>
      <c r="AE46" s="313" t="str">
        <v/>
      </c>
      <c r="AF46" s="313" t="str">
        <v/>
      </c>
      <c r="AG46" s="313" t="str">
        <v/>
      </c>
    </row>
    <row r="47" spans="1:33" x14ac:dyDescent="0.5">
      <c r="A47" s="87">
        <v>2</v>
      </c>
      <c r="B47" s="314" t="str">
        <f>IF(OR(B46="",$A47&gt;B$21),"",ROUND(B46*(1-$K$10),0))</f>
        <v/>
      </c>
      <c r="C47" s="314" t="str">
        <f t="shared" ref="C47:AG55" si="33">IF(OR(C46="",$A47&gt;C$21),"",ROUND(C46*(1-$K$10),0))</f>
        <v/>
      </c>
      <c r="D47" s="314" t="str">
        <f t="shared" si="33"/>
        <v/>
      </c>
      <c r="E47" s="314" t="str">
        <f t="shared" si="33"/>
        <v/>
      </c>
      <c r="F47" s="314" t="str">
        <f t="shared" si="33"/>
        <v/>
      </c>
      <c r="G47" s="314" t="str">
        <f t="shared" si="33"/>
        <v/>
      </c>
      <c r="H47" s="314" t="str">
        <f t="shared" si="33"/>
        <v/>
      </c>
      <c r="I47" s="314" t="str">
        <f t="shared" si="33"/>
        <v/>
      </c>
      <c r="J47" s="314" t="str">
        <f t="shared" si="33"/>
        <v/>
      </c>
      <c r="K47" s="314" t="str">
        <f t="shared" si="33"/>
        <v/>
      </c>
      <c r="L47" s="314" t="str">
        <f t="shared" si="33"/>
        <v/>
      </c>
      <c r="M47" s="314" t="str">
        <f t="shared" si="33"/>
        <v/>
      </c>
      <c r="N47" s="314" t="str">
        <f t="shared" si="33"/>
        <v/>
      </c>
      <c r="O47" s="314" t="str">
        <f t="shared" si="33"/>
        <v/>
      </c>
      <c r="P47" s="314" t="str">
        <f t="shared" si="33"/>
        <v/>
      </c>
      <c r="Q47" s="314" t="str">
        <f t="shared" si="33"/>
        <v/>
      </c>
      <c r="R47" s="314" t="str">
        <f t="shared" si="33"/>
        <v/>
      </c>
      <c r="S47" s="314" t="str">
        <f t="shared" si="33"/>
        <v/>
      </c>
      <c r="T47" s="314" t="str">
        <f t="shared" si="33"/>
        <v/>
      </c>
      <c r="U47" s="314" t="str">
        <f t="shared" si="33"/>
        <v/>
      </c>
      <c r="V47" s="314" t="str">
        <f t="shared" si="33"/>
        <v/>
      </c>
      <c r="W47" s="314" t="str">
        <f t="shared" si="33"/>
        <v/>
      </c>
      <c r="X47" s="314" t="str">
        <f t="shared" si="33"/>
        <v/>
      </c>
      <c r="Y47" s="314" t="str">
        <f t="shared" si="33"/>
        <v/>
      </c>
      <c r="Z47" s="314" t="str">
        <f t="shared" si="33"/>
        <v/>
      </c>
      <c r="AA47" s="314" t="str">
        <f t="shared" si="33"/>
        <v/>
      </c>
      <c r="AB47" s="314" t="str">
        <f t="shared" si="33"/>
        <v/>
      </c>
      <c r="AC47" s="314" t="str">
        <f t="shared" si="33"/>
        <v/>
      </c>
      <c r="AD47" s="314" t="str">
        <f t="shared" si="33"/>
        <v/>
      </c>
      <c r="AE47" s="314" t="str">
        <f t="shared" si="33"/>
        <v/>
      </c>
      <c r="AF47" s="314" t="str">
        <f t="shared" si="33"/>
        <v/>
      </c>
      <c r="AG47" s="314" t="str">
        <f t="shared" si="33"/>
        <v/>
      </c>
    </row>
    <row r="48" spans="1:33" x14ac:dyDescent="0.5">
      <c r="A48" s="87">
        <v>3</v>
      </c>
      <c r="B48" s="314" t="str">
        <f t="shared" ref="B48:B65" si="34">IF(OR(B47="",$A48&gt;B$21),"",ROUND(B47*(1-$K$10),0))</f>
        <v/>
      </c>
      <c r="C48" s="314" t="str">
        <f t="shared" si="33"/>
        <v/>
      </c>
      <c r="D48" s="314" t="str">
        <f t="shared" si="33"/>
        <v/>
      </c>
      <c r="E48" s="314" t="str">
        <f t="shared" si="33"/>
        <v/>
      </c>
      <c r="F48" s="314" t="str">
        <f t="shared" si="33"/>
        <v/>
      </c>
      <c r="G48" s="314" t="str">
        <f t="shared" si="33"/>
        <v/>
      </c>
      <c r="H48" s="314" t="str">
        <f t="shared" si="33"/>
        <v/>
      </c>
      <c r="I48" s="314" t="str">
        <f t="shared" si="33"/>
        <v/>
      </c>
      <c r="J48" s="314" t="str">
        <f t="shared" si="33"/>
        <v/>
      </c>
      <c r="K48" s="314" t="str">
        <f t="shared" si="33"/>
        <v/>
      </c>
      <c r="L48" s="314" t="str">
        <f t="shared" si="33"/>
        <v/>
      </c>
      <c r="M48" s="314" t="str">
        <f t="shared" si="33"/>
        <v/>
      </c>
      <c r="N48" s="314" t="str">
        <f t="shared" si="33"/>
        <v/>
      </c>
      <c r="O48" s="314" t="str">
        <f t="shared" si="33"/>
        <v/>
      </c>
      <c r="P48" s="314" t="str">
        <f t="shared" si="33"/>
        <v/>
      </c>
      <c r="Q48" s="314" t="str">
        <f t="shared" si="33"/>
        <v/>
      </c>
      <c r="R48" s="314" t="str">
        <f t="shared" si="33"/>
        <v/>
      </c>
      <c r="S48" s="314" t="str">
        <f t="shared" si="33"/>
        <v/>
      </c>
      <c r="T48" s="314" t="str">
        <f t="shared" si="33"/>
        <v/>
      </c>
      <c r="U48" s="314" t="str">
        <f t="shared" si="33"/>
        <v/>
      </c>
      <c r="V48" s="314" t="str">
        <f t="shared" si="33"/>
        <v/>
      </c>
      <c r="W48" s="314" t="str">
        <f t="shared" si="33"/>
        <v/>
      </c>
      <c r="X48" s="314" t="str">
        <f t="shared" si="33"/>
        <v/>
      </c>
      <c r="Y48" s="314" t="str">
        <f t="shared" si="33"/>
        <v/>
      </c>
      <c r="Z48" s="314" t="str">
        <f t="shared" si="33"/>
        <v/>
      </c>
      <c r="AA48" s="314" t="str">
        <f t="shared" si="33"/>
        <v/>
      </c>
      <c r="AB48" s="314" t="str">
        <f t="shared" si="33"/>
        <v/>
      </c>
      <c r="AC48" s="314" t="str">
        <f t="shared" si="33"/>
        <v/>
      </c>
      <c r="AD48" s="314" t="str">
        <f t="shared" si="33"/>
        <v/>
      </c>
      <c r="AE48" s="314" t="str">
        <f t="shared" si="33"/>
        <v/>
      </c>
      <c r="AF48" s="314" t="str">
        <f t="shared" si="33"/>
        <v/>
      </c>
      <c r="AG48" s="314" t="str">
        <f t="shared" si="33"/>
        <v/>
      </c>
    </row>
    <row r="49" spans="1:33" x14ac:dyDescent="0.5">
      <c r="A49" s="87">
        <v>4</v>
      </c>
      <c r="B49" s="314" t="str">
        <f t="shared" si="34"/>
        <v/>
      </c>
      <c r="C49" s="314" t="str">
        <f t="shared" si="33"/>
        <v/>
      </c>
      <c r="D49" s="314" t="str">
        <f t="shared" si="33"/>
        <v/>
      </c>
      <c r="E49" s="314" t="str">
        <f t="shared" si="33"/>
        <v/>
      </c>
      <c r="F49" s="314" t="str">
        <f t="shared" si="33"/>
        <v/>
      </c>
      <c r="G49" s="314" t="str">
        <f t="shared" si="33"/>
        <v/>
      </c>
      <c r="H49" s="314" t="str">
        <f t="shared" si="33"/>
        <v/>
      </c>
      <c r="I49" s="314" t="str">
        <f t="shared" si="33"/>
        <v/>
      </c>
      <c r="J49" s="314" t="str">
        <f t="shared" si="33"/>
        <v/>
      </c>
      <c r="K49" s="314" t="str">
        <f t="shared" si="33"/>
        <v/>
      </c>
      <c r="L49" s="314" t="str">
        <f t="shared" si="33"/>
        <v/>
      </c>
      <c r="M49" s="314" t="str">
        <f t="shared" si="33"/>
        <v/>
      </c>
      <c r="N49" s="314" t="str">
        <f t="shared" si="33"/>
        <v/>
      </c>
      <c r="O49" s="314" t="str">
        <f t="shared" si="33"/>
        <v/>
      </c>
      <c r="P49" s="314" t="str">
        <f t="shared" si="33"/>
        <v/>
      </c>
      <c r="Q49" s="314" t="str">
        <f t="shared" si="33"/>
        <v/>
      </c>
      <c r="R49" s="314" t="str">
        <f t="shared" si="33"/>
        <v/>
      </c>
      <c r="S49" s="314" t="str">
        <f t="shared" si="33"/>
        <v/>
      </c>
      <c r="T49" s="314" t="str">
        <f t="shared" si="33"/>
        <v/>
      </c>
      <c r="U49" s="314" t="str">
        <f t="shared" si="33"/>
        <v/>
      </c>
      <c r="V49" s="314" t="str">
        <f t="shared" si="33"/>
        <v/>
      </c>
      <c r="W49" s="314" t="str">
        <f t="shared" si="33"/>
        <v/>
      </c>
      <c r="X49" s="314" t="str">
        <f t="shared" si="33"/>
        <v/>
      </c>
      <c r="Y49" s="314" t="str">
        <f t="shared" si="33"/>
        <v/>
      </c>
      <c r="Z49" s="314" t="str">
        <f t="shared" si="33"/>
        <v/>
      </c>
      <c r="AA49" s="314" t="str">
        <f t="shared" si="33"/>
        <v/>
      </c>
      <c r="AB49" s="314" t="str">
        <f t="shared" si="33"/>
        <v/>
      </c>
      <c r="AC49" s="314" t="str">
        <f t="shared" si="33"/>
        <v/>
      </c>
      <c r="AD49" s="314" t="str">
        <f t="shared" si="33"/>
        <v/>
      </c>
      <c r="AE49" s="314" t="str">
        <f t="shared" si="33"/>
        <v/>
      </c>
      <c r="AF49" s="314" t="str">
        <f t="shared" si="33"/>
        <v/>
      </c>
      <c r="AG49" s="314" t="str">
        <f t="shared" si="33"/>
        <v/>
      </c>
    </row>
    <row r="50" spans="1:33" x14ac:dyDescent="0.5">
      <c r="A50" s="87">
        <v>5</v>
      </c>
      <c r="B50" s="314" t="str">
        <f t="shared" si="34"/>
        <v/>
      </c>
      <c r="C50" s="314" t="str">
        <f t="shared" si="33"/>
        <v/>
      </c>
      <c r="D50" s="314" t="str">
        <f t="shared" si="33"/>
        <v/>
      </c>
      <c r="E50" s="314" t="str">
        <f t="shared" si="33"/>
        <v/>
      </c>
      <c r="F50" s="314" t="str">
        <f t="shared" si="33"/>
        <v/>
      </c>
      <c r="G50" s="314" t="str">
        <f t="shared" si="33"/>
        <v/>
      </c>
      <c r="H50" s="314" t="str">
        <f t="shared" si="33"/>
        <v/>
      </c>
      <c r="I50" s="314" t="str">
        <f t="shared" si="33"/>
        <v/>
      </c>
      <c r="J50" s="314" t="str">
        <f t="shared" si="33"/>
        <v/>
      </c>
      <c r="K50" s="314" t="str">
        <f t="shared" si="33"/>
        <v/>
      </c>
      <c r="L50" s="314" t="str">
        <f t="shared" si="33"/>
        <v/>
      </c>
      <c r="M50" s="314" t="str">
        <f t="shared" si="33"/>
        <v/>
      </c>
      <c r="N50" s="314" t="str">
        <f t="shared" si="33"/>
        <v/>
      </c>
      <c r="O50" s="314" t="str">
        <f t="shared" si="33"/>
        <v/>
      </c>
      <c r="P50" s="314" t="str">
        <f t="shared" si="33"/>
        <v/>
      </c>
      <c r="Q50" s="314" t="str">
        <f t="shared" si="33"/>
        <v/>
      </c>
      <c r="R50" s="314" t="str">
        <f t="shared" si="33"/>
        <v/>
      </c>
      <c r="S50" s="314" t="str">
        <f t="shared" si="33"/>
        <v/>
      </c>
      <c r="T50" s="314" t="str">
        <f t="shared" si="33"/>
        <v/>
      </c>
      <c r="U50" s="314" t="str">
        <f t="shared" si="33"/>
        <v/>
      </c>
      <c r="V50" s="314" t="str">
        <f t="shared" si="33"/>
        <v/>
      </c>
      <c r="W50" s="314" t="str">
        <f t="shared" si="33"/>
        <v/>
      </c>
      <c r="X50" s="314" t="str">
        <f t="shared" si="33"/>
        <v/>
      </c>
      <c r="Y50" s="314" t="str">
        <f t="shared" si="33"/>
        <v/>
      </c>
      <c r="Z50" s="314" t="str">
        <f t="shared" si="33"/>
        <v/>
      </c>
      <c r="AA50" s="314" t="str">
        <f t="shared" si="33"/>
        <v/>
      </c>
      <c r="AB50" s="314" t="str">
        <f t="shared" si="33"/>
        <v/>
      </c>
      <c r="AC50" s="314" t="str">
        <f t="shared" si="33"/>
        <v/>
      </c>
      <c r="AD50" s="314" t="str">
        <f t="shared" si="33"/>
        <v/>
      </c>
      <c r="AE50" s="314" t="str">
        <f t="shared" si="33"/>
        <v/>
      </c>
      <c r="AF50" s="314" t="str">
        <f t="shared" si="33"/>
        <v/>
      </c>
      <c r="AG50" s="314" t="str">
        <f t="shared" si="33"/>
        <v/>
      </c>
    </row>
    <row r="51" spans="1:33" x14ac:dyDescent="0.5">
      <c r="A51" s="87">
        <v>6</v>
      </c>
      <c r="B51" s="314" t="str">
        <f t="shared" si="34"/>
        <v/>
      </c>
      <c r="C51" s="314" t="str">
        <f t="shared" si="33"/>
        <v/>
      </c>
      <c r="D51" s="314" t="str">
        <f t="shared" si="33"/>
        <v/>
      </c>
      <c r="E51" s="314" t="str">
        <f t="shared" si="33"/>
        <v/>
      </c>
      <c r="F51" s="314" t="str">
        <f t="shared" si="33"/>
        <v/>
      </c>
      <c r="G51" s="314" t="str">
        <f t="shared" si="33"/>
        <v/>
      </c>
      <c r="H51" s="314" t="str">
        <f t="shared" si="33"/>
        <v/>
      </c>
      <c r="I51" s="314" t="str">
        <f t="shared" si="33"/>
        <v/>
      </c>
      <c r="J51" s="314" t="str">
        <f t="shared" si="33"/>
        <v/>
      </c>
      <c r="K51" s="314" t="str">
        <f t="shared" si="33"/>
        <v/>
      </c>
      <c r="L51" s="314" t="str">
        <f t="shared" si="33"/>
        <v/>
      </c>
      <c r="M51" s="314" t="str">
        <f t="shared" si="33"/>
        <v/>
      </c>
      <c r="N51" s="314" t="str">
        <f t="shared" si="33"/>
        <v/>
      </c>
      <c r="O51" s="314" t="str">
        <f t="shared" si="33"/>
        <v/>
      </c>
      <c r="P51" s="314" t="str">
        <f t="shared" si="33"/>
        <v/>
      </c>
      <c r="Q51" s="314" t="str">
        <f t="shared" si="33"/>
        <v/>
      </c>
      <c r="R51" s="314" t="str">
        <f t="shared" si="33"/>
        <v/>
      </c>
      <c r="S51" s="314" t="str">
        <f t="shared" si="33"/>
        <v/>
      </c>
      <c r="T51" s="314" t="str">
        <f t="shared" si="33"/>
        <v/>
      </c>
      <c r="U51" s="314" t="str">
        <f t="shared" si="33"/>
        <v/>
      </c>
      <c r="V51" s="314" t="str">
        <f t="shared" si="33"/>
        <v/>
      </c>
      <c r="W51" s="314" t="str">
        <f t="shared" si="33"/>
        <v/>
      </c>
      <c r="X51" s="314" t="str">
        <f t="shared" si="33"/>
        <v/>
      </c>
      <c r="Y51" s="314" t="str">
        <f t="shared" si="33"/>
        <v/>
      </c>
      <c r="Z51" s="314" t="str">
        <f t="shared" si="33"/>
        <v/>
      </c>
      <c r="AA51" s="314" t="str">
        <f t="shared" si="33"/>
        <v/>
      </c>
      <c r="AB51" s="314" t="str">
        <f t="shared" si="33"/>
        <v/>
      </c>
      <c r="AC51" s="314" t="str">
        <f t="shared" si="33"/>
        <v/>
      </c>
      <c r="AD51" s="314" t="str">
        <f t="shared" si="33"/>
        <v/>
      </c>
      <c r="AE51" s="314" t="str">
        <f t="shared" si="33"/>
        <v/>
      </c>
      <c r="AF51" s="314" t="str">
        <f t="shared" si="33"/>
        <v/>
      </c>
      <c r="AG51" s="314" t="str">
        <f t="shared" si="33"/>
        <v/>
      </c>
    </row>
    <row r="52" spans="1:33" x14ac:dyDescent="0.5">
      <c r="A52" s="87">
        <v>7</v>
      </c>
      <c r="B52" s="314" t="str">
        <f t="shared" si="34"/>
        <v/>
      </c>
      <c r="C52" s="314" t="str">
        <f t="shared" si="33"/>
        <v/>
      </c>
      <c r="D52" s="314" t="str">
        <f t="shared" si="33"/>
        <v/>
      </c>
      <c r="E52" s="314" t="str">
        <f t="shared" si="33"/>
        <v/>
      </c>
      <c r="F52" s="314" t="str">
        <f t="shared" si="33"/>
        <v/>
      </c>
      <c r="G52" s="314" t="str">
        <f t="shared" si="33"/>
        <v/>
      </c>
      <c r="H52" s="314" t="str">
        <f t="shared" si="33"/>
        <v/>
      </c>
      <c r="I52" s="314" t="str">
        <f t="shared" si="33"/>
        <v/>
      </c>
      <c r="J52" s="314" t="str">
        <f t="shared" si="33"/>
        <v/>
      </c>
      <c r="K52" s="314" t="str">
        <f t="shared" si="33"/>
        <v/>
      </c>
      <c r="L52" s="314" t="str">
        <f t="shared" si="33"/>
        <v/>
      </c>
      <c r="M52" s="314" t="str">
        <f t="shared" si="33"/>
        <v/>
      </c>
      <c r="N52" s="314" t="str">
        <f t="shared" si="33"/>
        <v/>
      </c>
      <c r="O52" s="314" t="str">
        <f t="shared" si="33"/>
        <v/>
      </c>
      <c r="P52" s="314" t="str">
        <f t="shared" si="33"/>
        <v/>
      </c>
      <c r="Q52" s="314" t="str">
        <f t="shared" si="33"/>
        <v/>
      </c>
      <c r="R52" s="314" t="str">
        <f t="shared" si="33"/>
        <v/>
      </c>
      <c r="S52" s="314" t="str">
        <f t="shared" si="33"/>
        <v/>
      </c>
      <c r="T52" s="314" t="str">
        <f t="shared" si="33"/>
        <v/>
      </c>
      <c r="U52" s="314" t="str">
        <f t="shared" si="33"/>
        <v/>
      </c>
      <c r="V52" s="314" t="str">
        <f t="shared" si="33"/>
        <v/>
      </c>
      <c r="W52" s="314" t="str">
        <f t="shared" si="33"/>
        <v/>
      </c>
      <c r="X52" s="314" t="str">
        <f t="shared" si="33"/>
        <v/>
      </c>
      <c r="Y52" s="314" t="str">
        <f t="shared" si="33"/>
        <v/>
      </c>
      <c r="Z52" s="314" t="str">
        <f t="shared" si="33"/>
        <v/>
      </c>
      <c r="AA52" s="314" t="str">
        <f t="shared" si="33"/>
        <v/>
      </c>
      <c r="AB52" s="314" t="str">
        <f t="shared" si="33"/>
        <v/>
      </c>
      <c r="AC52" s="314" t="str">
        <f t="shared" si="33"/>
        <v/>
      </c>
      <c r="AD52" s="314" t="str">
        <f t="shared" si="33"/>
        <v/>
      </c>
      <c r="AE52" s="314" t="str">
        <f t="shared" si="33"/>
        <v/>
      </c>
      <c r="AF52" s="314" t="str">
        <f t="shared" si="33"/>
        <v/>
      </c>
      <c r="AG52" s="314" t="str">
        <f t="shared" si="33"/>
        <v/>
      </c>
    </row>
    <row r="53" spans="1:33" x14ac:dyDescent="0.5">
      <c r="A53" s="87">
        <v>8</v>
      </c>
      <c r="B53" s="314" t="str">
        <f t="shared" si="34"/>
        <v/>
      </c>
      <c r="C53" s="314" t="str">
        <f t="shared" si="33"/>
        <v/>
      </c>
      <c r="D53" s="314" t="str">
        <f t="shared" si="33"/>
        <v/>
      </c>
      <c r="E53" s="314" t="str">
        <f t="shared" si="33"/>
        <v/>
      </c>
      <c r="F53" s="314" t="str">
        <f t="shared" si="33"/>
        <v/>
      </c>
      <c r="G53" s="314" t="str">
        <f t="shared" si="33"/>
        <v/>
      </c>
      <c r="H53" s="314" t="str">
        <f t="shared" si="33"/>
        <v/>
      </c>
      <c r="I53" s="314" t="str">
        <f t="shared" si="33"/>
        <v/>
      </c>
      <c r="J53" s="314" t="str">
        <f t="shared" si="33"/>
        <v/>
      </c>
      <c r="K53" s="314" t="str">
        <f t="shared" si="33"/>
        <v/>
      </c>
      <c r="L53" s="314" t="str">
        <f t="shared" si="33"/>
        <v/>
      </c>
      <c r="M53" s="314" t="str">
        <f t="shared" si="33"/>
        <v/>
      </c>
      <c r="N53" s="314" t="str">
        <f t="shared" si="33"/>
        <v/>
      </c>
      <c r="O53" s="314" t="str">
        <f t="shared" si="33"/>
        <v/>
      </c>
      <c r="P53" s="314" t="str">
        <f t="shared" si="33"/>
        <v/>
      </c>
      <c r="Q53" s="314" t="str">
        <f t="shared" si="33"/>
        <v/>
      </c>
      <c r="R53" s="314" t="str">
        <f t="shared" si="33"/>
        <v/>
      </c>
      <c r="S53" s="314" t="str">
        <f t="shared" si="33"/>
        <v/>
      </c>
      <c r="T53" s="314" t="str">
        <f t="shared" si="33"/>
        <v/>
      </c>
      <c r="U53" s="314" t="str">
        <f t="shared" si="33"/>
        <v/>
      </c>
      <c r="V53" s="314" t="str">
        <f t="shared" si="33"/>
        <v/>
      </c>
      <c r="W53" s="314" t="str">
        <f t="shared" si="33"/>
        <v/>
      </c>
      <c r="X53" s="314" t="str">
        <f t="shared" si="33"/>
        <v/>
      </c>
      <c r="Y53" s="314" t="str">
        <f t="shared" si="33"/>
        <v/>
      </c>
      <c r="Z53" s="314" t="str">
        <f t="shared" si="33"/>
        <v/>
      </c>
      <c r="AA53" s="314" t="str">
        <f t="shared" si="33"/>
        <v/>
      </c>
      <c r="AB53" s="314" t="str">
        <f t="shared" si="33"/>
        <v/>
      </c>
      <c r="AC53" s="314" t="str">
        <f t="shared" si="33"/>
        <v/>
      </c>
      <c r="AD53" s="314" t="str">
        <f t="shared" si="33"/>
        <v/>
      </c>
      <c r="AE53" s="314" t="str">
        <f t="shared" si="33"/>
        <v/>
      </c>
      <c r="AF53" s="314" t="str">
        <f t="shared" si="33"/>
        <v/>
      </c>
      <c r="AG53" s="314" t="str">
        <f t="shared" si="33"/>
        <v/>
      </c>
    </row>
    <row r="54" spans="1:33" x14ac:dyDescent="0.5">
      <c r="A54" s="87">
        <v>9</v>
      </c>
      <c r="B54" s="314" t="str">
        <f t="shared" si="34"/>
        <v/>
      </c>
      <c r="C54" s="314" t="str">
        <f t="shared" si="33"/>
        <v/>
      </c>
      <c r="D54" s="314" t="str">
        <f t="shared" si="33"/>
        <v/>
      </c>
      <c r="E54" s="314" t="str">
        <f t="shared" si="33"/>
        <v/>
      </c>
      <c r="F54" s="314" t="str">
        <f t="shared" si="33"/>
        <v/>
      </c>
      <c r="G54" s="314" t="str">
        <f t="shared" si="33"/>
        <v/>
      </c>
      <c r="H54" s="314" t="str">
        <f t="shared" si="33"/>
        <v/>
      </c>
      <c r="I54" s="314" t="str">
        <f t="shared" si="33"/>
        <v/>
      </c>
      <c r="J54" s="314" t="str">
        <f t="shared" si="33"/>
        <v/>
      </c>
      <c r="K54" s="314" t="str">
        <f t="shared" si="33"/>
        <v/>
      </c>
      <c r="L54" s="314" t="str">
        <f t="shared" si="33"/>
        <v/>
      </c>
      <c r="M54" s="314" t="str">
        <f t="shared" si="33"/>
        <v/>
      </c>
      <c r="N54" s="314" t="str">
        <f t="shared" si="33"/>
        <v/>
      </c>
      <c r="O54" s="314" t="str">
        <f t="shared" si="33"/>
        <v/>
      </c>
      <c r="P54" s="314" t="str">
        <f t="shared" si="33"/>
        <v/>
      </c>
      <c r="Q54" s="314" t="str">
        <f t="shared" si="33"/>
        <v/>
      </c>
      <c r="R54" s="314" t="str">
        <f t="shared" si="33"/>
        <v/>
      </c>
      <c r="S54" s="314" t="str">
        <f t="shared" si="33"/>
        <v/>
      </c>
      <c r="T54" s="314" t="str">
        <f t="shared" si="33"/>
        <v/>
      </c>
      <c r="U54" s="314" t="str">
        <f t="shared" si="33"/>
        <v/>
      </c>
      <c r="V54" s="314" t="str">
        <f t="shared" si="33"/>
        <v/>
      </c>
      <c r="W54" s="314" t="str">
        <f t="shared" si="33"/>
        <v/>
      </c>
      <c r="X54" s="314" t="str">
        <f t="shared" si="33"/>
        <v/>
      </c>
      <c r="Y54" s="314" t="str">
        <f t="shared" si="33"/>
        <v/>
      </c>
      <c r="Z54" s="314" t="str">
        <f t="shared" si="33"/>
        <v/>
      </c>
      <c r="AA54" s="314" t="str">
        <f t="shared" si="33"/>
        <v/>
      </c>
      <c r="AB54" s="314" t="str">
        <f t="shared" si="33"/>
        <v/>
      </c>
      <c r="AC54" s="314" t="str">
        <f t="shared" si="33"/>
        <v/>
      </c>
      <c r="AD54" s="314" t="str">
        <f t="shared" si="33"/>
        <v/>
      </c>
      <c r="AE54" s="314" t="str">
        <f t="shared" si="33"/>
        <v/>
      </c>
      <c r="AF54" s="314" t="str">
        <f t="shared" si="33"/>
        <v/>
      </c>
      <c r="AG54" s="314" t="str">
        <f t="shared" si="33"/>
        <v/>
      </c>
    </row>
    <row r="55" spans="1:33" x14ac:dyDescent="0.5">
      <c r="A55" s="87">
        <v>10</v>
      </c>
      <c r="B55" s="314" t="str">
        <f t="shared" si="34"/>
        <v/>
      </c>
      <c r="C55" s="314" t="str">
        <f t="shared" si="33"/>
        <v/>
      </c>
      <c r="D55" s="314" t="str">
        <f t="shared" si="33"/>
        <v/>
      </c>
      <c r="E55" s="314" t="str">
        <f t="shared" si="33"/>
        <v/>
      </c>
      <c r="F55" s="314" t="str">
        <f t="shared" si="33"/>
        <v/>
      </c>
      <c r="G55" s="314" t="str">
        <f t="shared" si="33"/>
        <v/>
      </c>
      <c r="H55" s="314" t="str">
        <f t="shared" si="33"/>
        <v/>
      </c>
      <c r="I55" s="314" t="str">
        <f t="shared" si="33"/>
        <v/>
      </c>
      <c r="J55" s="314" t="str">
        <f t="shared" ref="J55:J65" si="35">IF(OR(J54="",$A55&gt;J$21),"",ROUND(J54*(1-$K$10),0))</f>
        <v/>
      </c>
      <c r="K55" s="314" t="str">
        <f t="shared" ref="K55:K65" si="36">IF(OR(K54="",$A55&gt;K$21),"",ROUND(K54*(1-$K$10),0))</f>
        <v/>
      </c>
      <c r="L55" s="314" t="str">
        <f t="shared" ref="L55:L65" si="37">IF(OR(L54="",$A55&gt;L$21),"",ROUND(L54*(1-$K$10),0))</f>
        <v/>
      </c>
      <c r="M55" s="314" t="str">
        <f t="shared" ref="M55:M65" si="38">IF(OR(M54="",$A55&gt;M$21),"",ROUND(M54*(1-$K$10),0))</f>
        <v/>
      </c>
      <c r="N55" s="314" t="str">
        <f t="shared" ref="N55:N65" si="39">IF(OR(N54="",$A55&gt;N$21),"",ROUND(N54*(1-$K$10),0))</f>
        <v/>
      </c>
      <c r="O55" s="314" t="str">
        <f t="shared" ref="O55:O65" si="40">IF(OR(O54="",$A55&gt;O$21),"",ROUND(O54*(1-$K$10),0))</f>
        <v/>
      </c>
      <c r="P55" s="314" t="str">
        <f t="shared" ref="P55:P65" si="41">IF(OR(P54="",$A55&gt;P$21),"",ROUND(P54*(1-$K$10),0))</f>
        <v/>
      </c>
      <c r="Q55" s="314" t="str">
        <f t="shared" ref="Q55:Q65" si="42">IF(OR(Q54="",$A55&gt;Q$21),"",ROUND(Q54*(1-$K$10),0))</f>
        <v/>
      </c>
      <c r="R55" s="314" t="str">
        <f t="shared" ref="R55:R65" si="43">IF(OR(R54="",$A55&gt;R$21),"",ROUND(R54*(1-$K$10),0))</f>
        <v/>
      </c>
      <c r="S55" s="314" t="str">
        <f t="shared" ref="S55:S65" si="44">IF(OR(S54="",$A55&gt;S$21),"",ROUND(S54*(1-$K$10),0))</f>
        <v/>
      </c>
      <c r="T55" s="314" t="str">
        <f t="shared" ref="T55:T65" si="45">IF(OR(T54="",$A55&gt;T$21),"",ROUND(T54*(1-$K$10),0))</f>
        <v/>
      </c>
      <c r="U55" s="314" t="str">
        <f t="shared" ref="U55:U65" si="46">IF(OR(U54="",$A55&gt;U$21),"",ROUND(U54*(1-$K$10),0))</f>
        <v/>
      </c>
      <c r="V55" s="314" t="str">
        <f t="shared" ref="V55:V65" si="47">IF(OR(V54="",$A55&gt;V$21),"",ROUND(V54*(1-$K$10),0))</f>
        <v/>
      </c>
      <c r="W55" s="314" t="str">
        <f t="shared" ref="W55:W65" si="48">IF(OR(W54="",$A55&gt;W$21),"",ROUND(W54*(1-$K$10),0))</f>
        <v/>
      </c>
      <c r="X55" s="314" t="str">
        <f t="shared" ref="X55:X65" si="49">IF(OR(X54="",$A55&gt;X$21),"",ROUND(X54*(1-$K$10),0))</f>
        <v/>
      </c>
      <c r="Y55" s="314" t="str">
        <f t="shared" ref="Y55:Y65" si="50">IF(OR(Y54="",$A55&gt;Y$21),"",ROUND(Y54*(1-$K$10),0))</f>
        <v/>
      </c>
      <c r="Z55" s="314" t="str">
        <f t="shared" ref="Z55:Z65" si="51">IF(OR(Z54="",$A55&gt;Z$21),"",ROUND(Z54*(1-$K$10),0))</f>
        <v/>
      </c>
      <c r="AA55" s="314" t="str">
        <f t="shared" ref="AA55:AA65" si="52">IF(OR(AA54="",$A55&gt;AA$21),"",ROUND(AA54*(1-$K$10),0))</f>
        <v/>
      </c>
      <c r="AB55" s="314" t="str">
        <f t="shared" ref="AB55:AB65" si="53">IF(OR(AB54="",$A55&gt;AB$21),"",ROUND(AB54*(1-$K$10),0))</f>
        <v/>
      </c>
      <c r="AC55" s="314" t="str">
        <f t="shared" ref="AC55:AC65" si="54">IF(OR(AC54="",$A55&gt;AC$21),"",ROUND(AC54*(1-$K$10),0))</f>
        <v/>
      </c>
      <c r="AD55" s="314" t="str">
        <f t="shared" ref="AD55:AD65" si="55">IF(OR(AD54="",$A55&gt;AD$21),"",ROUND(AD54*(1-$K$10),0))</f>
        <v/>
      </c>
      <c r="AE55" s="314" t="str">
        <f t="shared" ref="AE55:AE65" si="56">IF(OR(AE54="",$A55&gt;AE$21),"",ROUND(AE54*(1-$K$10),0))</f>
        <v/>
      </c>
      <c r="AF55" s="314" t="str">
        <f t="shared" ref="AF55:AF65" si="57">IF(OR(AF54="",$A55&gt;AF$21),"",ROUND(AF54*(1-$K$10),0))</f>
        <v/>
      </c>
      <c r="AG55" s="314" t="str">
        <f t="shared" ref="AG55:AG65" si="58">IF(OR(AG54="",$A55&gt;AG$21),"",ROUND(AG54*(1-$K$10),0))</f>
        <v/>
      </c>
    </row>
    <row r="56" spans="1:33" x14ac:dyDescent="0.5">
      <c r="A56" s="87">
        <v>11</v>
      </c>
      <c r="B56" s="314" t="str">
        <f t="shared" si="34"/>
        <v/>
      </c>
      <c r="C56" s="314" t="str">
        <f t="shared" ref="C56:C65" si="59">IF(OR(C55="",$A56&gt;C$21),"",ROUND(C55*(1-$K$10),0))</f>
        <v/>
      </c>
      <c r="D56" s="314" t="str">
        <f t="shared" ref="D56:D65" si="60">IF(OR(D55="",$A56&gt;D$21),"",ROUND(D55*(1-$K$10),0))</f>
        <v/>
      </c>
      <c r="E56" s="314" t="str">
        <f t="shared" ref="E56:E65" si="61">IF(OR(E55="",$A56&gt;E$21),"",ROUND(E55*(1-$K$10),0))</f>
        <v/>
      </c>
      <c r="F56" s="314" t="str">
        <f t="shared" ref="F56:F65" si="62">IF(OR(F55="",$A56&gt;F$21),"",ROUND(F55*(1-$K$10),0))</f>
        <v/>
      </c>
      <c r="G56" s="314" t="str">
        <f t="shared" ref="G56:G65" si="63">IF(OR(G55="",$A56&gt;G$21),"",ROUND(G55*(1-$K$10),0))</f>
        <v/>
      </c>
      <c r="H56" s="314" t="str">
        <f t="shared" ref="H56:H65" si="64">IF(OR(H55="",$A56&gt;H$21),"",ROUND(H55*(1-$K$10),0))</f>
        <v/>
      </c>
      <c r="I56" s="314" t="str">
        <f t="shared" ref="I56:I65" si="65">IF(OR(I55="",$A56&gt;I$21),"",ROUND(I55*(1-$K$10),0))</f>
        <v/>
      </c>
      <c r="J56" s="314" t="str">
        <f t="shared" si="35"/>
        <v/>
      </c>
      <c r="K56" s="314" t="str">
        <f t="shared" si="36"/>
        <v/>
      </c>
      <c r="L56" s="314" t="str">
        <f t="shared" si="37"/>
        <v/>
      </c>
      <c r="M56" s="314" t="str">
        <f t="shared" si="38"/>
        <v/>
      </c>
      <c r="N56" s="314" t="str">
        <f t="shared" si="39"/>
        <v/>
      </c>
      <c r="O56" s="314" t="str">
        <f t="shared" si="40"/>
        <v/>
      </c>
      <c r="P56" s="314" t="str">
        <f t="shared" si="41"/>
        <v/>
      </c>
      <c r="Q56" s="314" t="str">
        <f t="shared" si="42"/>
        <v/>
      </c>
      <c r="R56" s="314" t="str">
        <f t="shared" si="43"/>
        <v/>
      </c>
      <c r="S56" s="314" t="str">
        <f t="shared" si="44"/>
        <v/>
      </c>
      <c r="T56" s="314" t="str">
        <f t="shared" si="45"/>
        <v/>
      </c>
      <c r="U56" s="314" t="str">
        <f t="shared" si="46"/>
        <v/>
      </c>
      <c r="V56" s="314" t="str">
        <f t="shared" si="47"/>
        <v/>
      </c>
      <c r="W56" s="314" t="str">
        <f t="shared" si="48"/>
        <v/>
      </c>
      <c r="X56" s="314" t="str">
        <f t="shared" si="49"/>
        <v/>
      </c>
      <c r="Y56" s="314" t="str">
        <f t="shared" si="50"/>
        <v/>
      </c>
      <c r="Z56" s="314" t="str">
        <f t="shared" si="51"/>
        <v/>
      </c>
      <c r="AA56" s="314" t="str">
        <f t="shared" si="52"/>
        <v/>
      </c>
      <c r="AB56" s="314" t="str">
        <f t="shared" si="53"/>
        <v/>
      </c>
      <c r="AC56" s="314" t="str">
        <f t="shared" si="54"/>
        <v/>
      </c>
      <c r="AD56" s="314" t="str">
        <f t="shared" si="55"/>
        <v/>
      </c>
      <c r="AE56" s="314" t="str">
        <f t="shared" si="56"/>
        <v/>
      </c>
      <c r="AF56" s="314" t="str">
        <f t="shared" si="57"/>
        <v/>
      </c>
      <c r="AG56" s="314" t="str">
        <f t="shared" si="58"/>
        <v/>
      </c>
    </row>
    <row r="57" spans="1:33" x14ac:dyDescent="0.5">
      <c r="A57" s="87">
        <v>12</v>
      </c>
      <c r="B57" s="314" t="str">
        <f t="shared" si="34"/>
        <v/>
      </c>
      <c r="C57" s="314" t="str">
        <f t="shared" si="59"/>
        <v/>
      </c>
      <c r="D57" s="314" t="str">
        <f t="shared" si="60"/>
        <v/>
      </c>
      <c r="E57" s="314" t="str">
        <f t="shared" si="61"/>
        <v/>
      </c>
      <c r="F57" s="314" t="str">
        <f t="shared" si="62"/>
        <v/>
      </c>
      <c r="G57" s="314" t="str">
        <f t="shared" si="63"/>
        <v/>
      </c>
      <c r="H57" s="314" t="str">
        <f t="shared" si="64"/>
        <v/>
      </c>
      <c r="I57" s="314" t="str">
        <f t="shared" si="65"/>
        <v/>
      </c>
      <c r="J57" s="314" t="str">
        <f t="shared" si="35"/>
        <v/>
      </c>
      <c r="K57" s="314" t="str">
        <f t="shared" si="36"/>
        <v/>
      </c>
      <c r="L57" s="314" t="str">
        <f t="shared" si="37"/>
        <v/>
      </c>
      <c r="M57" s="314" t="str">
        <f t="shared" si="38"/>
        <v/>
      </c>
      <c r="N57" s="314" t="str">
        <f t="shared" si="39"/>
        <v/>
      </c>
      <c r="O57" s="314" t="str">
        <f t="shared" si="40"/>
        <v/>
      </c>
      <c r="P57" s="314" t="str">
        <f t="shared" si="41"/>
        <v/>
      </c>
      <c r="Q57" s="314" t="str">
        <f t="shared" si="42"/>
        <v/>
      </c>
      <c r="R57" s="314" t="str">
        <f t="shared" si="43"/>
        <v/>
      </c>
      <c r="S57" s="314" t="str">
        <f t="shared" si="44"/>
        <v/>
      </c>
      <c r="T57" s="314" t="str">
        <f t="shared" si="45"/>
        <v/>
      </c>
      <c r="U57" s="314" t="str">
        <f t="shared" si="46"/>
        <v/>
      </c>
      <c r="V57" s="314" t="str">
        <f t="shared" si="47"/>
        <v/>
      </c>
      <c r="W57" s="314" t="str">
        <f t="shared" si="48"/>
        <v/>
      </c>
      <c r="X57" s="314" t="str">
        <f t="shared" si="49"/>
        <v/>
      </c>
      <c r="Y57" s="314" t="str">
        <f t="shared" si="50"/>
        <v/>
      </c>
      <c r="Z57" s="314" t="str">
        <f t="shared" si="51"/>
        <v/>
      </c>
      <c r="AA57" s="314" t="str">
        <f t="shared" si="52"/>
        <v/>
      </c>
      <c r="AB57" s="314" t="str">
        <f t="shared" si="53"/>
        <v/>
      </c>
      <c r="AC57" s="314" t="str">
        <f t="shared" si="54"/>
        <v/>
      </c>
      <c r="AD57" s="314" t="str">
        <f t="shared" si="55"/>
        <v/>
      </c>
      <c r="AE57" s="314" t="str">
        <f t="shared" si="56"/>
        <v/>
      </c>
      <c r="AF57" s="314" t="str">
        <f t="shared" si="57"/>
        <v/>
      </c>
      <c r="AG57" s="314" t="str">
        <f t="shared" si="58"/>
        <v/>
      </c>
    </row>
    <row r="58" spans="1:33" x14ac:dyDescent="0.5">
      <c r="A58" s="87">
        <v>13</v>
      </c>
      <c r="B58" s="314" t="str">
        <f t="shared" si="34"/>
        <v/>
      </c>
      <c r="C58" s="314" t="str">
        <f t="shared" si="59"/>
        <v/>
      </c>
      <c r="D58" s="314" t="str">
        <f t="shared" si="60"/>
        <v/>
      </c>
      <c r="E58" s="314" t="str">
        <f t="shared" si="61"/>
        <v/>
      </c>
      <c r="F58" s="314" t="str">
        <f t="shared" si="62"/>
        <v/>
      </c>
      <c r="G58" s="314" t="str">
        <f t="shared" si="63"/>
        <v/>
      </c>
      <c r="H58" s="314" t="str">
        <f t="shared" si="64"/>
        <v/>
      </c>
      <c r="I58" s="314" t="str">
        <f t="shared" si="65"/>
        <v/>
      </c>
      <c r="J58" s="314" t="str">
        <f t="shared" si="35"/>
        <v/>
      </c>
      <c r="K58" s="314" t="str">
        <f t="shared" si="36"/>
        <v/>
      </c>
      <c r="L58" s="314" t="str">
        <f t="shared" si="37"/>
        <v/>
      </c>
      <c r="M58" s="314" t="str">
        <f t="shared" si="38"/>
        <v/>
      </c>
      <c r="N58" s="314" t="str">
        <f t="shared" si="39"/>
        <v/>
      </c>
      <c r="O58" s="314" t="str">
        <f t="shared" si="40"/>
        <v/>
      </c>
      <c r="P58" s="314" t="str">
        <f t="shared" si="41"/>
        <v/>
      </c>
      <c r="Q58" s="314" t="str">
        <f t="shared" si="42"/>
        <v/>
      </c>
      <c r="R58" s="314" t="str">
        <f t="shared" si="43"/>
        <v/>
      </c>
      <c r="S58" s="314" t="str">
        <f t="shared" si="44"/>
        <v/>
      </c>
      <c r="T58" s="314" t="str">
        <f t="shared" si="45"/>
        <v/>
      </c>
      <c r="U58" s="314" t="str">
        <f t="shared" si="46"/>
        <v/>
      </c>
      <c r="V58" s="314" t="str">
        <f t="shared" si="47"/>
        <v/>
      </c>
      <c r="W58" s="314" t="str">
        <f t="shared" si="48"/>
        <v/>
      </c>
      <c r="X58" s="314" t="str">
        <f t="shared" si="49"/>
        <v/>
      </c>
      <c r="Y58" s="314" t="str">
        <f t="shared" si="50"/>
        <v/>
      </c>
      <c r="Z58" s="314" t="str">
        <f t="shared" si="51"/>
        <v/>
      </c>
      <c r="AA58" s="314" t="str">
        <f t="shared" si="52"/>
        <v/>
      </c>
      <c r="AB58" s="314" t="str">
        <f t="shared" si="53"/>
        <v/>
      </c>
      <c r="AC58" s="314" t="str">
        <f t="shared" si="54"/>
        <v/>
      </c>
      <c r="AD58" s="314" t="str">
        <f t="shared" si="55"/>
        <v/>
      </c>
      <c r="AE58" s="314" t="str">
        <f t="shared" si="56"/>
        <v/>
      </c>
      <c r="AF58" s="314" t="str">
        <f t="shared" si="57"/>
        <v/>
      </c>
      <c r="AG58" s="314" t="str">
        <f t="shared" si="58"/>
        <v/>
      </c>
    </row>
    <row r="59" spans="1:33" x14ac:dyDescent="0.5">
      <c r="A59" s="87">
        <v>14</v>
      </c>
      <c r="B59" s="314" t="str">
        <f t="shared" si="34"/>
        <v/>
      </c>
      <c r="C59" s="314" t="str">
        <f t="shared" si="59"/>
        <v/>
      </c>
      <c r="D59" s="314" t="str">
        <f t="shared" si="60"/>
        <v/>
      </c>
      <c r="E59" s="314" t="str">
        <f t="shared" si="61"/>
        <v/>
      </c>
      <c r="F59" s="314" t="str">
        <f t="shared" si="62"/>
        <v/>
      </c>
      <c r="G59" s="314" t="str">
        <f t="shared" si="63"/>
        <v/>
      </c>
      <c r="H59" s="314" t="str">
        <f t="shared" si="64"/>
        <v/>
      </c>
      <c r="I59" s="314" t="str">
        <f t="shared" si="65"/>
        <v/>
      </c>
      <c r="J59" s="314" t="str">
        <f t="shared" si="35"/>
        <v/>
      </c>
      <c r="K59" s="314" t="str">
        <f t="shared" si="36"/>
        <v/>
      </c>
      <c r="L59" s="314" t="str">
        <f t="shared" si="37"/>
        <v/>
      </c>
      <c r="M59" s="314" t="str">
        <f t="shared" si="38"/>
        <v/>
      </c>
      <c r="N59" s="314" t="str">
        <f t="shared" si="39"/>
        <v/>
      </c>
      <c r="O59" s="314" t="str">
        <f t="shared" si="40"/>
        <v/>
      </c>
      <c r="P59" s="314" t="str">
        <f t="shared" si="41"/>
        <v/>
      </c>
      <c r="Q59" s="314" t="str">
        <f t="shared" si="42"/>
        <v/>
      </c>
      <c r="R59" s="314" t="str">
        <f t="shared" si="43"/>
        <v/>
      </c>
      <c r="S59" s="314" t="str">
        <f t="shared" si="44"/>
        <v/>
      </c>
      <c r="T59" s="314" t="str">
        <f t="shared" si="45"/>
        <v/>
      </c>
      <c r="U59" s="314" t="str">
        <f t="shared" si="46"/>
        <v/>
      </c>
      <c r="V59" s="314" t="str">
        <f t="shared" si="47"/>
        <v/>
      </c>
      <c r="W59" s="314" t="str">
        <f t="shared" si="48"/>
        <v/>
      </c>
      <c r="X59" s="314" t="str">
        <f t="shared" si="49"/>
        <v/>
      </c>
      <c r="Y59" s="314" t="str">
        <f t="shared" si="50"/>
        <v/>
      </c>
      <c r="Z59" s="314" t="str">
        <f t="shared" si="51"/>
        <v/>
      </c>
      <c r="AA59" s="314" t="str">
        <f t="shared" si="52"/>
        <v/>
      </c>
      <c r="AB59" s="314" t="str">
        <f t="shared" si="53"/>
        <v/>
      </c>
      <c r="AC59" s="314" t="str">
        <f t="shared" si="54"/>
        <v/>
      </c>
      <c r="AD59" s="314" t="str">
        <f t="shared" si="55"/>
        <v/>
      </c>
      <c r="AE59" s="314" t="str">
        <f t="shared" si="56"/>
        <v/>
      </c>
      <c r="AF59" s="314" t="str">
        <f t="shared" si="57"/>
        <v/>
      </c>
      <c r="AG59" s="314" t="str">
        <f t="shared" si="58"/>
        <v/>
      </c>
    </row>
    <row r="60" spans="1:33" x14ac:dyDescent="0.5">
      <c r="A60" s="87">
        <v>15</v>
      </c>
      <c r="B60" s="314" t="str">
        <f t="shared" si="34"/>
        <v/>
      </c>
      <c r="C60" s="314" t="str">
        <f t="shared" si="59"/>
        <v/>
      </c>
      <c r="D60" s="314" t="str">
        <f t="shared" si="60"/>
        <v/>
      </c>
      <c r="E60" s="314" t="str">
        <f t="shared" si="61"/>
        <v/>
      </c>
      <c r="F60" s="314" t="str">
        <f t="shared" si="62"/>
        <v/>
      </c>
      <c r="G60" s="314" t="str">
        <f t="shared" si="63"/>
        <v/>
      </c>
      <c r="H60" s="314" t="str">
        <f t="shared" si="64"/>
        <v/>
      </c>
      <c r="I60" s="314" t="str">
        <f t="shared" si="65"/>
        <v/>
      </c>
      <c r="J60" s="314" t="str">
        <f t="shared" si="35"/>
        <v/>
      </c>
      <c r="K60" s="314" t="str">
        <f t="shared" si="36"/>
        <v/>
      </c>
      <c r="L60" s="314" t="str">
        <f t="shared" si="37"/>
        <v/>
      </c>
      <c r="M60" s="314" t="str">
        <f t="shared" si="38"/>
        <v/>
      </c>
      <c r="N60" s="314" t="str">
        <f t="shared" si="39"/>
        <v/>
      </c>
      <c r="O60" s="314" t="str">
        <f t="shared" si="40"/>
        <v/>
      </c>
      <c r="P60" s="314" t="str">
        <f t="shared" si="41"/>
        <v/>
      </c>
      <c r="Q60" s="314" t="str">
        <f t="shared" si="42"/>
        <v/>
      </c>
      <c r="R60" s="314" t="str">
        <f t="shared" si="43"/>
        <v/>
      </c>
      <c r="S60" s="314" t="str">
        <f t="shared" si="44"/>
        <v/>
      </c>
      <c r="T60" s="314" t="str">
        <f t="shared" si="45"/>
        <v/>
      </c>
      <c r="U60" s="314" t="str">
        <f t="shared" si="46"/>
        <v/>
      </c>
      <c r="V60" s="314" t="str">
        <f t="shared" si="47"/>
        <v/>
      </c>
      <c r="W60" s="314" t="str">
        <f t="shared" si="48"/>
        <v/>
      </c>
      <c r="X60" s="314" t="str">
        <f t="shared" si="49"/>
        <v/>
      </c>
      <c r="Y60" s="314" t="str">
        <f t="shared" si="50"/>
        <v/>
      </c>
      <c r="Z60" s="314" t="str">
        <f t="shared" si="51"/>
        <v/>
      </c>
      <c r="AA60" s="314" t="str">
        <f t="shared" si="52"/>
        <v/>
      </c>
      <c r="AB60" s="314" t="str">
        <f t="shared" si="53"/>
        <v/>
      </c>
      <c r="AC60" s="314" t="str">
        <f t="shared" si="54"/>
        <v/>
      </c>
      <c r="AD60" s="314" t="str">
        <f t="shared" si="55"/>
        <v/>
      </c>
      <c r="AE60" s="314" t="str">
        <f t="shared" si="56"/>
        <v/>
      </c>
      <c r="AF60" s="314" t="str">
        <f t="shared" si="57"/>
        <v/>
      </c>
      <c r="AG60" s="314" t="str">
        <f t="shared" si="58"/>
        <v/>
      </c>
    </row>
    <row r="61" spans="1:33" x14ac:dyDescent="0.5">
      <c r="A61" s="87">
        <v>16</v>
      </c>
      <c r="B61" s="314" t="str">
        <f t="shared" si="34"/>
        <v/>
      </c>
      <c r="C61" s="314" t="str">
        <f t="shared" si="59"/>
        <v/>
      </c>
      <c r="D61" s="314" t="str">
        <f t="shared" si="60"/>
        <v/>
      </c>
      <c r="E61" s="314" t="str">
        <f t="shared" si="61"/>
        <v/>
      </c>
      <c r="F61" s="314" t="str">
        <f t="shared" si="62"/>
        <v/>
      </c>
      <c r="G61" s="314" t="str">
        <f t="shared" si="63"/>
        <v/>
      </c>
      <c r="H61" s="314" t="str">
        <f t="shared" si="64"/>
        <v/>
      </c>
      <c r="I61" s="314" t="str">
        <f t="shared" si="65"/>
        <v/>
      </c>
      <c r="J61" s="314" t="str">
        <f t="shared" si="35"/>
        <v/>
      </c>
      <c r="K61" s="314" t="str">
        <f t="shared" si="36"/>
        <v/>
      </c>
      <c r="L61" s="314" t="str">
        <f t="shared" si="37"/>
        <v/>
      </c>
      <c r="M61" s="314" t="str">
        <f t="shared" si="38"/>
        <v/>
      </c>
      <c r="N61" s="314" t="str">
        <f t="shared" si="39"/>
        <v/>
      </c>
      <c r="O61" s="314" t="str">
        <f t="shared" si="40"/>
        <v/>
      </c>
      <c r="P61" s="314" t="str">
        <f t="shared" si="41"/>
        <v/>
      </c>
      <c r="Q61" s="314" t="str">
        <f t="shared" si="42"/>
        <v/>
      </c>
      <c r="R61" s="314" t="str">
        <f t="shared" si="43"/>
        <v/>
      </c>
      <c r="S61" s="314" t="str">
        <f t="shared" si="44"/>
        <v/>
      </c>
      <c r="T61" s="314" t="str">
        <f t="shared" si="45"/>
        <v/>
      </c>
      <c r="U61" s="314" t="str">
        <f t="shared" si="46"/>
        <v/>
      </c>
      <c r="V61" s="314" t="str">
        <f t="shared" si="47"/>
        <v/>
      </c>
      <c r="W61" s="314" t="str">
        <f t="shared" si="48"/>
        <v/>
      </c>
      <c r="X61" s="314" t="str">
        <f t="shared" si="49"/>
        <v/>
      </c>
      <c r="Y61" s="314" t="str">
        <f t="shared" si="50"/>
        <v/>
      </c>
      <c r="Z61" s="314" t="str">
        <f t="shared" si="51"/>
        <v/>
      </c>
      <c r="AA61" s="314" t="str">
        <f t="shared" si="52"/>
        <v/>
      </c>
      <c r="AB61" s="314" t="str">
        <f t="shared" si="53"/>
        <v/>
      </c>
      <c r="AC61" s="314" t="str">
        <f t="shared" si="54"/>
        <v/>
      </c>
      <c r="AD61" s="314" t="str">
        <f t="shared" si="55"/>
        <v/>
      </c>
      <c r="AE61" s="314" t="str">
        <f t="shared" si="56"/>
        <v/>
      </c>
      <c r="AF61" s="314" t="str">
        <f t="shared" si="57"/>
        <v/>
      </c>
      <c r="AG61" s="314" t="str">
        <f t="shared" si="58"/>
        <v/>
      </c>
    </row>
    <row r="62" spans="1:33" x14ac:dyDescent="0.5">
      <c r="A62" s="87">
        <v>17</v>
      </c>
      <c r="B62" s="314" t="str">
        <f t="shared" si="34"/>
        <v/>
      </c>
      <c r="C62" s="314" t="str">
        <f t="shared" si="59"/>
        <v/>
      </c>
      <c r="D62" s="314" t="str">
        <f t="shared" si="60"/>
        <v/>
      </c>
      <c r="E62" s="314" t="str">
        <f t="shared" si="61"/>
        <v/>
      </c>
      <c r="F62" s="314" t="str">
        <f t="shared" si="62"/>
        <v/>
      </c>
      <c r="G62" s="314" t="str">
        <f t="shared" si="63"/>
        <v/>
      </c>
      <c r="H62" s="314" t="str">
        <f t="shared" si="64"/>
        <v/>
      </c>
      <c r="I62" s="314" t="str">
        <f t="shared" si="65"/>
        <v/>
      </c>
      <c r="J62" s="314" t="str">
        <f t="shared" si="35"/>
        <v/>
      </c>
      <c r="K62" s="314" t="str">
        <f t="shared" si="36"/>
        <v/>
      </c>
      <c r="L62" s="314" t="str">
        <f t="shared" si="37"/>
        <v/>
      </c>
      <c r="M62" s="314" t="str">
        <f t="shared" si="38"/>
        <v/>
      </c>
      <c r="N62" s="314" t="str">
        <f t="shared" si="39"/>
        <v/>
      </c>
      <c r="O62" s="314" t="str">
        <f t="shared" si="40"/>
        <v/>
      </c>
      <c r="P62" s="314" t="str">
        <f t="shared" si="41"/>
        <v/>
      </c>
      <c r="Q62" s="314" t="str">
        <f t="shared" si="42"/>
        <v/>
      </c>
      <c r="R62" s="314" t="str">
        <f t="shared" si="43"/>
        <v/>
      </c>
      <c r="S62" s="314" t="str">
        <f t="shared" si="44"/>
        <v/>
      </c>
      <c r="T62" s="314" t="str">
        <f t="shared" si="45"/>
        <v/>
      </c>
      <c r="U62" s="314" t="str">
        <f t="shared" si="46"/>
        <v/>
      </c>
      <c r="V62" s="314" t="str">
        <f t="shared" si="47"/>
        <v/>
      </c>
      <c r="W62" s="314" t="str">
        <f t="shared" si="48"/>
        <v/>
      </c>
      <c r="X62" s="314" t="str">
        <f t="shared" si="49"/>
        <v/>
      </c>
      <c r="Y62" s="314" t="str">
        <f t="shared" si="50"/>
        <v/>
      </c>
      <c r="Z62" s="314" t="str">
        <f t="shared" si="51"/>
        <v/>
      </c>
      <c r="AA62" s="314" t="str">
        <f t="shared" si="52"/>
        <v/>
      </c>
      <c r="AB62" s="314" t="str">
        <f t="shared" si="53"/>
        <v/>
      </c>
      <c r="AC62" s="314" t="str">
        <f t="shared" si="54"/>
        <v/>
      </c>
      <c r="AD62" s="314" t="str">
        <f t="shared" si="55"/>
        <v/>
      </c>
      <c r="AE62" s="314" t="str">
        <f t="shared" si="56"/>
        <v/>
      </c>
      <c r="AF62" s="314" t="str">
        <f t="shared" si="57"/>
        <v/>
      </c>
      <c r="AG62" s="314" t="str">
        <f t="shared" si="58"/>
        <v/>
      </c>
    </row>
    <row r="63" spans="1:33" x14ac:dyDescent="0.5">
      <c r="A63" s="87">
        <v>18</v>
      </c>
      <c r="B63" s="314" t="str">
        <f t="shared" si="34"/>
        <v/>
      </c>
      <c r="C63" s="314" t="str">
        <f t="shared" si="59"/>
        <v/>
      </c>
      <c r="D63" s="314" t="str">
        <f t="shared" si="60"/>
        <v/>
      </c>
      <c r="E63" s="314" t="str">
        <f t="shared" si="61"/>
        <v/>
      </c>
      <c r="F63" s="314" t="str">
        <f t="shared" si="62"/>
        <v/>
      </c>
      <c r="G63" s="314" t="str">
        <f t="shared" si="63"/>
        <v/>
      </c>
      <c r="H63" s="314" t="str">
        <f t="shared" si="64"/>
        <v/>
      </c>
      <c r="I63" s="314" t="str">
        <f t="shared" si="65"/>
        <v/>
      </c>
      <c r="J63" s="314" t="str">
        <f t="shared" si="35"/>
        <v/>
      </c>
      <c r="K63" s="314" t="str">
        <f t="shared" si="36"/>
        <v/>
      </c>
      <c r="L63" s="314" t="str">
        <f t="shared" si="37"/>
        <v/>
      </c>
      <c r="M63" s="314" t="str">
        <f t="shared" si="38"/>
        <v/>
      </c>
      <c r="N63" s="314" t="str">
        <f t="shared" si="39"/>
        <v/>
      </c>
      <c r="O63" s="314" t="str">
        <f t="shared" si="40"/>
        <v/>
      </c>
      <c r="P63" s="314" t="str">
        <f t="shared" si="41"/>
        <v/>
      </c>
      <c r="Q63" s="314" t="str">
        <f t="shared" si="42"/>
        <v/>
      </c>
      <c r="R63" s="314" t="str">
        <f t="shared" si="43"/>
        <v/>
      </c>
      <c r="S63" s="314" t="str">
        <f t="shared" si="44"/>
        <v/>
      </c>
      <c r="T63" s="314" t="str">
        <f t="shared" si="45"/>
        <v/>
      </c>
      <c r="U63" s="314" t="str">
        <f t="shared" si="46"/>
        <v/>
      </c>
      <c r="V63" s="314" t="str">
        <f t="shared" si="47"/>
        <v/>
      </c>
      <c r="W63" s="314" t="str">
        <f t="shared" si="48"/>
        <v/>
      </c>
      <c r="X63" s="314" t="str">
        <f t="shared" si="49"/>
        <v/>
      </c>
      <c r="Y63" s="314" t="str">
        <f t="shared" si="50"/>
        <v/>
      </c>
      <c r="Z63" s="314" t="str">
        <f t="shared" si="51"/>
        <v/>
      </c>
      <c r="AA63" s="314" t="str">
        <f t="shared" si="52"/>
        <v/>
      </c>
      <c r="AB63" s="314" t="str">
        <f t="shared" si="53"/>
        <v/>
      </c>
      <c r="AC63" s="314" t="str">
        <f t="shared" si="54"/>
        <v/>
      </c>
      <c r="AD63" s="314" t="str">
        <f t="shared" si="55"/>
        <v/>
      </c>
      <c r="AE63" s="314" t="str">
        <f t="shared" si="56"/>
        <v/>
      </c>
      <c r="AF63" s="314" t="str">
        <f t="shared" si="57"/>
        <v/>
      </c>
      <c r="AG63" s="314" t="str">
        <f t="shared" si="58"/>
        <v/>
      </c>
    </row>
    <row r="64" spans="1:33" x14ac:dyDescent="0.5">
      <c r="A64" s="87">
        <v>19</v>
      </c>
      <c r="B64" s="314" t="str">
        <f t="shared" si="34"/>
        <v/>
      </c>
      <c r="C64" s="314" t="str">
        <f t="shared" si="59"/>
        <v/>
      </c>
      <c r="D64" s="314" t="str">
        <f t="shared" si="60"/>
        <v/>
      </c>
      <c r="E64" s="314" t="str">
        <f t="shared" si="61"/>
        <v/>
      </c>
      <c r="F64" s="314" t="str">
        <f t="shared" si="62"/>
        <v/>
      </c>
      <c r="G64" s="314" t="str">
        <f t="shared" si="63"/>
        <v/>
      </c>
      <c r="H64" s="314" t="str">
        <f t="shared" si="64"/>
        <v/>
      </c>
      <c r="I64" s="314" t="str">
        <f t="shared" si="65"/>
        <v/>
      </c>
      <c r="J64" s="314" t="str">
        <f t="shared" si="35"/>
        <v/>
      </c>
      <c r="K64" s="314" t="str">
        <f t="shared" si="36"/>
        <v/>
      </c>
      <c r="L64" s="314" t="str">
        <f t="shared" si="37"/>
        <v/>
      </c>
      <c r="M64" s="314" t="str">
        <f t="shared" si="38"/>
        <v/>
      </c>
      <c r="N64" s="314" t="str">
        <f t="shared" si="39"/>
        <v/>
      </c>
      <c r="O64" s="314" t="str">
        <f t="shared" si="40"/>
        <v/>
      </c>
      <c r="P64" s="314" t="str">
        <f t="shared" si="41"/>
        <v/>
      </c>
      <c r="Q64" s="314" t="str">
        <f t="shared" si="42"/>
        <v/>
      </c>
      <c r="R64" s="314" t="str">
        <f t="shared" si="43"/>
        <v/>
      </c>
      <c r="S64" s="314" t="str">
        <f t="shared" si="44"/>
        <v/>
      </c>
      <c r="T64" s="314" t="str">
        <f t="shared" si="45"/>
        <v/>
      </c>
      <c r="U64" s="314" t="str">
        <f t="shared" si="46"/>
        <v/>
      </c>
      <c r="V64" s="314" t="str">
        <f t="shared" si="47"/>
        <v/>
      </c>
      <c r="W64" s="314" t="str">
        <f t="shared" si="48"/>
        <v/>
      </c>
      <c r="X64" s="314" t="str">
        <f t="shared" si="49"/>
        <v/>
      </c>
      <c r="Y64" s="314" t="str">
        <f t="shared" si="50"/>
        <v/>
      </c>
      <c r="Z64" s="314" t="str">
        <f t="shared" si="51"/>
        <v/>
      </c>
      <c r="AA64" s="314" t="str">
        <f t="shared" si="52"/>
        <v/>
      </c>
      <c r="AB64" s="314" t="str">
        <f t="shared" si="53"/>
        <v/>
      </c>
      <c r="AC64" s="314" t="str">
        <f t="shared" si="54"/>
        <v/>
      </c>
      <c r="AD64" s="314" t="str">
        <f t="shared" si="55"/>
        <v/>
      </c>
      <c r="AE64" s="314" t="str">
        <f t="shared" si="56"/>
        <v/>
      </c>
      <c r="AF64" s="314" t="str">
        <f t="shared" si="57"/>
        <v/>
      </c>
      <c r="AG64" s="314" t="str">
        <f t="shared" si="58"/>
        <v/>
      </c>
    </row>
    <row r="65" spans="1:33" x14ac:dyDescent="0.5">
      <c r="A65" s="379">
        <v>20</v>
      </c>
      <c r="B65" s="380" t="str">
        <f t="shared" si="34"/>
        <v/>
      </c>
      <c r="C65" s="380" t="str">
        <f t="shared" si="59"/>
        <v/>
      </c>
      <c r="D65" s="380" t="str">
        <f t="shared" si="60"/>
        <v/>
      </c>
      <c r="E65" s="380" t="str">
        <f t="shared" si="61"/>
        <v/>
      </c>
      <c r="F65" s="380" t="str">
        <f t="shared" si="62"/>
        <v/>
      </c>
      <c r="G65" s="380" t="str">
        <f t="shared" si="63"/>
        <v/>
      </c>
      <c r="H65" s="380" t="str">
        <f t="shared" si="64"/>
        <v/>
      </c>
      <c r="I65" s="380" t="str">
        <f t="shared" si="65"/>
        <v/>
      </c>
      <c r="J65" s="380" t="str">
        <f t="shared" si="35"/>
        <v/>
      </c>
      <c r="K65" s="380" t="str">
        <f t="shared" si="36"/>
        <v/>
      </c>
      <c r="L65" s="380" t="str">
        <f t="shared" si="37"/>
        <v/>
      </c>
      <c r="M65" s="380" t="str">
        <f t="shared" si="38"/>
        <v/>
      </c>
      <c r="N65" s="380" t="str">
        <f t="shared" si="39"/>
        <v/>
      </c>
      <c r="O65" s="380" t="str">
        <f t="shared" si="40"/>
        <v/>
      </c>
      <c r="P65" s="380" t="str">
        <f t="shared" si="41"/>
        <v/>
      </c>
      <c r="Q65" s="380" t="str">
        <f t="shared" si="42"/>
        <v/>
      </c>
      <c r="R65" s="380" t="str">
        <f t="shared" si="43"/>
        <v/>
      </c>
      <c r="S65" s="380" t="str">
        <f t="shared" si="44"/>
        <v/>
      </c>
      <c r="T65" s="380" t="str">
        <f t="shared" si="45"/>
        <v/>
      </c>
      <c r="U65" s="380" t="str">
        <f t="shared" si="46"/>
        <v/>
      </c>
      <c r="V65" s="380" t="str">
        <f t="shared" si="47"/>
        <v/>
      </c>
      <c r="W65" s="380" t="str">
        <f t="shared" si="48"/>
        <v/>
      </c>
      <c r="X65" s="380" t="str">
        <f t="shared" si="49"/>
        <v/>
      </c>
      <c r="Y65" s="380" t="str">
        <f t="shared" si="50"/>
        <v/>
      </c>
      <c r="Z65" s="380" t="str">
        <f t="shared" si="51"/>
        <v/>
      </c>
      <c r="AA65" s="380" t="str">
        <f t="shared" si="52"/>
        <v/>
      </c>
      <c r="AB65" s="380" t="str">
        <f t="shared" si="53"/>
        <v/>
      </c>
      <c r="AC65" s="380" t="str">
        <f t="shared" si="54"/>
        <v/>
      </c>
      <c r="AD65" s="380" t="str">
        <f t="shared" si="55"/>
        <v/>
      </c>
      <c r="AE65" s="380" t="str">
        <f t="shared" si="56"/>
        <v/>
      </c>
      <c r="AF65" s="380" t="str">
        <f t="shared" si="57"/>
        <v/>
      </c>
      <c r="AG65" s="380" t="str">
        <f t="shared" si="58"/>
        <v/>
      </c>
    </row>
  </sheetData>
  <sheetProtection algorithmName="SHA-512" hashValue="fcdGKWQDeGEQnL2m0EfKUT1LrzjL2jyIBfPeSylb/N9wJQEEJibouWmY+l/VfYwmBNAl6+RoLbkoeo4ren7KxA==" saltValue="eWNlP0qGIlXkKkG7MFBczg==" spinCount="100000" sheet="1" objects="1" scenarios="1"/>
  <mergeCells count="16">
    <mergeCell ref="A16:D16"/>
    <mergeCell ref="A1:J1"/>
    <mergeCell ref="A6:B6"/>
    <mergeCell ref="C6:D6"/>
    <mergeCell ref="A9:E9"/>
    <mergeCell ref="A13:D13"/>
    <mergeCell ref="A10:D10"/>
    <mergeCell ref="A11:D11"/>
    <mergeCell ref="A12:D12"/>
    <mergeCell ref="A14:D14"/>
    <mergeCell ref="A15:D15"/>
    <mergeCell ref="G9:K9"/>
    <mergeCell ref="G10:J10"/>
    <mergeCell ref="G11:J11"/>
    <mergeCell ref="G12:J12"/>
    <mergeCell ref="G13:J1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6417-CEBC-4320-B270-F8556FE071F0}">
  <sheetPr codeName="Sheet8">
    <tabColor rgb="FFFFFFA7"/>
  </sheetPr>
  <dimension ref="A1:X64"/>
  <sheetViews>
    <sheetView showGridLines="0" topLeftCell="A21" zoomScale="80" zoomScaleNormal="80" workbookViewId="0">
      <selection activeCell="E31" sqref="E31"/>
    </sheetView>
  </sheetViews>
  <sheetFormatPr defaultColWidth="8.6796875" defaultRowHeight="15" x14ac:dyDescent="0.5"/>
  <cols>
    <col min="1" max="1" width="7.76953125" customWidth="1"/>
    <col min="2" max="2" width="11.6796875" customWidth="1"/>
    <col min="3" max="3" width="15.54296875" customWidth="1"/>
    <col min="4" max="4" width="5.76953125" bestFit="1" customWidth="1"/>
    <col min="5" max="5" width="16" customWidth="1"/>
    <col min="6" max="6" width="13.2265625" customWidth="1"/>
    <col min="7" max="7" width="11.54296875" customWidth="1"/>
    <col min="8" max="8" width="20.54296875" customWidth="1"/>
    <col min="9" max="9" width="10.08984375" bestFit="1" customWidth="1"/>
    <col min="10" max="10" width="15.54296875" customWidth="1"/>
    <col min="11" max="12" width="13.2265625" customWidth="1"/>
    <col min="13" max="13" width="11.6796875" customWidth="1"/>
    <col min="14" max="15" width="15.453125" customWidth="1"/>
    <col min="16" max="16" width="12.08984375" customWidth="1"/>
    <col min="17" max="18" width="17.2265625" customWidth="1"/>
    <col min="19" max="22" width="12.08984375" customWidth="1"/>
    <col min="23" max="24" width="13.2265625" customWidth="1"/>
    <col min="25" max="25" width="12.08984375" customWidth="1"/>
  </cols>
  <sheetData>
    <row r="1" spans="1:22" s="89" customFormat="1" ht="241" customHeight="1" x14ac:dyDescent="0.55000000000000004">
      <c r="A1" s="446" t="s">
        <v>345</v>
      </c>
      <c r="B1" s="446"/>
      <c r="C1" s="446"/>
      <c r="D1" s="446"/>
      <c r="E1" s="446"/>
      <c r="F1" s="446"/>
      <c r="G1" s="446"/>
      <c r="H1" s="446"/>
      <c r="I1" s="446"/>
      <c r="J1" s="446"/>
      <c r="K1" s="446"/>
      <c r="L1" s="446"/>
      <c r="M1" s="240"/>
      <c r="N1" s="240"/>
      <c r="O1" s="240"/>
      <c r="P1" s="240"/>
      <c r="Q1" s="240"/>
      <c r="R1" s="240"/>
      <c r="S1" s="240"/>
      <c r="T1" s="327"/>
      <c r="U1" s="240"/>
      <c r="V1" s="240"/>
    </row>
    <row r="2" spans="1:22" s="110" customFormat="1" ht="12.3" x14ac:dyDescent="0.4"/>
    <row r="3" spans="1:22" s="57" customFormat="1" ht="28.2" x14ac:dyDescent="1.05">
      <c r="A3" s="111" t="str">
        <f ca="1">"Attachment C2, "&amp;MID(CELL("filename",A1),FIND("]",CELL("filename",A1))+1,256)</f>
        <v>Attachment C2, Microgrid Proposal</v>
      </c>
      <c r="B3" s="58"/>
      <c r="C3" s="58"/>
      <c r="D3" s="58"/>
      <c r="E3" s="58"/>
      <c r="F3" s="58"/>
      <c r="G3" s="58"/>
      <c r="H3" s="58"/>
      <c r="I3" s="58"/>
      <c r="J3" s="58"/>
      <c r="K3" s="58"/>
      <c r="L3" s="58"/>
      <c r="M3" s="58"/>
      <c r="N3" s="58"/>
      <c r="O3" s="58"/>
      <c r="P3" s="58"/>
      <c r="Q3" s="58"/>
      <c r="R3" s="58"/>
      <c r="S3" s="58"/>
      <c r="T3" s="58"/>
    </row>
    <row r="4" spans="1:22" s="57" customFormat="1" ht="20.399999999999999" x14ac:dyDescent="0.75">
      <c r="A4" s="112" t="str">
        <f>'Summary &amp; Signature'!A4</f>
        <v>Judicial Council of California Proposed Price Quotation Form</v>
      </c>
      <c r="B4" s="58"/>
      <c r="C4" s="113"/>
      <c r="D4" s="113"/>
      <c r="E4" s="58"/>
      <c r="G4" s="58"/>
      <c r="H4" s="58"/>
      <c r="I4" s="58"/>
      <c r="J4" s="58"/>
      <c r="K4" s="58"/>
      <c r="L4" s="58"/>
      <c r="M4" s="58"/>
      <c r="N4" s="58"/>
      <c r="O4" s="58"/>
      <c r="P4" s="58"/>
      <c r="Q4" s="58"/>
      <c r="R4" s="58"/>
      <c r="S4" s="58"/>
      <c r="T4" s="58"/>
    </row>
    <row r="5" spans="1:22" s="59" customFormat="1" ht="15.6" x14ac:dyDescent="0.6">
      <c r="A5" s="114"/>
      <c r="B5" s="115"/>
      <c r="C5" s="115"/>
      <c r="D5" s="115"/>
      <c r="E5" s="115"/>
      <c r="G5" s="115"/>
      <c r="H5" s="115"/>
      <c r="I5" s="115"/>
      <c r="J5" s="115"/>
      <c r="K5" s="115"/>
      <c r="L5" s="115"/>
      <c r="M5" s="115"/>
      <c r="N5" s="115"/>
      <c r="O5" s="115"/>
      <c r="P5" s="115"/>
      <c r="Q5" s="115"/>
      <c r="R5" s="115"/>
      <c r="S5" s="115"/>
      <c r="T5" s="115"/>
      <c r="V5" s="57"/>
    </row>
    <row r="6" spans="1:22" s="57" customFormat="1" ht="18.75" customHeight="1" x14ac:dyDescent="0.7">
      <c r="A6" s="447" t="s">
        <v>182</v>
      </c>
      <c r="B6" s="447"/>
      <c r="C6" s="442">
        <f>Vendor_Name</f>
        <v>0</v>
      </c>
      <c r="D6" s="442"/>
      <c r="E6" s="442"/>
      <c r="F6" s="59"/>
      <c r="J6" s="58"/>
      <c r="K6" s="58"/>
      <c r="L6" s="58"/>
    </row>
    <row r="7" spans="1:22" s="57" customFormat="1" ht="18.3" x14ac:dyDescent="0.7">
      <c r="A7" s="116"/>
      <c r="B7" s="116"/>
    </row>
    <row r="8" spans="1:22" s="57" customFormat="1" ht="29.7" x14ac:dyDescent="0.95">
      <c r="A8" s="71" t="s">
        <v>204</v>
      </c>
      <c r="B8" s="116"/>
    </row>
    <row r="9" spans="1:22" s="57" customFormat="1" ht="18.3" x14ac:dyDescent="0.7">
      <c r="A9" s="116"/>
      <c r="B9" s="116"/>
    </row>
    <row r="10" spans="1:22" s="57" customFormat="1" ht="28.8" x14ac:dyDescent="0.7">
      <c r="A10" s="472" t="s">
        <v>205</v>
      </c>
      <c r="B10" s="473"/>
      <c r="C10" s="473"/>
      <c r="D10" s="474"/>
      <c r="E10" s="120" t="s">
        <v>206</v>
      </c>
      <c r="F10" s="121" t="s">
        <v>207</v>
      </c>
      <c r="G10" s="239" t="s">
        <v>208</v>
      </c>
      <c r="H10" s="470" t="s">
        <v>209</v>
      </c>
      <c r="I10" s="471"/>
      <c r="J10" s="471"/>
      <c r="K10" s="471"/>
      <c r="L10" s="471"/>
      <c r="M10" s="471"/>
      <c r="N10" s="471"/>
      <c r="O10" s="471"/>
      <c r="V10" s="113"/>
    </row>
    <row r="11" spans="1:22" s="118" customFormat="1" ht="26.65" customHeight="1" x14ac:dyDescent="0.5">
      <c r="A11" s="455" t="s">
        <v>210</v>
      </c>
      <c r="B11" s="456"/>
      <c r="C11" s="456"/>
      <c r="D11" s="457"/>
      <c r="E11" s="293" t="s">
        <v>211</v>
      </c>
      <c r="F11" s="294" t="s">
        <v>212</v>
      </c>
      <c r="G11" s="238" t="s">
        <v>2</v>
      </c>
      <c r="H11" s="469" t="s">
        <v>355</v>
      </c>
      <c r="I11" s="469"/>
      <c r="J11" s="469"/>
      <c r="K11" s="469"/>
      <c r="L11" s="469"/>
      <c r="M11" s="469"/>
      <c r="N11" s="469"/>
      <c r="O11" s="469"/>
    </row>
    <row r="12" spans="1:22" s="118" customFormat="1" ht="26.5" customHeight="1" x14ac:dyDescent="0.5">
      <c r="A12" s="455" t="s">
        <v>358</v>
      </c>
      <c r="B12" s="456"/>
      <c r="C12" s="456"/>
      <c r="D12" s="457"/>
      <c r="E12" s="293" t="s">
        <v>219</v>
      </c>
      <c r="F12" s="294" t="s">
        <v>212</v>
      </c>
      <c r="G12" s="238" t="s">
        <v>2</v>
      </c>
      <c r="H12" s="469" t="s">
        <v>366</v>
      </c>
      <c r="I12" s="469"/>
      <c r="J12" s="469"/>
      <c r="K12" s="469"/>
      <c r="L12" s="469"/>
      <c r="M12" s="469"/>
      <c r="N12" s="469"/>
      <c r="O12" s="469"/>
    </row>
    <row r="13" spans="1:22" s="118" customFormat="1" ht="13.15" customHeight="1" x14ac:dyDescent="0.5">
      <c r="A13" s="455" t="s">
        <v>213</v>
      </c>
      <c r="B13" s="456"/>
      <c r="C13" s="456"/>
      <c r="D13" s="457"/>
      <c r="E13" s="293" t="s">
        <v>219</v>
      </c>
      <c r="F13" s="294" t="s">
        <v>212</v>
      </c>
      <c r="G13" s="238" t="s">
        <v>2</v>
      </c>
      <c r="H13" s="469" t="s">
        <v>365</v>
      </c>
      <c r="I13" s="469"/>
      <c r="J13" s="469"/>
      <c r="K13" s="469"/>
      <c r="L13" s="469"/>
      <c r="M13" s="469"/>
      <c r="N13" s="469"/>
      <c r="O13" s="469"/>
    </row>
    <row r="14" spans="1:22" s="118" customFormat="1" ht="13.15" customHeight="1" x14ac:dyDescent="0.5">
      <c r="A14" s="455" t="s">
        <v>214</v>
      </c>
      <c r="B14" s="456"/>
      <c r="C14" s="456"/>
      <c r="D14" s="457"/>
      <c r="E14" s="293" t="s">
        <v>219</v>
      </c>
      <c r="F14" s="294" t="s">
        <v>212</v>
      </c>
      <c r="G14" s="238" t="s">
        <v>2</v>
      </c>
      <c r="H14" s="469" t="s">
        <v>365</v>
      </c>
      <c r="I14" s="469"/>
      <c r="J14" s="469"/>
      <c r="K14" s="469"/>
      <c r="L14" s="469"/>
      <c r="M14" s="469"/>
      <c r="N14" s="469"/>
      <c r="O14" s="469"/>
    </row>
    <row r="15" spans="1:22" s="118" customFormat="1" ht="13.15" customHeight="1" x14ac:dyDescent="0.5">
      <c r="A15" s="455" t="s">
        <v>215</v>
      </c>
      <c r="B15" s="456"/>
      <c r="C15" s="456"/>
      <c r="D15" s="457"/>
      <c r="E15" s="293" t="s">
        <v>211</v>
      </c>
      <c r="F15" s="295" t="s">
        <v>216</v>
      </c>
      <c r="G15" s="238" t="s">
        <v>2</v>
      </c>
      <c r="H15" s="469" t="s">
        <v>217</v>
      </c>
      <c r="I15" s="469"/>
      <c r="J15" s="469"/>
      <c r="K15" s="469"/>
      <c r="L15" s="469"/>
      <c r="M15" s="469"/>
      <c r="N15" s="469"/>
      <c r="O15" s="469"/>
    </row>
    <row r="16" spans="1:22" s="118" customFormat="1" ht="13.15" customHeight="1" x14ac:dyDescent="0.5">
      <c r="A16" s="455" t="s">
        <v>218</v>
      </c>
      <c r="B16" s="456"/>
      <c r="C16" s="456"/>
      <c r="D16" s="457"/>
      <c r="E16" s="293" t="s">
        <v>219</v>
      </c>
      <c r="F16" s="295" t="s">
        <v>220</v>
      </c>
      <c r="G16" s="238" t="s">
        <v>4</v>
      </c>
      <c r="H16" s="469" t="s">
        <v>221</v>
      </c>
      <c r="I16" s="469"/>
      <c r="J16" s="469"/>
      <c r="K16" s="469"/>
      <c r="L16" s="469"/>
      <c r="M16" s="469"/>
      <c r="N16" s="469"/>
      <c r="O16" s="469"/>
    </row>
    <row r="17" spans="1:24" s="118" customFormat="1" ht="13.15" customHeight="1" x14ac:dyDescent="0.5">
      <c r="A17" s="455" t="s">
        <v>222</v>
      </c>
      <c r="B17" s="456"/>
      <c r="C17" s="456"/>
      <c r="D17" s="457"/>
      <c r="E17" s="293" t="s">
        <v>211</v>
      </c>
      <c r="F17" s="295" t="s">
        <v>216</v>
      </c>
      <c r="G17" s="238" t="s">
        <v>2</v>
      </c>
      <c r="H17" s="469" t="s">
        <v>223</v>
      </c>
      <c r="I17" s="469"/>
      <c r="J17" s="469"/>
      <c r="K17" s="469"/>
      <c r="L17" s="469"/>
      <c r="M17" s="469"/>
      <c r="N17" s="469"/>
      <c r="O17" s="469"/>
    </row>
    <row r="18" spans="1:24" s="118" customFormat="1" ht="27.75" customHeight="1" x14ac:dyDescent="0.5">
      <c r="A18" s="455" t="s">
        <v>224</v>
      </c>
      <c r="B18" s="456"/>
      <c r="C18" s="456"/>
      <c r="D18" s="457"/>
      <c r="E18" s="293" t="s">
        <v>211</v>
      </c>
      <c r="F18" s="294" t="s">
        <v>212</v>
      </c>
      <c r="G18" s="238" t="s">
        <v>2</v>
      </c>
      <c r="H18" s="469" t="s">
        <v>323</v>
      </c>
      <c r="I18" s="469"/>
      <c r="J18" s="469"/>
      <c r="K18" s="469"/>
      <c r="L18" s="469"/>
      <c r="M18" s="469"/>
      <c r="N18" s="469"/>
      <c r="O18" s="469"/>
    </row>
    <row r="19" spans="1:24" s="118" customFormat="1" ht="13.15" customHeight="1" x14ac:dyDescent="0.5">
      <c r="A19" s="455" t="s">
        <v>225</v>
      </c>
      <c r="B19" s="456"/>
      <c r="C19" s="456"/>
      <c r="D19" s="457"/>
      <c r="E19" s="293" t="s">
        <v>219</v>
      </c>
      <c r="F19" s="295" t="s">
        <v>220</v>
      </c>
      <c r="G19" s="238" t="s">
        <v>4</v>
      </c>
      <c r="H19" s="469" t="s">
        <v>356</v>
      </c>
      <c r="I19" s="469"/>
      <c r="J19" s="469"/>
      <c r="K19" s="469"/>
      <c r="L19" s="469"/>
      <c r="M19" s="469"/>
      <c r="N19" s="469"/>
      <c r="O19" s="469"/>
    </row>
    <row r="20" spans="1:24" s="119" customFormat="1" ht="12.9" x14ac:dyDescent="0.5">
      <c r="A20" s="455" t="s">
        <v>226</v>
      </c>
      <c r="B20" s="456"/>
      <c r="C20" s="456"/>
      <c r="D20" s="457"/>
      <c r="E20" s="293" t="s">
        <v>211</v>
      </c>
      <c r="F20" s="293" t="s">
        <v>216</v>
      </c>
      <c r="G20" s="236" t="s">
        <v>2</v>
      </c>
      <c r="H20" s="475" t="s">
        <v>227</v>
      </c>
      <c r="I20" s="475"/>
      <c r="J20" s="475"/>
      <c r="K20" s="475"/>
      <c r="L20" s="475"/>
      <c r="M20" s="475"/>
      <c r="N20" s="475"/>
      <c r="O20" s="475"/>
    </row>
    <row r="21" spans="1:24" s="119" customFormat="1" ht="13.9" customHeight="1" x14ac:dyDescent="0.5">
      <c r="A21" s="455" t="s">
        <v>228</v>
      </c>
      <c r="B21" s="456"/>
      <c r="C21" s="456"/>
      <c r="D21" s="457"/>
      <c r="E21" s="293" t="s">
        <v>211</v>
      </c>
      <c r="F21" s="293" t="s">
        <v>216</v>
      </c>
      <c r="G21" s="236" t="s">
        <v>2</v>
      </c>
      <c r="H21" s="454" t="s">
        <v>229</v>
      </c>
      <c r="I21" s="454"/>
      <c r="J21" s="454"/>
      <c r="K21" s="454"/>
      <c r="L21" s="454"/>
      <c r="M21" s="454"/>
      <c r="N21" s="454"/>
      <c r="O21" s="454"/>
    </row>
    <row r="22" spans="1:24" s="118" customFormat="1" ht="15" customHeight="1" x14ac:dyDescent="0.5">
      <c r="A22" s="455" t="s">
        <v>230</v>
      </c>
      <c r="B22" s="456"/>
      <c r="C22" s="456"/>
      <c r="D22" s="457"/>
      <c r="E22" s="293" t="s">
        <v>211</v>
      </c>
      <c r="F22" s="293" t="s">
        <v>216</v>
      </c>
      <c r="G22" s="236" t="s">
        <v>2</v>
      </c>
      <c r="H22" s="454" t="s">
        <v>231</v>
      </c>
      <c r="I22" s="454"/>
      <c r="J22" s="454"/>
      <c r="K22" s="454"/>
      <c r="L22" s="454"/>
      <c r="M22" s="454"/>
      <c r="N22" s="454"/>
      <c r="O22" s="454"/>
    </row>
    <row r="23" spans="1:24" s="118" customFormat="1" ht="15" customHeight="1" x14ac:dyDescent="0.5">
      <c r="A23" s="455" t="s">
        <v>232</v>
      </c>
      <c r="B23" s="456"/>
      <c r="C23" s="456"/>
      <c r="D23" s="457"/>
      <c r="E23" s="293" t="s">
        <v>211</v>
      </c>
      <c r="F23" s="294" t="s">
        <v>212</v>
      </c>
      <c r="G23" s="236" t="s">
        <v>2</v>
      </c>
      <c r="H23" s="454" t="s">
        <v>357</v>
      </c>
      <c r="I23" s="454"/>
      <c r="J23" s="454"/>
      <c r="K23" s="454"/>
      <c r="L23" s="454"/>
      <c r="M23" s="454"/>
      <c r="N23" s="454"/>
      <c r="O23" s="454"/>
    </row>
    <row r="24" spans="1:24" s="118" customFormat="1" ht="15" customHeight="1" x14ac:dyDescent="0.5">
      <c r="A24" s="455" t="s">
        <v>234</v>
      </c>
      <c r="B24" s="456"/>
      <c r="C24" s="456"/>
      <c r="D24" s="457"/>
      <c r="E24" s="293" t="s">
        <v>211</v>
      </c>
      <c r="F24" s="293" t="s">
        <v>216</v>
      </c>
      <c r="G24" s="236" t="s">
        <v>2</v>
      </c>
      <c r="H24" s="454" t="s">
        <v>233</v>
      </c>
      <c r="I24" s="454"/>
      <c r="J24" s="454"/>
      <c r="K24" s="454"/>
      <c r="L24" s="454"/>
      <c r="M24" s="454"/>
      <c r="N24" s="454"/>
      <c r="O24" s="454"/>
    </row>
    <row r="25" spans="1:24" s="57" customFormat="1" ht="27.75" customHeight="1" x14ac:dyDescent="0.7">
      <c r="A25" s="466" t="s">
        <v>235</v>
      </c>
      <c r="B25" s="467"/>
      <c r="C25" s="467"/>
      <c r="D25" s="468"/>
      <c r="E25" s="117"/>
      <c r="F25" s="122"/>
      <c r="G25" s="237"/>
      <c r="H25" s="458" t="s">
        <v>339</v>
      </c>
      <c r="I25" s="458"/>
      <c r="J25" s="458"/>
      <c r="K25" s="458"/>
      <c r="L25" s="458"/>
      <c r="M25" s="458"/>
      <c r="N25" s="458"/>
      <c r="O25" s="458"/>
      <c r="V25" s="113"/>
    </row>
    <row r="27" spans="1:24" ht="29.7" x14ac:dyDescent="0.95">
      <c r="A27" s="71" t="s">
        <v>340</v>
      </c>
    </row>
    <row r="28" spans="1:24" ht="15" customHeight="1" thickBot="1" x14ac:dyDescent="1">
      <c r="A28" s="71"/>
    </row>
    <row r="29" spans="1:24" ht="20.7" thickBot="1" x14ac:dyDescent="0.55000000000000004">
      <c r="A29" s="459" t="s">
        <v>200</v>
      </c>
      <c r="B29" s="460"/>
      <c r="C29" s="460"/>
      <c r="D29" s="460"/>
      <c r="E29" s="460"/>
      <c r="F29" s="460"/>
      <c r="G29" s="460"/>
      <c r="H29" s="460"/>
      <c r="I29" s="461"/>
      <c r="J29" s="451" t="s">
        <v>236</v>
      </c>
      <c r="K29" s="452"/>
      <c r="L29" s="452"/>
      <c r="M29" s="452"/>
      <c r="N29" s="453"/>
      <c r="O29" s="452" t="s">
        <v>341</v>
      </c>
      <c r="P29" s="452"/>
      <c r="Q29" s="452"/>
      <c r="R29" s="453"/>
      <c r="S29" s="451" t="s">
        <v>237</v>
      </c>
      <c r="T29" s="452"/>
      <c r="U29" s="452"/>
      <c r="V29" s="452"/>
      <c r="W29" s="452"/>
      <c r="X29" s="453"/>
    </row>
    <row r="30" spans="1:24" ht="129.9" thickBot="1" x14ac:dyDescent="0.55000000000000004">
      <c r="A30" s="60" t="str">
        <f>'Site Data'!A5</f>
        <v>Site Number</v>
      </c>
      <c r="B30" s="439" t="str">
        <f>'Site Data'!B5</f>
        <v>Site Name</v>
      </c>
      <c r="C30" s="439"/>
      <c r="D30" s="235" t="str">
        <f>'Site Data'!C5</f>
        <v>Site ID</v>
      </c>
      <c r="E30" s="235" t="s">
        <v>238</v>
      </c>
      <c r="F30" s="234" t="s">
        <v>239</v>
      </c>
      <c r="G30" s="234" t="str">
        <f>'Site Data'!$E$5</f>
        <v>Service Provider</v>
      </c>
      <c r="H30" s="307" t="s">
        <v>337</v>
      </c>
      <c r="I30" s="70" t="str">
        <f>'Site Data'!$S$5</f>
        <v>PPA/SEL Term (yrs)</v>
      </c>
      <c r="J30" s="107" t="s">
        <v>240</v>
      </c>
      <c r="K30" s="124" t="s">
        <v>241</v>
      </c>
      <c r="L30" s="124" t="s">
        <v>242</v>
      </c>
      <c r="M30" s="124" t="s">
        <v>243</v>
      </c>
      <c r="N30" s="64" t="s">
        <v>244</v>
      </c>
      <c r="O30" s="124" t="s">
        <v>342</v>
      </c>
      <c r="P30" s="263" t="s">
        <v>343</v>
      </c>
      <c r="Q30" s="263" t="s">
        <v>344</v>
      </c>
      <c r="R30" s="64" t="s">
        <v>245</v>
      </c>
      <c r="S30" s="108" t="str">
        <f>'System Specification'!H14</f>
        <v>Design includes Rooftop arrays?</v>
      </c>
      <c r="T30" s="107" t="str">
        <f>'Site Data'!$P$5</f>
        <v>Roof Area to be Replaced (if Rooftop array included in design) (sqft)</v>
      </c>
      <c r="U30" s="123" t="s">
        <v>246</v>
      </c>
      <c r="V30" s="124" t="s">
        <v>224</v>
      </c>
      <c r="W30" s="263" t="s">
        <v>247</v>
      </c>
      <c r="X30" s="64" t="s">
        <v>248</v>
      </c>
    </row>
    <row r="31" spans="1:24" ht="15.3" x14ac:dyDescent="0.55000000000000004">
      <c r="A31" s="105">
        <v>1</v>
      </c>
      <c r="B31" s="464" t="str">
        <f>INDEX(Site_Data_Table,MATCH($A31,'Site Data'!$A$5:$A$37,0),MATCH(B$30,Site_Data_Column_Names,0))</f>
        <v>Fremont Hall of Justice</v>
      </c>
      <c r="C31" s="465" t="e">
        <f>INDEX(Site_Data_Table,MATCH($A31,'Site Data'!$A$5:$A$37,0),MATCH(C$30,Site_Data_Column_Names,0))</f>
        <v>#N/A</v>
      </c>
      <c r="D31" s="216" t="str">
        <f>INDEX(Site_Data_Table,MATCH($A31,'Site Data'!$A$5:$A$37,0),MATCH(D$30,Site_Data_Column_Names,0))</f>
        <v>01-H1</v>
      </c>
      <c r="E31" s="217">
        <f>INDEX(Prod_Yr_1,MATCH($A31,'System Specification'!$B$15:$B$46,0))</f>
        <v>0</v>
      </c>
      <c r="F31" s="218" t="str">
        <f>_xlfn.TEXTJOIN(" / ",1,INDEX('System Specification'!$L$15:$L$46,MATCH($A31,'System Specification'!$B$15:$B$46,0)),INDEX('System Specification'!$M$15:$M$46,MATCH($A31,'System Specification'!$B$15:$B$46,0)))</f>
        <v/>
      </c>
      <c r="G31" s="218" t="str">
        <f>INDEX(Site_Data_Table,MATCH($A31,'Site Data'!$A$5:$A$37,0),MATCH(G$30,Site_Data_Column_Names,0))</f>
        <v>PG&amp;E / EBCE</v>
      </c>
      <c r="H31" s="218" t="s">
        <v>329</v>
      </c>
      <c r="I31" s="260">
        <f>INDEX(Site_Data_Table,MATCH($A31,'Site Data'!$A$5:$A$37,0),MATCH(I$30,Site_Data_Column_Names,0))</f>
        <v>20</v>
      </c>
      <c r="J31" s="245"/>
      <c r="K31" s="125"/>
      <c r="L31" s="534"/>
      <c r="M31" s="535"/>
      <c r="N31" s="536"/>
      <c r="O31" s="180"/>
      <c r="P31" s="264"/>
      <c r="Q31" s="264"/>
      <c r="R31" s="131" t="str">
        <f>IF(O31=0,"",IFERROR(O31*$I31*12/#REF!/1000,""))</f>
        <v/>
      </c>
      <c r="S31" s="365" t="str">
        <f>_xlfn.LET(_xlpm.val,INDEX('System Specification'!$H$15:$H$47,MATCH($A31,'System Specification'!$B$15:$B$47,0)),
IF(_xlpm.val="","",_xlpm.val))</f>
        <v/>
      </c>
      <c r="T31" s="169">
        <f>IF($S31="No",0,INDEX(Site_Data_Table,MATCH($A31,'Site Data'!$A$5:$A$37,0),MATCH(T$30,Site_Data_Column_Names,0)))</f>
        <v>52000</v>
      </c>
      <c r="U31" s="168">
        <f>IF(T31="","",40*T31)</f>
        <v>2080000</v>
      </c>
      <c r="V31" s="201"/>
      <c r="W31" s="288">
        <v>15000</v>
      </c>
      <c r="X31" s="172">
        <f>SUM(U31:W31)</f>
        <v>2095000</v>
      </c>
    </row>
    <row r="32" spans="1:24" ht="15.3" x14ac:dyDescent="0.55000000000000004">
      <c r="A32" s="61">
        <v>2</v>
      </c>
      <c r="B32" s="462" t="str">
        <f>INDEX(Site_Data_Table,MATCH($A32,'Site Data'!$A$5:$A$37,0),MATCH(B$30,Site_Data_Column_Names,0))</f>
        <v>Amador Superior Court</v>
      </c>
      <c r="C32" s="463" t="e">
        <f>INDEX(Site_Data_Table,MATCH($A32,'Site Data'!$A$5:$A$37,0),MATCH(C$30,Site_Data_Column_Names,0))</f>
        <v>#N/A</v>
      </c>
      <c r="D32" s="199" t="str">
        <f>INDEX(Site_Data_Table,MATCH($A32,'Site Data'!$A$5:$A$37,0),MATCH(D$30,Site_Data_Column_Names,0))</f>
        <v>03-C1</v>
      </c>
      <c r="E32" s="176">
        <f>INDEX(Prod_Yr_1,MATCH($A32,'System Specification'!$B$15:$B$46,0))</f>
        <v>0</v>
      </c>
      <c r="F32" s="179" t="str">
        <f>_xlfn.TEXTJOIN(" / ",1,INDEX('System Specification'!$L$15:$L$46,MATCH($A32,'System Specification'!$B$15:$B$46,0)),INDEX('System Specification'!$M$15:$M$46,MATCH($A32,'System Specification'!$B$15:$B$46,0)))</f>
        <v/>
      </c>
      <c r="G32" s="179" t="str">
        <f>INDEX(Site_Data_Table,MATCH($A32,'Site Data'!$A$5:$A$37,0),MATCH(G$30,Site_Data_Column_Names,0))</f>
        <v>PG&amp;E</v>
      </c>
      <c r="H32" s="218" t="s">
        <v>329</v>
      </c>
      <c r="I32" s="261">
        <f>INDEX(Site_Data_Table,MATCH($A32,'Site Data'!$A$5:$A$37,0),MATCH(I$30,Site_Data_Column_Names,0))</f>
        <v>20</v>
      </c>
      <c r="J32" s="246"/>
      <c r="K32" s="126"/>
      <c r="L32" s="537"/>
      <c r="M32" s="538"/>
      <c r="N32" s="539"/>
      <c r="O32" s="181"/>
      <c r="P32" s="265"/>
      <c r="Q32" s="265"/>
      <c r="R32" s="132" t="str">
        <f>IF(O32=0,"",IFERROR(O32*$I32*12/#REF!/1000,""))</f>
        <v/>
      </c>
      <c r="S32" s="331" t="str">
        <f>_xlfn.LET(_xlpm.val,INDEX('System Specification'!$H$15:$H$47,MATCH($A32,'System Specification'!$B$15:$B$47,0)),
IF(_xlpm.val="","",_xlpm.val))</f>
        <v>No</v>
      </c>
      <c r="T32" s="241">
        <f>IF($S32="No",0,INDEX(Site_Data_Table,MATCH($A32,'Site Data'!$A$5:$A$37,0),MATCH(T$30,Site_Data_Column_Names,0)))</f>
        <v>0</v>
      </c>
      <c r="U32" s="242">
        <f t="shared" ref="U32:U62" si="0">IF(T32="","",40*T32)</f>
        <v>0</v>
      </c>
      <c r="V32" s="181"/>
      <c r="W32" s="287">
        <v>15000</v>
      </c>
      <c r="X32" s="174">
        <f t="shared" ref="X32:X62" si="1">SUM(U32:W32)</f>
        <v>15000</v>
      </c>
    </row>
    <row r="33" spans="1:24" ht="15.3" x14ac:dyDescent="0.55000000000000004">
      <c r="A33" s="61">
        <v>3</v>
      </c>
      <c r="B33" s="462" t="str">
        <f>INDEX(Site_Data_Table,MATCH($A33,'Site Data'!$A$5:$A$37,0),MATCH(B$30,Site_Data_Column_Names,0))</f>
        <v>North Butte County Courthouse</v>
      </c>
      <c r="C33" s="463" t="e">
        <f>INDEX(Site_Data_Table,MATCH($A33,'Site Data'!$A$5:$A$37,0),MATCH(C$30,Site_Data_Column_Names,0))</f>
        <v>#N/A</v>
      </c>
      <c r="D33" s="199" t="str">
        <f>INDEX(Site_Data_Table,MATCH($A33,'Site Data'!$A$5:$A$37,0),MATCH(D$30,Site_Data_Column_Names,0))</f>
        <v>04-F1</v>
      </c>
      <c r="E33" s="176">
        <f>INDEX(Prod_Yr_1,MATCH($A33,'System Specification'!$B$15:$B$46,0))</f>
        <v>0</v>
      </c>
      <c r="F33" s="179" t="str">
        <f>_xlfn.TEXTJOIN(" / ",1,INDEX('System Specification'!$L$15:$L$46,MATCH($A33,'System Specification'!$B$15:$B$46,0)),INDEX('System Specification'!$M$15:$M$46,MATCH($A33,'System Specification'!$B$15:$B$46,0)))</f>
        <v/>
      </c>
      <c r="G33" s="179" t="str">
        <f>INDEX(Site_Data_Table,MATCH($A33,'Site Data'!$A$5:$A$37,0),MATCH(G$30,Site_Data_Column_Names,0))</f>
        <v>PG&amp;E</v>
      </c>
      <c r="H33" s="218" t="s">
        <v>329</v>
      </c>
      <c r="I33" s="261">
        <f>INDEX(Site_Data_Table,MATCH($A33,'Site Data'!$A$5:$A$37,0),MATCH(I$30,Site_Data_Column_Names,0))</f>
        <v>20</v>
      </c>
      <c r="J33" s="246"/>
      <c r="K33" s="126"/>
      <c r="L33" s="537"/>
      <c r="M33" s="538"/>
      <c r="N33" s="539"/>
      <c r="O33" s="181"/>
      <c r="P33" s="265"/>
      <c r="Q33" s="265"/>
      <c r="R33" s="132" t="str">
        <f>IF(O33=0,"",IFERROR(O33*$I33*12/#REF!/1000,""))</f>
        <v/>
      </c>
      <c r="S33" s="331" t="str">
        <f>_xlfn.LET(_xlpm.val,INDEX('System Specification'!$H$15:$H$47,MATCH($A33,'System Specification'!$B$15:$B$47,0)),
IF(_xlpm.val="","",_xlpm.val))</f>
        <v>No</v>
      </c>
      <c r="T33" s="241">
        <f>IF($S33="No",0,INDEX(Site_Data_Table,MATCH($A33,'Site Data'!$A$5:$A$37,0),MATCH(T$30,Site_Data_Column_Names,0)))</f>
        <v>0</v>
      </c>
      <c r="U33" s="242">
        <f t="shared" si="0"/>
        <v>0</v>
      </c>
      <c r="V33" s="181"/>
      <c r="W33" s="287">
        <v>15000</v>
      </c>
      <c r="X33" s="174">
        <f t="shared" si="1"/>
        <v>15000</v>
      </c>
    </row>
    <row r="34" spans="1:24" ht="15.3" x14ac:dyDescent="0.55000000000000004">
      <c r="A34" s="61">
        <v>4</v>
      </c>
      <c r="B34" s="462" t="str">
        <f>INDEX(Site_Data_Table,MATCH($A34,'Site Data'!$A$5:$A$37,0),MATCH(B$30,Site_Data_Column_Names,0))</f>
        <v>Bray Courts</v>
      </c>
      <c r="C34" s="463" t="e">
        <f>INDEX(Site_Data_Table,MATCH($A34,'Site Data'!$A$5:$A$37,0),MATCH(C$30,Site_Data_Column_Names,0))</f>
        <v>#N/A</v>
      </c>
      <c r="D34" s="199" t="str">
        <f>INDEX(Site_Data_Table,MATCH($A34,'Site Data'!$A$5:$A$37,0),MATCH(D$30,Site_Data_Column_Names,0))</f>
        <v>07-A3</v>
      </c>
      <c r="E34" s="176">
        <f>INDEX(Prod_Yr_1,MATCH($A34,'System Specification'!$B$15:$B$46,0))</f>
        <v>0</v>
      </c>
      <c r="F34" s="179" t="str">
        <f>_xlfn.TEXTJOIN(" / ",1,INDEX('System Specification'!$L$15:$L$46,MATCH($A34,'System Specification'!$B$15:$B$46,0)),INDEX('System Specification'!$M$15:$M$46,MATCH($A34,'System Specification'!$B$15:$B$46,0)))</f>
        <v/>
      </c>
      <c r="G34" s="179" t="str">
        <f>INDEX(Site_Data_Table,MATCH($A34,'Site Data'!$A$5:$A$37,0),MATCH(G$30,Site_Data_Column_Names,0))</f>
        <v>PG&amp;E</v>
      </c>
      <c r="H34" s="218" t="s">
        <v>329</v>
      </c>
      <c r="I34" s="261">
        <f>INDEX(Site_Data_Table,MATCH($A34,'Site Data'!$A$5:$A$37,0),MATCH(I$30,Site_Data_Column_Names,0))</f>
        <v>18</v>
      </c>
      <c r="J34" s="246"/>
      <c r="K34" s="126"/>
      <c r="L34" s="537"/>
      <c r="M34" s="538"/>
      <c r="N34" s="539"/>
      <c r="O34" s="181"/>
      <c r="P34" s="265"/>
      <c r="Q34" s="265"/>
      <c r="R34" s="132" t="str">
        <f>IF(O34=0,"",IFERROR(O34*$I34*12/#REF!/1000,""))</f>
        <v/>
      </c>
      <c r="S34" s="331" t="str">
        <f>_xlfn.LET(_xlpm.val,INDEX('System Specification'!$H$15:$H$47,MATCH($A34,'System Specification'!$B$15:$B$47,0)),
IF(_xlpm.val="","",_xlpm.val))</f>
        <v/>
      </c>
      <c r="T34" s="241">
        <f>IF($S34="No",0,INDEX(Site_Data_Table,MATCH($A34,'Site Data'!$A$5:$A$37,0),MATCH(T$30,Site_Data_Column_Names,0)))</f>
        <v>0</v>
      </c>
      <c r="U34" s="242">
        <f t="shared" si="0"/>
        <v>0</v>
      </c>
      <c r="V34" s="181"/>
      <c r="W34" s="287">
        <v>15000</v>
      </c>
      <c r="X34" s="174">
        <f t="shared" si="1"/>
        <v>15000</v>
      </c>
    </row>
    <row r="35" spans="1:24" ht="15.3" x14ac:dyDescent="0.55000000000000004">
      <c r="A35" s="61">
        <v>5</v>
      </c>
      <c r="B35" s="462" t="str">
        <f>INDEX(Site_Data_Table,MATCH($A35,'Site Data'!$A$5:$A$37,0),MATCH(B$30,Site_Data_Column_Names,0))</f>
        <v>Richard E. Arnason Justice Center</v>
      </c>
      <c r="C35" s="463" t="e">
        <f>INDEX(Site_Data_Table,MATCH($A35,'Site Data'!$A$5:$A$37,0),MATCH(C$30,Site_Data_Column_Names,0))</f>
        <v>#N/A</v>
      </c>
      <c r="D35" s="199" t="str">
        <f>INDEX(Site_Data_Table,MATCH($A35,'Site Data'!$A$5:$A$37,0),MATCH(D$30,Site_Data_Column_Names,0))</f>
        <v>07-E3</v>
      </c>
      <c r="E35" s="176">
        <f>INDEX(Prod_Yr_1,MATCH($A35,'System Specification'!$B$15:$B$46,0))</f>
        <v>0</v>
      </c>
      <c r="F35" s="179" t="str">
        <f>_xlfn.TEXTJOIN(" / ",1,INDEX('System Specification'!$L$15:$L$46,MATCH($A35,'System Specification'!$B$15:$B$46,0)),INDEX('System Specification'!$M$15:$M$46,MATCH($A35,'System Specification'!$B$15:$B$46,0)))</f>
        <v/>
      </c>
      <c r="G35" s="179" t="str">
        <f>INDEX(Site_Data_Table,MATCH($A35,'Site Data'!$A$5:$A$37,0),MATCH(G$30,Site_Data_Column_Names,0))</f>
        <v>PG&amp;E / MCE</v>
      </c>
      <c r="H35" s="218" t="s">
        <v>329</v>
      </c>
      <c r="I35" s="261">
        <f>INDEX(Site_Data_Table,MATCH($A35,'Site Data'!$A$5:$A$37,0),MATCH(I$30,Site_Data_Column_Names,0))</f>
        <v>20</v>
      </c>
      <c r="J35" s="246"/>
      <c r="K35" s="126"/>
      <c r="L35" s="537"/>
      <c r="M35" s="538"/>
      <c r="N35" s="539"/>
      <c r="O35" s="181"/>
      <c r="P35" s="265"/>
      <c r="Q35" s="265"/>
      <c r="R35" s="132" t="str">
        <f>IF(O35=0,"",IFERROR(O35*$I35*12/#REF!/1000,""))</f>
        <v/>
      </c>
      <c r="S35" s="331" t="str">
        <f>_xlfn.LET(_xlpm.val,INDEX('System Specification'!$H$15:$H$47,MATCH($A35,'System Specification'!$B$15:$B$47,0)),
IF(_xlpm.val="","",_xlpm.val))</f>
        <v>No</v>
      </c>
      <c r="T35" s="241">
        <f>IF($S35="No",0,INDEX(Site_Data_Table,MATCH($A35,'Site Data'!$A$5:$A$37,0),MATCH(T$30,Site_Data_Column_Names,0)))</f>
        <v>0</v>
      </c>
      <c r="U35" s="242">
        <f t="shared" si="0"/>
        <v>0</v>
      </c>
      <c r="V35" s="181"/>
      <c r="W35" s="287">
        <v>15000</v>
      </c>
      <c r="X35" s="174">
        <f t="shared" si="1"/>
        <v>15000</v>
      </c>
    </row>
    <row r="36" spans="1:24" ht="15.3" x14ac:dyDescent="0.55000000000000004">
      <c r="A36" s="61">
        <v>6</v>
      </c>
      <c r="B36" s="462" t="str">
        <f>INDEX(Site_Data_Table,MATCH($A36,'Site Data'!$A$5:$A$37,0),MATCH(B$30,Site_Data_Column_Names,0))</f>
        <v>Walnut Creek Courthouse</v>
      </c>
      <c r="C36" s="463" t="e">
        <f>INDEX(Site_Data_Table,MATCH($A36,'Site Data'!$A$5:$A$37,0),MATCH(C$30,Site_Data_Column_Names,0))</f>
        <v>#N/A</v>
      </c>
      <c r="D36" s="199" t="str">
        <f>INDEX(Site_Data_Table,MATCH($A36,'Site Data'!$A$5:$A$37,0),MATCH(D$30,Site_Data_Column_Names,0))</f>
        <v>07-C1</v>
      </c>
      <c r="E36" s="176">
        <f>INDEX(Prod_Yr_1,MATCH($A36,'System Specification'!$B$15:$B$46,0))</f>
        <v>0</v>
      </c>
      <c r="F36" s="179" t="str">
        <f>_xlfn.TEXTJOIN(" / ",1,INDEX('System Specification'!$L$15:$L$46,MATCH($A36,'System Specification'!$B$15:$B$46,0)),INDEX('System Specification'!$M$15:$M$46,MATCH($A36,'System Specification'!$B$15:$B$46,0)))</f>
        <v/>
      </c>
      <c r="G36" s="179" t="str">
        <f>INDEX(Site_Data_Table,MATCH($A36,'Site Data'!$A$5:$A$37,0),MATCH(G$30,Site_Data_Column_Names,0))</f>
        <v>PG&amp;E / MCE</v>
      </c>
      <c r="H36" s="218" t="s">
        <v>329</v>
      </c>
      <c r="I36" s="261">
        <f>INDEX(Site_Data_Table,MATCH($A36,'Site Data'!$A$5:$A$37,0),MATCH(I$30,Site_Data_Column_Names,0))</f>
        <v>20</v>
      </c>
      <c r="J36" s="246"/>
      <c r="K36" s="126"/>
      <c r="L36" s="537"/>
      <c r="M36" s="538"/>
      <c r="N36" s="539"/>
      <c r="O36" s="181"/>
      <c r="P36" s="265"/>
      <c r="Q36" s="265"/>
      <c r="R36" s="132" t="str">
        <f>IF(O36=0,"",IFERROR(O36*$I36*12/#REF!/1000,""))</f>
        <v/>
      </c>
      <c r="S36" s="331" t="str">
        <f>_xlfn.LET(_xlpm.val,INDEX('System Specification'!$H$15:$H$47,MATCH($A36,'System Specification'!$B$15:$B$47,0)),
IF(_xlpm.val="","",_xlpm.val))</f>
        <v>No</v>
      </c>
      <c r="T36" s="241">
        <f>IF($S36="No",0,INDEX(Site_Data_Table,MATCH($A36,'Site Data'!$A$5:$A$37,0),MATCH(T$30,Site_Data_Column_Names,0)))</f>
        <v>0</v>
      </c>
      <c r="U36" s="242">
        <f t="shared" si="0"/>
        <v>0</v>
      </c>
      <c r="V36" s="181"/>
      <c r="W36" s="287">
        <v>15000</v>
      </c>
      <c r="X36" s="174">
        <f t="shared" si="1"/>
        <v>15000</v>
      </c>
    </row>
    <row r="37" spans="1:24" ht="15.3" x14ac:dyDescent="0.55000000000000004">
      <c r="A37" s="61">
        <v>7</v>
      </c>
      <c r="B37" s="462" t="str">
        <f>INDEX(Site_Data_Table,MATCH($A37,'Site Data'!$A$5:$A$37,0),MATCH(B$30,Site_Data_Column_Names,0))</f>
        <v>B. F. Sisk Courthouse</v>
      </c>
      <c r="C37" s="463" t="e">
        <f>INDEX(Site_Data_Table,MATCH($A37,'Site Data'!$A$5:$A$37,0),MATCH(C$30,Site_Data_Column_Names,0))</f>
        <v>#N/A</v>
      </c>
      <c r="D37" s="199" t="str">
        <f>INDEX(Site_Data_Table,MATCH($A37,'Site Data'!$A$5:$A$37,0),MATCH(D$30,Site_Data_Column_Names,0))</f>
        <v>10-O1</v>
      </c>
      <c r="E37" s="176">
        <f>INDEX(Prod_Yr_1,MATCH($A37,'System Specification'!$B$15:$B$46,0))</f>
        <v>0</v>
      </c>
      <c r="F37" s="179" t="str">
        <f>_xlfn.TEXTJOIN(" / ",1,INDEX('System Specification'!$L$15:$L$46,MATCH($A37,'System Specification'!$B$15:$B$46,0)),INDEX('System Specification'!$M$15:$M$46,MATCH($A37,'System Specification'!$B$15:$B$46,0)))</f>
        <v/>
      </c>
      <c r="G37" s="179" t="str">
        <f>INDEX(Site_Data_Table,MATCH($A37,'Site Data'!$A$5:$A$37,0),MATCH(G$30,Site_Data_Column_Names,0))</f>
        <v>PG&amp;E</v>
      </c>
      <c r="H37" s="218" t="s">
        <v>329</v>
      </c>
      <c r="I37" s="261">
        <f>INDEX(Site_Data_Table,MATCH($A37,'Site Data'!$A$5:$A$37,0),MATCH(I$30,Site_Data_Column_Names,0))</f>
        <v>20</v>
      </c>
      <c r="J37" s="246"/>
      <c r="K37" s="126"/>
      <c r="L37" s="537"/>
      <c r="M37" s="538"/>
      <c r="N37" s="539"/>
      <c r="O37" s="181"/>
      <c r="P37" s="265"/>
      <c r="Q37" s="265"/>
      <c r="R37" s="132" t="str">
        <f>IF(O37=0,"",IFERROR(O37*$I37*12/#REF!/1000,""))</f>
        <v/>
      </c>
      <c r="S37" s="331" t="str">
        <f>_xlfn.LET(_xlpm.val,INDEX('System Specification'!$H$15:$H$47,MATCH($A37,'System Specification'!$B$15:$B$47,0)),
IF(_xlpm.val="","",_xlpm.val))</f>
        <v/>
      </c>
      <c r="T37" s="241" t="str">
        <f>IF($S37="No",0,INDEX(Site_Data_Table,MATCH($A37,'Site Data'!$A$5:$A$37,0),MATCH(T$30,Site_Data_Column_Names,0)))</f>
        <v/>
      </c>
      <c r="U37" s="242" t="str">
        <f t="shared" si="0"/>
        <v/>
      </c>
      <c r="V37" s="181"/>
      <c r="W37" s="287">
        <v>15000</v>
      </c>
      <c r="X37" s="174">
        <f t="shared" si="1"/>
        <v>15000</v>
      </c>
    </row>
    <row r="38" spans="1:24" ht="15.3" x14ac:dyDescent="0.55000000000000004">
      <c r="A38" s="61">
        <v>8</v>
      </c>
      <c r="B38" s="462" t="str">
        <f>INDEX(Site_Data_Table,MATCH($A38,'Site Data'!$A$5:$A$37,0),MATCH(B$30,Site_Data_Column_Names,0))</f>
        <v>Imperial County Courthouse</v>
      </c>
      <c r="C38" s="463" t="e">
        <f>INDEX(Site_Data_Table,MATCH($A38,'Site Data'!$A$5:$A$37,0),MATCH(C$30,Site_Data_Column_Names,0))</f>
        <v>#N/A</v>
      </c>
      <c r="D38" s="199" t="str">
        <f>INDEX(Site_Data_Table,MATCH($A38,'Site Data'!$A$5:$A$37,0),MATCH(D$30,Site_Data_Column_Names,0))</f>
        <v>13-A1</v>
      </c>
      <c r="E38" s="176">
        <f>INDEX(Prod_Yr_1,MATCH($A38,'System Specification'!$B$15:$B$46,0))</f>
        <v>0</v>
      </c>
      <c r="F38" s="179" t="str">
        <f>_xlfn.TEXTJOIN(" / ",1,INDEX('System Specification'!$L$15:$L$46,MATCH($A38,'System Specification'!$B$15:$B$46,0)),INDEX('System Specification'!$M$15:$M$46,MATCH($A38,'System Specification'!$B$15:$B$46,0)))</f>
        <v/>
      </c>
      <c r="G38" s="179" t="str">
        <f>INDEX(Site_Data_Table,MATCH($A38,'Site Data'!$A$5:$A$37,0),MATCH(G$30,Site_Data_Column_Names,0))</f>
        <v>IID</v>
      </c>
      <c r="H38" s="218" t="s">
        <v>329</v>
      </c>
      <c r="I38" s="261">
        <f>INDEX(Site_Data_Table,MATCH($A38,'Site Data'!$A$5:$A$37,0),MATCH(I$30,Site_Data_Column_Names,0))</f>
        <v>20</v>
      </c>
      <c r="J38" s="246"/>
      <c r="K38" s="126"/>
      <c r="L38" s="537"/>
      <c r="M38" s="538"/>
      <c r="N38" s="539"/>
      <c r="O38" s="181"/>
      <c r="P38" s="265"/>
      <c r="Q38" s="265"/>
      <c r="R38" s="132" t="str">
        <f>IF(O38=0,"",IFERROR(O38*$I38*12/#REF!/1000,""))</f>
        <v/>
      </c>
      <c r="S38" s="331" t="str">
        <f>_xlfn.LET(_xlpm.val,INDEX('System Specification'!$H$15:$H$47,MATCH($A38,'System Specification'!$B$15:$B$47,0)),
IF(_xlpm.val="","",_xlpm.val))</f>
        <v>No</v>
      </c>
      <c r="T38" s="241">
        <f>IF($S38="No",0,INDEX(Site_Data_Table,MATCH($A38,'Site Data'!$A$5:$A$37,0),MATCH(T$30,Site_Data_Column_Names,0)))</f>
        <v>0</v>
      </c>
      <c r="U38" s="242">
        <f t="shared" si="0"/>
        <v>0</v>
      </c>
      <c r="V38" s="181"/>
      <c r="W38" s="287">
        <v>15000</v>
      </c>
      <c r="X38" s="174">
        <f t="shared" si="1"/>
        <v>15000</v>
      </c>
    </row>
    <row r="39" spans="1:24" ht="15.3" x14ac:dyDescent="0.55000000000000004">
      <c r="A39" s="61">
        <v>9</v>
      </c>
      <c r="B39" s="462" t="str">
        <f>INDEX(Site_Data_Table,MATCH($A39,'Site Data'!$A$5:$A$37,0),MATCH(B$30,Site_Data_Column_Names,0))</f>
        <v>Delano/North Kern Court</v>
      </c>
      <c r="C39" s="463" t="e">
        <f>INDEX(Site_Data_Table,MATCH($A39,'Site Data'!$A$5:$A$37,0),MATCH(C$30,Site_Data_Column_Names,0))</f>
        <v>#N/A</v>
      </c>
      <c r="D39" s="199" t="str">
        <f>INDEX(Site_Data_Table,MATCH($A39,'Site Data'!$A$5:$A$37,0),MATCH(D$30,Site_Data_Column_Names,0))</f>
        <v>15-D1</v>
      </c>
      <c r="E39" s="176">
        <f>INDEX(Prod_Yr_1,MATCH($A39,'System Specification'!$B$15:$B$46,0))</f>
        <v>0</v>
      </c>
      <c r="F39" s="179" t="str">
        <f>_xlfn.TEXTJOIN(" / ",1,INDEX('System Specification'!$L$15:$L$46,MATCH($A39,'System Specification'!$B$15:$B$46,0)),INDEX('System Specification'!$M$15:$M$46,MATCH($A39,'System Specification'!$B$15:$B$46,0)))</f>
        <v/>
      </c>
      <c r="G39" s="179" t="str">
        <f>INDEX(Site_Data_Table,MATCH($A39,'Site Data'!$A$5:$A$37,0),MATCH(G$30,Site_Data_Column_Names,0))</f>
        <v>SCE</v>
      </c>
      <c r="H39" s="218" t="s">
        <v>329</v>
      </c>
      <c r="I39" s="261">
        <f>INDEX(Site_Data_Table,MATCH($A39,'Site Data'!$A$5:$A$37,0),MATCH(I$30,Site_Data_Column_Names,0))</f>
        <v>20</v>
      </c>
      <c r="J39" s="246"/>
      <c r="K39" s="126"/>
      <c r="L39" s="537"/>
      <c r="M39" s="538"/>
      <c r="N39" s="539"/>
      <c r="O39" s="181"/>
      <c r="P39" s="265"/>
      <c r="Q39" s="265"/>
      <c r="R39" s="132" t="str">
        <f>IF(O39=0,"",IFERROR(O39*$I39*12/#REF!/1000,""))</f>
        <v/>
      </c>
      <c r="S39" s="331" t="str">
        <f>_xlfn.LET(_xlpm.val,INDEX('System Specification'!$H$15:$H$47,MATCH($A39,'System Specification'!$B$15:$B$47,0)),
IF(_xlpm.val="","",_xlpm.val))</f>
        <v/>
      </c>
      <c r="T39" s="241" t="str">
        <f>IF($S39="No",0,INDEX(Site_Data_Table,MATCH($A39,'Site Data'!$A$5:$A$37,0),MATCH(T$30,Site_Data_Column_Names,0)))</f>
        <v/>
      </c>
      <c r="U39" s="242" t="str">
        <f t="shared" si="0"/>
        <v/>
      </c>
      <c r="V39" s="181"/>
      <c r="W39" s="287">
        <v>15000</v>
      </c>
      <c r="X39" s="174">
        <f t="shared" si="1"/>
        <v>15000</v>
      </c>
    </row>
    <row r="40" spans="1:24" ht="15.3" x14ac:dyDescent="0.55000000000000004">
      <c r="A40" s="61">
        <v>10</v>
      </c>
      <c r="B40" s="462" t="str">
        <f>INDEX(Site_Data_Table,MATCH($A40,'Site Data'!$A$5:$A$37,0),MATCH(B$30,Site_Data_Column_Names,0))</f>
        <v>Kings Superior Court</v>
      </c>
      <c r="C40" s="463" t="e">
        <f>INDEX(Site_Data_Table,MATCH($A40,'Site Data'!$A$5:$A$37,0),MATCH(C$30,Site_Data_Column_Names,0))</f>
        <v>#N/A</v>
      </c>
      <c r="D40" s="199" t="str">
        <f>INDEX(Site_Data_Table,MATCH($A40,'Site Data'!$A$5:$A$37,0),MATCH(D$30,Site_Data_Column_Names,0))</f>
        <v>16-A5</v>
      </c>
      <c r="E40" s="176">
        <f>INDEX(Prod_Yr_1,MATCH($A40,'System Specification'!$B$15:$B$46,0))</f>
        <v>0</v>
      </c>
      <c r="F40" s="179" t="str">
        <f>_xlfn.TEXTJOIN(" / ",1,INDEX('System Specification'!$L$15:$L$46,MATCH($A40,'System Specification'!$B$15:$B$46,0)),INDEX('System Specification'!$M$15:$M$46,MATCH($A40,'System Specification'!$B$15:$B$46,0)))</f>
        <v/>
      </c>
      <c r="G40" s="179" t="str">
        <f>INDEX(Site_Data_Table,MATCH($A40,'Site Data'!$A$5:$A$37,0),MATCH(G$30,Site_Data_Column_Names,0))</f>
        <v>SCE</v>
      </c>
      <c r="H40" s="218" t="s">
        <v>329</v>
      </c>
      <c r="I40" s="261">
        <f>INDEX(Site_Data_Table,MATCH($A40,'Site Data'!$A$5:$A$37,0),MATCH(I$30,Site_Data_Column_Names,0))</f>
        <v>20</v>
      </c>
      <c r="J40" s="246"/>
      <c r="K40" s="126"/>
      <c r="L40" s="537"/>
      <c r="M40" s="538"/>
      <c r="N40" s="539"/>
      <c r="O40" s="181"/>
      <c r="P40" s="265"/>
      <c r="Q40" s="265"/>
      <c r="R40" s="132" t="str">
        <f>IF(O40=0,"",IFERROR(O40*$I40*12/#REF!/1000,""))</f>
        <v/>
      </c>
      <c r="S40" s="331" t="str">
        <f>_xlfn.LET(_xlpm.val,INDEX('System Specification'!$H$15:$H$47,MATCH($A40,'System Specification'!$B$15:$B$47,0)),
IF(_xlpm.val="","",_xlpm.val))</f>
        <v>No</v>
      </c>
      <c r="T40" s="241">
        <f>IF($S40="No",0,INDEX(Site_Data_Table,MATCH($A40,'Site Data'!$A$5:$A$37,0),MATCH(T$30,Site_Data_Column_Names,0)))</f>
        <v>0</v>
      </c>
      <c r="U40" s="242">
        <f t="shared" si="0"/>
        <v>0</v>
      </c>
      <c r="V40" s="181"/>
      <c r="W40" s="287">
        <v>15000</v>
      </c>
      <c r="X40" s="174">
        <f t="shared" si="1"/>
        <v>15000</v>
      </c>
    </row>
    <row r="41" spans="1:24" ht="15.3" x14ac:dyDescent="0.55000000000000004">
      <c r="A41" s="61">
        <v>11</v>
      </c>
      <c r="B41" s="462" t="str">
        <f>INDEX(Site_Data_Table,MATCH($A41,'Site Data'!$A$5:$A$37,0),MATCH(B$30,Site_Data_Column_Names,0))</f>
        <v>Whittier Courthouse</v>
      </c>
      <c r="C41" s="463" t="e">
        <f>INDEX(Site_Data_Table,MATCH($A41,'Site Data'!$A$5:$A$37,0),MATCH(C$30,Site_Data_Column_Names,0))</f>
        <v>#N/A</v>
      </c>
      <c r="D41" s="199" t="str">
        <f>INDEX(Site_Data_Table,MATCH($A41,'Site Data'!$A$5:$A$37,0),MATCH(D$30,Site_Data_Column_Names,0))</f>
        <v>19-AO1</v>
      </c>
      <c r="E41" s="176">
        <f>INDEX(Prod_Yr_1,MATCH($A41,'System Specification'!$B$15:$B$46,0))</f>
        <v>0</v>
      </c>
      <c r="F41" s="179" t="str">
        <f>_xlfn.TEXTJOIN(" / ",1,INDEX('System Specification'!$L$15:$L$46,MATCH($A41,'System Specification'!$B$15:$B$46,0)),INDEX('System Specification'!$M$15:$M$46,MATCH($A41,'System Specification'!$B$15:$B$46,0)))</f>
        <v/>
      </c>
      <c r="G41" s="179" t="str">
        <f>INDEX(Site_Data_Table,MATCH($A41,'Site Data'!$A$5:$A$37,0),MATCH(G$30,Site_Data_Column_Names,0))</f>
        <v>SCE / Clean Power Alliance</v>
      </c>
      <c r="H41" s="218" t="s">
        <v>329</v>
      </c>
      <c r="I41" s="261">
        <f>INDEX(Site_Data_Table,MATCH($A41,'Site Data'!$A$5:$A$37,0),MATCH(I$30,Site_Data_Column_Names,0))</f>
        <v>20</v>
      </c>
      <c r="J41" s="246"/>
      <c r="K41" s="126"/>
      <c r="L41" s="537"/>
      <c r="M41" s="538"/>
      <c r="N41" s="539"/>
      <c r="O41" s="181"/>
      <c r="P41" s="265"/>
      <c r="Q41" s="265"/>
      <c r="R41" s="132" t="str">
        <f>IF(O41=0,"",IFERROR(O41*$I41*12/#REF!/1000,""))</f>
        <v/>
      </c>
      <c r="S41" s="331" t="str">
        <f>_xlfn.LET(_xlpm.val,INDEX('System Specification'!$H$15:$H$47,MATCH($A41,'System Specification'!$B$15:$B$47,0)),
IF(_xlpm.val="","",_xlpm.val))</f>
        <v>No</v>
      </c>
      <c r="T41" s="241">
        <f>IF($S41="No",0,INDEX(Site_Data_Table,MATCH($A41,'Site Data'!$A$5:$A$37,0),MATCH(T$30,Site_Data_Column_Names,0)))</f>
        <v>0</v>
      </c>
      <c r="U41" s="242">
        <f t="shared" si="0"/>
        <v>0</v>
      </c>
      <c r="V41" s="181"/>
      <c r="W41" s="287">
        <v>15000</v>
      </c>
      <c r="X41" s="174">
        <f t="shared" si="1"/>
        <v>15000</v>
      </c>
    </row>
    <row r="42" spans="1:24" ht="15.3" x14ac:dyDescent="0.55000000000000004">
      <c r="A42" s="61">
        <v>12</v>
      </c>
      <c r="B42" s="462" t="str">
        <f>INDEX(Site_Data_Table,MATCH($A42,'Site Data'!$A$5:$A$37,0),MATCH(B$30,Site_Data_Column_Names,0))</f>
        <v>Santa Monica Courthouse</v>
      </c>
      <c r="C42" s="463" t="e">
        <f>INDEX(Site_Data_Table,MATCH($A42,'Site Data'!$A$5:$A$37,0),MATCH(C$30,Site_Data_Column_Names,0))</f>
        <v>#N/A</v>
      </c>
      <c r="D42" s="199" t="str">
        <f>INDEX(Site_Data_Table,MATCH($A42,'Site Data'!$A$5:$A$37,0),MATCH(D$30,Site_Data_Column_Names,0))</f>
        <v>19-AP1</v>
      </c>
      <c r="E42" s="176">
        <f>INDEX(Prod_Yr_1,MATCH($A42,'System Specification'!$B$15:$B$46,0))</f>
        <v>0</v>
      </c>
      <c r="F42" s="179" t="str">
        <f>_xlfn.TEXTJOIN(" / ",1,INDEX('System Specification'!$L$15:$L$46,MATCH($A42,'System Specification'!$B$15:$B$46,0)),INDEX('System Specification'!$M$15:$M$46,MATCH($A42,'System Specification'!$B$15:$B$46,0)))</f>
        <v/>
      </c>
      <c r="G42" s="179" t="str">
        <f>INDEX(Site_Data_Table,MATCH($A42,'Site Data'!$A$5:$A$37,0),MATCH(G$30,Site_Data_Column_Names,0))</f>
        <v>SCE / Clean Power Alliance</v>
      </c>
      <c r="H42" s="218" t="s">
        <v>329</v>
      </c>
      <c r="I42" s="261">
        <f>INDEX(Site_Data_Table,MATCH($A42,'Site Data'!$A$5:$A$37,0),MATCH(I$30,Site_Data_Column_Names,0))</f>
        <v>18</v>
      </c>
      <c r="J42" s="246"/>
      <c r="K42" s="126"/>
      <c r="L42" s="537"/>
      <c r="M42" s="538"/>
      <c r="N42" s="539"/>
      <c r="O42" s="181"/>
      <c r="P42" s="265"/>
      <c r="Q42" s="265"/>
      <c r="R42" s="132" t="str">
        <f>IF(O42=0,"",IFERROR(O42*$I42*12/#REF!/1000,""))</f>
        <v/>
      </c>
      <c r="S42" s="331" t="str">
        <f>_xlfn.LET(_xlpm.val,INDEX('System Specification'!$H$15:$H$47,MATCH($A42,'System Specification'!$B$15:$B$47,0)),
IF(_xlpm.val="","",_xlpm.val))</f>
        <v/>
      </c>
      <c r="T42" s="241">
        <f>IF($S42="No",0,INDEX(Site_Data_Table,MATCH($A42,'Site Data'!$A$5:$A$37,0),MATCH(T$30,Site_Data_Column_Names,0)))</f>
        <v>0</v>
      </c>
      <c r="U42" s="242">
        <f t="shared" si="0"/>
        <v>0</v>
      </c>
      <c r="V42" s="181"/>
      <c r="W42" s="287">
        <v>15000</v>
      </c>
      <c r="X42" s="174">
        <f t="shared" si="1"/>
        <v>15000</v>
      </c>
    </row>
    <row r="43" spans="1:24" ht="15.3" x14ac:dyDescent="0.55000000000000004">
      <c r="A43" s="61">
        <v>13</v>
      </c>
      <c r="B43" s="462" t="str">
        <f>INDEX(Site_Data_Table,MATCH($A43,'Site Data'!$A$5:$A$37,0),MATCH(B$30,Site_Data_Column_Names,0))</f>
        <v>Van Nuys Courthouse East</v>
      </c>
      <c r="C43" s="463" t="e">
        <f>INDEX(Site_Data_Table,MATCH($A43,'Site Data'!$A$5:$A$37,0),MATCH(C$30,Site_Data_Column_Names,0))</f>
        <v>#N/A</v>
      </c>
      <c r="D43" s="199" t="str">
        <f>INDEX(Site_Data_Table,MATCH($A43,'Site Data'!$A$5:$A$37,0),MATCH(D$30,Site_Data_Column_Names,0))</f>
        <v>19-AX1</v>
      </c>
      <c r="E43" s="176">
        <f>INDEX(Prod_Yr_1,MATCH($A43,'System Specification'!$B$15:$B$46,0))</f>
        <v>0</v>
      </c>
      <c r="F43" s="179" t="str">
        <f>_xlfn.TEXTJOIN(" / ",1,INDEX('System Specification'!$L$15:$L$46,MATCH($A43,'System Specification'!$B$15:$B$46,0)),INDEX('System Specification'!$M$15:$M$46,MATCH($A43,'System Specification'!$B$15:$B$46,0)))</f>
        <v/>
      </c>
      <c r="G43" s="179" t="str">
        <f>INDEX(Site_Data_Table,MATCH($A43,'Site Data'!$A$5:$A$37,0),MATCH(G$30,Site_Data_Column_Names,0))</f>
        <v>LADWP</v>
      </c>
      <c r="H43" s="179" t="s">
        <v>338</v>
      </c>
      <c r="I43" s="261">
        <f>INDEX(Site_Data_Table,MATCH($A43,'Site Data'!$A$5:$A$37,0),MATCH(I$30,Site_Data_Column_Names,0))</f>
        <v>20</v>
      </c>
      <c r="J43" s="247"/>
      <c r="K43" s="183"/>
      <c r="L43" s="540"/>
      <c r="M43" s="541"/>
      <c r="N43" s="542"/>
      <c r="O43" s="537"/>
      <c r="P43" s="546"/>
      <c r="Q43" s="546"/>
      <c r="R43" s="132" t="str">
        <f>IF(O43=0,"",IFERROR(O43*$I43*12/#REF!/1000,""))</f>
        <v/>
      </c>
      <c r="S43" s="331" t="str">
        <f>_xlfn.LET(_xlpm.val,INDEX('System Specification'!$H$15:$H$47,MATCH($A43,'System Specification'!$B$15:$B$47,0)),
IF(_xlpm.val="","",_xlpm.val))</f>
        <v>No</v>
      </c>
      <c r="T43" s="241">
        <f>IF($S43="No",0,INDEX(Site_Data_Table,MATCH($A43,'Site Data'!$A$5:$A$37,0),MATCH(T$30,Site_Data_Column_Names,0)))</f>
        <v>0</v>
      </c>
      <c r="U43" s="242">
        <f t="shared" si="0"/>
        <v>0</v>
      </c>
      <c r="V43" s="181"/>
      <c r="W43" s="287">
        <v>15000</v>
      </c>
      <c r="X43" s="174">
        <f t="shared" si="1"/>
        <v>15000</v>
      </c>
    </row>
    <row r="44" spans="1:24" ht="15.3" x14ac:dyDescent="0.55000000000000004">
      <c r="A44" s="61">
        <v>14</v>
      </c>
      <c r="B44" s="462" t="str">
        <f>INDEX(Site_Data_Table,MATCH($A44,'Site Data'!$A$5:$A$37,0),MATCH(B$30,Site_Data_Column_Names,0))</f>
        <v>Torrance Courthouse</v>
      </c>
      <c r="C44" s="463" t="e">
        <f>INDEX(Site_Data_Table,MATCH($A44,'Site Data'!$A$5:$A$37,0),MATCH(C$30,Site_Data_Column_Names,0))</f>
        <v>#N/A</v>
      </c>
      <c r="D44" s="199" t="str">
        <f>INDEX(Site_Data_Table,MATCH($A44,'Site Data'!$A$5:$A$37,0),MATCH(D$30,Site_Data_Column_Names,0))</f>
        <v>19-C1</v>
      </c>
      <c r="E44" s="176">
        <f>INDEX(Prod_Yr_1,MATCH($A44,'System Specification'!$B$15:$B$46,0))</f>
        <v>0</v>
      </c>
      <c r="F44" s="179" t="str">
        <f>_xlfn.TEXTJOIN(" / ",1,INDEX('System Specification'!$L$15:$L$46,MATCH($A44,'System Specification'!$B$15:$B$46,0)),INDEX('System Specification'!$M$15:$M$46,MATCH($A44,'System Specification'!$B$15:$B$46,0)))</f>
        <v/>
      </c>
      <c r="G44" s="179" t="str">
        <f>INDEX(Site_Data_Table,MATCH($A44,'Site Data'!$A$5:$A$37,0),MATCH(G$30,Site_Data_Column_Names,0))</f>
        <v>SCE</v>
      </c>
      <c r="H44" s="218" t="s">
        <v>329</v>
      </c>
      <c r="I44" s="261">
        <f>INDEX(Site_Data_Table,MATCH($A44,'Site Data'!$A$5:$A$37,0),MATCH(I$30,Site_Data_Column_Names,0))</f>
        <v>20</v>
      </c>
      <c r="J44" s="246"/>
      <c r="K44" s="126"/>
      <c r="L44" s="537"/>
      <c r="M44" s="538"/>
      <c r="N44" s="539"/>
      <c r="O44" s="181"/>
      <c r="P44" s="265"/>
      <c r="Q44" s="265"/>
      <c r="R44" s="132" t="str">
        <f>IF(O44=0,"",IFERROR(O44*$I44*12/#REF!/1000,""))</f>
        <v/>
      </c>
      <c r="S44" s="331" t="str">
        <f>_xlfn.LET(_xlpm.val,INDEX('System Specification'!$H$15:$H$47,MATCH($A44,'System Specification'!$B$15:$B$47,0)),
IF(_xlpm.val="","",_xlpm.val))</f>
        <v>No</v>
      </c>
      <c r="T44" s="241">
        <f>IF($S44="No",0,INDEX(Site_Data_Table,MATCH($A44,'Site Data'!$A$5:$A$37,0),MATCH(T$30,Site_Data_Column_Names,0)))</f>
        <v>0</v>
      </c>
      <c r="U44" s="242">
        <f t="shared" si="0"/>
        <v>0</v>
      </c>
      <c r="V44" s="173">
        <v>600000</v>
      </c>
      <c r="W44" s="287">
        <v>15000</v>
      </c>
      <c r="X44" s="174">
        <f t="shared" si="1"/>
        <v>615000</v>
      </c>
    </row>
    <row r="45" spans="1:24" ht="15.3" x14ac:dyDescent="0.55000000000000004">
      <c r="A45" s="61">
        <v>15</v>
      </c>
      <c r="B45" s="462" t="str">
        <f>INDEX(Site_Data_Table,MATCH($A45,'Site Data'!$A$5:$A$37,0),MATCH(B$30,Site_Data_Column_Names,0))</f>
        <v>Glendale Courthouse</v>
      </c>
      <c r="C45" s="463" t="e">
        <f>INDEX(Site_Data_Table,MATCH($A45,'Site Data'!$A$5:$A$37,0),MATCH(C$30,Site_Data_Column_Names,0))</f>
        <v>#N/A</v>
      </c>
      <c r="D45" s="199" t="str">
        <f>INDEX(Site_Data_Table,MATCH($A45,'Site Data'!$A$5:$A$37,0),MATCH(D$30,Site_Data_Column_Names,0))</f>
        <v>19-H1</v>
      </c>
      <c r="E45" s="176">
        <f>INDEX(Prod_Yr_1,MATCH($A45,'System Specification'!$B$15:$B$46,0))</f>
        <v>0</v>
      </c>
      <c r="F45" s="179" t="str">
        <f>_xlfn.TEXTJOIN(" / ",1,INDEX('System Specification'!$L$15:$L$46,MATCH($A45,'System Specification'!$B$15:$B$46,0)),INDEX('System Specification'!$M$15:$M$46,MATCH($A45,'System Specification'!$B$15:$B$46,0)))</f>
        <v/>
      </c>
      <c r="G45" s="179" t="str">
        <f>INDEX(Site_Data_Table,MATCH($A45,'Site Data'!$A$5:$A$37,0),MATCH(G$30,Site_Data_Column_Names,0))</f>
        <v>Glendale Water &amp; Power</v>
      </c>
      <c r="H45" s="179" t="s">
        <v>338</v>
      </c>
      <c r="I45" s="261">
        <f>INDEX(Site_Data_Table,MATCH($A45,'Site Data'!$A$5:$A$37,0),MATCH(I$30,Site_Data_Column_Names,0))</f>
        <v>20</v>
      </c>
      <c r="J45" s="247"/>
      <c r="K45" s="183"/>
      <c r="L45" s="540"/>
      <c r="M45" s="541"/>
      <c r="N45" s="542"/>
      <c r="O45" s="537"/>
      <c r="P45" s="546"/>
      <c r="Q45" s="546"/>
      <c r="R45" s="132" t="str">
        <f>IF(O45=0,"",IFERROR(O45*$I45*12/#REF!/1000,""))</f>
        <v/>
      </c>
      <c r="S45" s="331" t="str">
        <f>_xlfn.LET(_xlpm.val,INDEX('System Specification'!$H$15:$H$47,MATCH($A45,'System Specification'!$B$15:$B$47,0)),
IF(_xlpm.val="","",_xlpm.val))</f>
        <v>No</v>
      </c>
      <c r="T45" s="241">
        <f>IF($S45="No",0,INDEX(Site_Data_Table,MATCH($A45,'Site Data'!$A$5:$A$37,0),MATCH(T$30,Site_Data_Column_Names,0)))</f>
        <v>0</v>
      </c>
      <c r="U45" s="242">
        <f t="shared" si="0"/>
        <v>0</v>
      </c>
      <c r="V45" s="181"/>
      <c r="W45" s="287">
        <v>15000</v>
      </c>
      <c r="X45" s="174">
        <f t="shared" si="1"/>
        <v>15000</v>
      </c>
    </row>
    <row r="46" spans="1:24" ht="15.3" x14ac:dyDescent="0.55000000000000004">
      <c r="A46" s="61">
        <v>16</v>
      </c>
      <c r="B46" s="462" t="str">
        <f>INDEX(Site_Data_Table,MATCH($A46,'Site Data'!$A$5:$A$37,0),MATCH(B$30,Site_Data_Column_Names,0))</f>
        <v>Monrovia Training Center</v>
      </c>
      <c r="C46" s="463" t="e">
        <f>INDEX(Site_Data_Table,MATCH($A46,'Site Data'!$A$5:$A$37,0),MATCH(C$30,Site_Data_Column_Names,0))</f>
        <v>#N/A</v>
      </c>
      <c r="D46" s="199" t="str">
        <f>INDEX(Site_Data_Table,MATCH($A46,'Site Data'!$A$5:$A$37,0),MATCH(D$30,Site_Data_Column_Names,0))</f>
        <v>19-N1</v>
      </c>
      <c r="E46" s="176">
        <f>INDEX(Prod_Yr_1,MATCH($A46,'System Specification'!$B$15:$B$46,0))</f>
        <v>0</v>
      </c>
      <c r="F46" s="179" t="str">
        <f>_xlfn.TEXTJOIN(" / ",1,INDEX('System Specification'!$L$15:$L$46,MATCH($A46,'System Specification'!$B$15:$B$46,0)),INDEX('System Specification'!$M$15:$M$46,MATCH($A46,'System Specification'!$B$15:$B$46,0)))</f>
        <v/>
      </c>
      <c r="G46" s="179" t="str">
        <f>INDEX(Site_Data_Table,MATCH($A46,'Site Data'!$A$5:$A$37,0),MATCH(G$30,Site_Data_Column_Names,0))</f>
        <v>SCE</v>
      </c>
      <c r="H46" s="218" t="s">
        <v>329</v>
      </c>
      <c r="I46" s="261">
        <f>INDEX(Site_Data_Table,MATCH($A46,'Site Data'!$A$5:$A$37,0),MATCH(I$30,Site_Data_Column_Names,0))</f>
        <v>20</v>
      </c>
      <c r="J46" s="246"/>
      <c r="K46" s="126"/>
      <c r="L46" s="537"/>
      <c r="M46" s="538"/>
      <c r="N46" s="539"/>
      <c r="O46" s="181"/>
      <c r="P46" s="265"/>
      <c r="Q46" s="265"/>
      <c r="R46" s="132" t="str">
        <f>IF(O46=0,"",IFERROR(O46*$I46*12/#REF!/1000,""))</f>
        <v/>
      </c>
      <c r="S46" s="331" t="str">
        <f>_xlfn.LET(_xlpm.val,INDEX('System Specification'!$H$15:$H$47,MATCH($A46,'System Specification'!$B$15:$B$47,0)),
IF(_xlpm.val="","",_xlpm.val))</f>
        <v/>
      </c>
      <c r="T46" s="241">
        <f>IF($S46="No",0,INDEX(Site_Data_Table,MATCH($A46,'Site Data'!$A$5:$A$37,0),MATCH(T$30,Site_Data_Column_Names,0)))</f>
        <v>0</v>
      </c>
      <c r="U46" s="242">
        <f t="shared" si="0"/>
        <v>0</v>
      </c>
      <c r="V46" s="181"/>
      <c r="W46" s="287">
        <v>15000</v>
      </c>
      <c r="X46" s="174">
        <f t="shared" si="1"/>
        <v>15000</v>
      </c>
    </row>
    <row r="47" spans="1:24" ht="15.3" x14ac:dyDescent="0.55000000000000004">
      <c r="A47" s="61">
        <v>17</v>
      </c>
      <c r="B47" s="462" t="str">
        <f>INDEX(Site_Data_Table,MATCH($A47,'Site Data'!$A$5:$A$37,0),MATCH(B$30,Site_Data_Column_Names,0))</f>
        <v>Edmund D. Edelman Children's Court</v>
      </c>
      <c r="C47" s="463" t="e">
        <f>INDEX(Site_Data_Table,MATCH($A47,'Site Data'!$A$5:$A$37,0),MATCH(C$30,Site_Data_Column_Names,0))</f>
        <v>#N/A</v>
      </c>
      <c r="D47" s="199" t="str">
        <f>INDEX(Site_Data_Table,MATCH($A47,'Site Data'!$A$5:$A$37,0),MATCH(D$30,Site_Data_Column_Names,0))</f>
        <v>19-Q1</v>
      </c>
      <c r="E47" s="176">
        <f>INDEX(Prod_Yr_1,MATCH($A47,'System Specification'!$B$15:$B$46,0))</f>
        <v>0</v>
      </c>
      <c r="F47" s="179" t="str">
        <f>_xlfn.TEXTJOIN(" / ",1,INDEX('System Specification'!$L$15:$L$46,MATCH($A47,'System Specification'!$B$15:$B$46,0)),INDEX('System Specification'!$M$15:$M$46,MATCH($A47,'System Specification'!$B$15:$B$46,0)))</f>
        <v/>
      </c>
      <c r="G47" s="179" t="str">
        <f>INDEX(Site_Data_Table,MATCH($A47,'Site Data'!$A$5:$A$37,0),MATCH(G$30,Site_Data_Column_Names,0))</f>
        <v>SCE</v>
      </c>
      <c r="H47" s="218" t="s">
        <v>329</v>
      </c>
      <c r="I47" s="261">
        <f>INDEX(Site_Data_Table,MATCH($A47,'Site Data'!$A$5:$A$37,0),MATCH(I$30,Site_Data_Column_Names,0))</f>
        <v>20</v>
      </c>
      <c r="J47" s="246"/>
      <c r="K47" s="126"/>
      <c r="L47" s="537"/>
      <c r="M47" s="538"/>
      <c r="N47" s="539"/>
      <c r="O47" s="181"/>
      <c r="P47" s="265"/>
      <c r="Q47" s="265"/>
      <c r="R47" s="132" t="str">
        <f>IF(O47=0,"",IFERROR(O47*$I47*12/#REF!/1000,""))</f>
        <v/>
      </c>
      <c r="S47" s="331" t="str">
        <f>_xlfn.LET(_xlpm.val,INDEX('System Specification'!$H$15:$H$47,MATCH($A47,'System Specification'!$B$15:$B$47,0)),
IF(_xlpm.val="","",_xlpm.val))</f>
        <v>No</v>
      </c>
      <c r="T47" s="241">
        <f>IF($S47="No",0,INDEX(Site_Data_Table,MATCH($A47,'Site Data'!$A$5:$A$37,0),MATCH(T$30,Site_Data_Column_Names,0)))</f>
        <v>0</v>
      </c>
      <c r="U47" s="242">
        <f t="shared" si="0"/>
        <v>0</v>
      </c>
      <c r="V47" s="181"/>
      <c r="W47" s="287">
        <v>15000</v>
      </c>
      <c r="X47" s="174">
        <f t="shared" si="1"/>
        <v>15000</v>
      </c>
    </row>
    <row r="48" spans="1:24" ht="15.3" x14ac:dyDescent="0.55000000000000004">
      <c r="A48" s="61">
        <v>18</v>
      </c>
      <c r="B48" s="462" t="str">
        <f>INDEX(Site_Data_Table,MATCH($A48,'Site Data'!$A$5:$A$37,0),MATCH(B$30,Site_Data_Column_Names,0))</f>
        <v>Hollywood Courthouse</v>
      </c>
      <c r="C48" s="463" t="e">
        <f>INDEX(Site_Data_Table,MATCH($A48,'Site Data'!$A$5:$A$37,0),MATCH(C$30,Site_Data_Column_Names,0))</f>
        <v>#N/A</v>
      </c>
      <c r="D48" s="199" t="str">
        <f>INDEX(Site_Data_Table,MATCH($A48,'Site Data'!$A$5:$A$37,0),MATCH(D$30,Site_Data_Column_Names,0))</f>
        <v>19-S1</v>
      </c>
      <c r="E48" s="176">
        <f>INDEX(Prod_Yr_1,MATCH($A48,'System Specification'!$B$15:$B$46,0))</f>
        <v>0</v>
      </c>
      <c r="F48" s="179" t="str">
        <f>_xlfn.TEXTJOIN(" / ",1,INDEX('System Specification'!$L$15:$L$46,MATCH($A48,'System Specification'!$B$15:$B$46,0)),INDEX('System Specification'!$M$15:$M$46,MATCH($A48,'System Specification'!$B$15:$B$46,0)))</f>
        <v/>
      </c>
      <c r="G48" s="179" t="str">
        <f>INDEX(Site_Data_Table,MATCH($A48,'Site Data'!$A$5:$A$37,0),MATCH(G$30,Site_Data_Column_Names,0))</f>
        <v>LADWP</v>
      </c>
      <c r="H48" s="179" t="s">
        <v>338</v>
      </c>
      <c r="I48" s="261">
        <f>INDEX(Site_Data_Table,MATCH($A48,'Site Data'!$A$5:$A$37,0),MATCH(I$30,Site_Data_Column_Names,0))</f>
        <v>20</v>
      </c>
      <c r="J48" s="247"/>
      <c r="K48" s="183"/>
      <c r="L48" s="540"/>
      <c r="M48" s="541"/>
      <c r="N48" s="542"/>
      <c r="O48" s="537"/>
      <c r="P48" s="546"/>
      <c r="Q48" s="546"/>
      <c r="R48" s="132" t="str">
        <f>IF(O48=0,"",IFERROR(O48*$I48*12/#REF!/1000,""))</f>
        <v/>
      </c>
      <c r="S48" s="331" t="str">
        <f>_xlfn.LET(_xlpm.val,INDEX('System Specification'!$H$15:$H$47,MATCH($A48,'System Specification'!$B$15:$B$47,0)),
IF(_xlpm.val="","",_xlpm.val))</f>
        <v>No</v>
      </c>
      <c r="T48" s="241">
        <f>IF($S48="No",0,INDEX(Site_Data_Table,MATCH($A48,'Site Data'!$A$5:$A$37,0),MATCH(T$30,Site_Data_Column_Names,0)))</f>
        <v>0</v>
      </c>
      <c r="U48" s="242">
        <f t="shared" si="0"/>
        <v>0</v>
      </c>
      <c r="V48" s="181"/>
      <c r="W48" s="287">
        <v>15000</v>
      </c>
      <c r="X48" s="174">
        <f t="shared" si="1"/>
        <v>15000</v>
      </c>
    </row>
    <row r="49" spans="1:24" ht="15.3" x14ac:dyDescent="0.55000000000000004">
      <c r="A49" s="61">
        <v>19</v>
      </c>
      <c r="B49" s="462" t="str">
        <f>INDEX(Site_Data_Table,MATCH($A49,'Site Data'!$A$5:$A$37,0),MATCH(B$30,Site_Data_Column_Names,0))</f>
        <v>Pomona Courthouse South</v>
      </c>
      <c r="C49" s="463" t="e">
        <f>INDEX(Site_Data_Table,MATCH($A49,'Site Data'!$A$5:$A$37,0),MATCH(C$30,Site_Data_Column_Names,0))</f>
        <v>#N/A</v>
      </c>
      <c r="D49" s="199" t="str">
        <f>INDEX(Site_Data_Table,MATCH($A49,'Site Data'!$A$5:$A$37,0),MATCH(D$30,Site_Data_Column_Names,0))</f>
        <v>19-W1</v>
      </c>
      <c r="E49" s="176">
        <f>INDEX(Prod_Yr_1,MATCH($A49,'System Specification'!$B$15:$B$46,0))</f>
        <v>0</v>
      </c>
      <c r="F49" s="179" t="str">
        <f>_xlfn.TEXTJOIN(" / ",1,INDEX('System Specification'!$L$15:$L$46,MATCH($A49,'System Specification'!$B$15:$B$46,0)),INDEX('System Specification'!$M$15:$M$46,MATCH($A49,'System Specification'!$B$15:$B$46,0)))</f>
        <v/>
      </c>
      <c r="G49" s="179" t="str">
        <f>INDEX(Site_Data_Table,MATCH($A49,'Site Data'!$A$5:$A$37,0),MATCH(G$30,Site_Data_Column_Names,0))</f>
        <v>SCE</v>
      </c>
      <c r="H49" s="218" t="s">
        <v>329</v>
      </c>
      <c r="I49" s="261">
        <f>INDEX(Site_Data_Table,MATCH($A49,'Site Data'!$A$5:$A$37,0),MATCH(I$30,Site_Data_Column_Names,0))</f>
        <v>20</v>
      </c>
      <c r="J49" s="246"/>
      <c r="K49" s="126"/>
      <c r="L49" s="537"/>
      <c r="M49" s="538"/>
      <c r="N49" s="539"/>
      <c r="O49" s="181"/>
      <c r="P49" s="265"/>
      <c r="Q49" s="265"/>
      <c r="R49" s="132" t="str">
        <f>IF(O49=0,"",IFERROR(O49*$I49*12/#REF!/1000,""))</f>
        <v/>
      </c>
      <c r="S49" s="331" t="str">
        <f>_xlfn.LET(_xlpm.val,INDEX('System Specification'!$H$15:$H$47,MATCH($A49,'System Specification'!$B$15:$B$47,0)),
IF(_xlpm.val="","",_xlpm.val))</f>
        <v>No</v>
      </c>
      <c r="T49" s="241">
        <f>IF($S49="No",0,INDEX(Site_Data_Table,MATCH($A49,'Site Data'!$A$5:$A$37,0),MATCH(T$30,Site_Data_Column_Names,0)))</f>
        <v>0</v>
      </c>
      <c r="U49" s="242">
        <f t="shared" si="0"/>
        <v>0</v>
      </c>
      <c r="V49" s="181"/>
      <c r="W49" s="287">
        <v>15000</v>
      </c>
      <c r="X49" s="174">
        <f t="shared" si="1"/>
        <v>15000</v>
      </c>
    </row>
    <row r="50" spans="1:24" ht="15.3" x14ac:dyDescent="0.55000000000000004">
      <c r="A50" s="61">
        <v>20</v>
      </c>
      <c r="B50" s="462" t="str">
        <f>INDEX(Site_Data_Table,MATCH($A50,'Site Data'!$A$5:$A$37,0),MATCH(B$30,Site_Data_Column_Names,0))</f>
        <v>The Robert M. Falasco Justice Center</v>
      </c>
      <c r="C50" s="463" t="e">
        <f>INDEX(Site_Data_Table,MATCH($A50,'Site Data'!$A$5:$A$37,0),MATCH(C$30,Site_Data_Column_Names,0))</f>
        <v>#N/A</v>
      </c>
      <c r="D50" s="199" t="str">
        <f>INDEX(Site_Data_Table,MATCH($A50,'Site Data'!$A$5:$A$37,0),MATCH(D$30,Site_Data_Column_Names,0))</f>
        <v>24-G1</v>
      </c>
      <c r="E50" s="176">
        <f>INDEX(Prod_Yr_1,MATCH($A50,'System Specification'!$B$15:$B$46,0))</f>
        <v>0</v>
      </c>
      <c r="F50" s="179" t="str">
        <f>_xlfn.TEXTJOIN(" / ",1,INDEX('System Specification'!$L$15:$L$46,MATCH($A50,'System Specification'!$B$15:$B$46,0)),INDEX('System Specification'!$M$15:$M$46,MATCH($A50,'System Specification'!$B$15:$B$46,0)))</f>
        <v/>
      </c>
      <c r="G50" s="179" t="str">
        <f>INDEX(Site_Data_Table,MATCH($A50,'Site Data'!$A$5:$A$37,0),MATCH(G$30,Site_Data_Column_Names,0))</f>
        <v>PG&amp;E</v>
      </c>
      <c r="H50" s="218" t="s">
        <v>329</v>
      </c>
      <c r="I50" s="261">
        <f>INDEX(Site_Data_Table,MATCH($A50,'Site Data'!$A$5:$A$37,0),MATCH(I$30,Site_Data_Column_Names,0))</f>
        <v>20</v>
      </c>
      <c r="J50" s="246"/>
      <c r="K50" s="126"/>
      <c r="L50" s="537"/>
      <c r="M50" s="538"/>
      <c r="N50" s="539"/>
      <c r="O50" s="181"/>
      <c r="P50" s="265"/>
      <c r="Q50" s="265"/>
      <c r="R50" s="132" t="str">
        <f>IF(O50=0,"",IFERROR(O50*$I50*12/#REF!/1000,""))</f>
        <v/>
      </c>
      <c r="S50" s="331" t="str">
        <f>_xlfn.LET(_xlpm.val,INDEX('System Specification'!$H$15:$H$47,MATCH($A50,'System Specification'!$B$15:$B$47,0)),
IF(_xlpm.val="","",_xlpm.val))</f>
        <v>No</v>
      </c>
      <c r="T50" s="241">
        <f>IF($S50="No",0,INDEX(Site_Data_Table,MATCH($A50,'Site Data'!$A$5:$A$37,0),MATCH(T$30,Site_Data_Column_Names,0)))</f>
        <v>0</v>
      </c>
      <c r="U50" s="242">
        <f t="shared" si="0"/>
        <v>0</v>
      </c>
      <c r="V50" s="181"/>
      <c r="W50" s="287">
        <v>15000</v>
      </c>
      <c r="X50" s="174">
        <f t="shared" si="1"/>
        <v>15000</v>
      </c>
    </row>
    <row r="51" spans="1:24" ht="15.3" x14ac:dyDescent="0.55000000000000004">
      <c r="A51" s="61">
        <v>21</v>
      </c>
      <c r="B51" s="462" t="str">
        <f>INDEX(Site_Data_Table,MATCH($A51,'Site Data'!$A$5:$A$37,0),MATCH(B$30,Site_Data_Column_Names,0))</f>
        <v>Mammoth Lakes Courthouse</v>
      </c>
      <c r="C51" s="463" t="e">
        <f>INDEX(Site_Data_Table,MATCH($A51,'Site Data'!$A$5:$A$37,0),MATCH(C$30,Site_Data_Column_Names,0))</f>
        <v>#N/A</v>
      </c>
      <c r="D51" s="199" t="str">
        <f>INDEX(Site_Data_Table,MATCH($A51,'Site Data'!$A$5:$A$37,0),MATCH(D$30,Site_Data_Column_Names,0))</f>
        <v>26-B2</v>
      </c>
      <c r="E51" s="176">
        <f>INDEX(Prod_Yr_1,MATCH($A51,'System Specification'!$B$15:$B$46,0))</f>
        <v>0</v>
      </c>
      <c r="F51" s="179" t="str">
        <f>_xlfn.TEXTJOIN(" / ",1,INDEX('System Specification'!$L$15:$L$46,MATCH($A51,'System Specification'!$B$15:$B$46,0)),INDEX('System Specification'!$M$15:$M$46,MATCH($A51,'System Specification'!$B$15:$B$46,0)))</f>
        <v/>
      </c>
      <c r="G51" s="179" t="str">
        <f>INDEX(Site_Data_Table,MATCH($A51,'Site Data'!$A$5:$A$37,0),MATCH(G$30,Site_Data_Column_Names,0))</f>
        <v>SCE</v>
      </c>
      <c r="H51" s="218" t="s">
        <v>329</v>
      </c>
      <c r="I51" s="261">
        <f>INDEX(Site_Data_Table,MATCH($A51,'Site Data'!$A$5:$A$37,0),MATCH(I$30,Site_Data_Column_Names,0))</f>
        <v>20</v>
      </c>
      <c r="J51" s="246"/>
      <c r="K51" s="126"/>
      <c r="L51" s="537"/>
      <c r="M51" s="538"/>
      <c r="N51" s="539"/>
      <c r="O51" s="181"/>
      <c r="P51" s="265"/>
      <c r="Q51" s="265"/>
      <c r="R51" s="132" t="str">
        <f>IF(O51=0,"",IFERROR(O51*$I51*12/#REF!/1000,""))</f>
        <v/>
      </c>
      <c r="S51" s="331" t="str">
        <f>_xlfn.LET(_xlpm.val,INDEX('System Specification'!$H$15:$H$47,MATCH($A51,'System Specification'!$B$15:$B$47,0)),
IF(_xlpm.val="","",_xlpm.val))</f>
        <v>No</v>
      </c>
      <c r="T51" s="241">
        <f>IF($S51="No",0,INDEX(Site_Data_Table,MATCH($A51,'Site Data'!$A$5:$A$37,0),MATCH(T$30,Site_Data_Column_Names,0)))</f>
        <v>0</v>
      </c>
      <c r="U51" s="242">
        <f t="shared" si="0"/>
        <v>0</v>
      </c>
      <c r="V51" s="181"/>
      <c r="W51" s="287">
        <v>15000</v>
      </c>
      <c r="X51" s="174">
        <f t="shared" si="1"/>
        <v>15000</v>
      </c>
    </row>
    <row r="52" spans="1:24" ht="15.3" x14ac:dyDescent="0.55000000000000004">
      <c r="A52" s="61">
        <v>22</v>
      </c>
      <c r="B52" s="462" t="str">
        <f>INDEX(Site_Data_Table,MATCH($A52,'Site Data'!$A$5:$A$37,0),MATCH(B$30,Site_Data_Column_Names,0))</f>
        <v>Banning Justice Center</v>
      </c>
      <c r="C52" s="463" t="e">
        <f>INDEX(Site_Data_Table,MATCH($A52,'Site Data'!$A$5:$A$37,0),MATCH(C$30,Site_Data_Column_Names,0))</f>
        <v>#N/A</v>
      </c>
      <c r="D52" s="199" t="str">
        <f>INDEX(Site_Data_Table,MATCH($A52,'Site Data'!$A$5:$A$37,0),MATCH(D$30,Site_Data_Column_Names,0))</f>
        <v>33-G4</v>
      </c>
      <c r="E52" s="176">
        <f>INDEX(Prod_Yr_1,MATCH($A52,'System Specification'!$B$15:$B$46,0))</f>
        <v>0</v>
      </c>
      <c r="F52" s="179" t="str">
        <f>_xlfn.TEXTJOIN(" / ",1,INDEX('System Specification'!$L$15:$L$46,MATCH($A52,'System Specification'!$B$15:$B$46,0)),INDEX('System Specification'!$M$15:$M$46,MATCH($A52,'System Specification'!$B$15:$B$46,0)))</f>
        <v/>
      </c>
      <c r="G52" s="179" t="str">
        <f>INDEX(Site_Data_Table,MATCH($A52,'Site Data'!$A$5:$A$37,0),MATCH(G$30,Site_Data_Column_Names,0))</f>
        <v>City of Banning</v>
      </c>
      <c r="H52" s="179" t="s">
        <v>338</v>
      </c>
      <c r="I52" s="261">
        <f>INDEX(Site_Data_Table,MATCH($A52,'Site Data'!$A$5:$A$37,0),MATCH(I$30,Site_Data_Column_Names,0))</f>
        <v>20</v>
      </c>
      <c r="J52" s="247"/>
      <c r="K52" s="183"/>
      <c r="L52" s="540"/>
      <c r="M52" s="541"/>
      <c r="N52" s="542"/>
      <c r="O52" s="537"/>
      <c r="P52" s="546"/>
      <c r="Q52" s="546"/>
      <c r="R52" s="132" t="str">
        <f>IF(O52=0,"",IFERROR(O52*$I52*12/#REF!/1000,""))</f>
        <v/>
      </c>
      <c r="S52" s="331" t="str">
        <f>_xlfn.LET(_xlpm.val,INDEX('System Specification'!$H$15:$H$47,MATCH($A52,'System Specification'!$B$15:$B$47,0)),
IF(_xlpm.val="","",_xlpm.val))</f>
        <v>No</v>
      </c>
      <c r="T52" s="241">
        <f>IF($S52="No",0,INDEX(Site_Data_Table,MATCH($A52,'Site Data'!$A$5:$A$37,0),MATCH(T$30,Site_Data_Column_Names,0)))</f>
        <v>0</v>
      </c>
      <c r="U52" s="242">
        <f t="shared" si="0"/>
        <v>0</v>
      </c>
      <c r="V52" s="181"/>
      <c r="W52" s="287">
        <v>15000</v>
      </c>
      <c r="X52" s="174">
        <f t="shared" si="1"/>
        <v>15000</v>
      </c>
    </row>
    <row r="53" spans="1:24" ht="15.3" x14ac:dyDescent="0.55000000000000004">
      <c r="A53" s="61">
        <v>23</v>
      </c>
      <c r="B53" s="462" t="str">
        <f>INDEX(Site_Data_Table,MATCH($A53,'Site Data'!$A$5:$A$37,0),MATCH(B$30,Site_Data_Column_Names,0))</f>
        <v>San Benito County Superior Court</v>
      </c>
      <c r="C53" s="463" t="e">
        <f>INDEX(Site_Data_Table,MATCH($A53,'Site Data'!$A$5:$A$37,0),MATCH(C$30,Site_Data_Column_Names,0))</f>
        <v>#N/A</v>
      </c>
      <c r="D53" s="199" t="str">
        <f>INDEX(Site_Data_Table,MATCH($A53,'Site Data'!$A$5:$A$37,0),MATCH(D$30,Site_Data_Column_Names,0))</f>
        <v>35-C1</v>
      </c>
      <c r="E53" s="176">
        <f>INDEX(Prod_Yr_1,MATCH($A53,'System Specification'!$B$15:$B$46,0))</f>
        <v>0</v>
      </c>
      <c r="F53" s="179" t="str">
        <f>_xlfn.TEXTJOIN(" / ",1,INDEX('System Specification'!$L$15:$L$46,MATCH($A53,'System Specification'!$B$15:$B$46,0)),INDEX('System Specification'!$M$15:$M$46,MATCH($A53,'System Specification'!$B$15:$B$46,0)))</f>
        <v/>
      </c>
      <c r="G53" s="179" t="str">
        <f>INDEX(Site_Data_Table,MATCH($A53,'Site Data'!$A$5:$A$37,0),MATCH(G$30,Site_Data_Column_Names,0))</f>
        <v>PG&amp;E / CCCE</v>
      </c>
      <c r="H53" s="218" t="s">
        <v>329</v>
      </c>
      <c r="I53" s="261">
        <f>INDEX(Site_Data_Table,MATCH($A53,'Site Data'!$A$5:$A$37,0),MATCH(I$30,Site_Data_Column_Names,0))</f>
        <v>20</v>
      </c>
      <c r="J53" s="246"/>
      <c r="K53" s="126"/>
      <c r="L53" s="537"/>
      <c r="M53" s="538"/>
      <c r="N53" s="539"/>
      <c r="O53" s="181"/>
      <c r="P53" s="265"/>
      <c r="Q53" s="265"/>
      <c r="R53" s="132" t="str">
        <f>IF(O53=0,"",IFERROR(O53*$I53*12/#REF!/1000,""))</f>
        <v/>
      </c>
      <c r="S53" s="331" t="str">
        <f>_xlfn.LET(_xlpm.val,INDEX('System Specification'!$H$15:$H$47,MATCH($A53,'System Specification'!$B$15:$B$47,0)),
IF(_xlpm.val="","",_xlpm.val))</f>
        <v>No</v>
      </c>
      <c r="T53" s="241">
        <f>IF($S53="No",0,INDEX(Site_Data_Table,MATCH($A53,'Site Data'!$A$5:$A$37,0),MATCH(T$30,Site_Data_Column_Names,0)))</f>
        <v>0</v>
      </c>
      <c r="U53" s="242">
        <f t="shared" si="0"/>
        <v>0</v>
      </c>
      <c r="V53" s="181"/>
      <c r="W53" s="287">
        <v>15000</v>
      </c>
      <c r="X53" s="174">
        <f t="shared" si="1"/>
        <v>15000</v>
      </c>
    </row>
    <row r="54" spans="1:24" ht="15.3" x14ac:dyDescent="0.55000000000000004">
      <c r="A54" s="61">
        <v>24</v>
      </c>
      <c r="B54" s="462" t="str">
        <f>INDEX(Site_Data_Table,MATCH($A54,'Site Data'!$A$5:$A$37,0),MATCH(B$30,Site_Data_Column_Names,0))</f>
        <v>San Bernardino Justice Center</v>
      </c>
      <c r="C54" s="463" t="e">
        <f>INDEX(Site_Data_Table,MATCH($A54,'Site Data'!$A$5:$A$37,0),MATCH(C$30,Site_Data_Column_Names,0))</f>
        <v>#N/A</v>
      </c>
      <c r="D54" s="199" t="str">
        <f>INDEX(Site_Data_Table,MATCH($A54,'Site Data'!$A$5:$A$37,0),MATCH(D$30,Site_Data_Column_Names,0))</f>
        <v>36-R1</v>
      </c>
      <c r="E54" s="176">
        <f>INDEX(Prod_Yr_1,MATCH($A54,'System Specification'!$B$15:$B$46,0))</f>
        <v>0</v>
      </c>
      <c r="F54" s="179" t="str">
        <f>_xlfn.TEXTJOIN(" / ",1,INDEX('System Specification'!$L$15:$L$46,MATCH($A54,'System Specification'!$B$15:$B$46,0)),INDEX('System Specification'!$M$15:$M$46,MATCH($A54,'System Specification'!$B$15:$B$46,0)))</f>
        <v/>
      </c>
      <c r="G54" s="179" t="str">
        <f>INDEX(Site_Data_Table,MATCH($A54,'Site Data'!$A$5:$A$37,0),MATCH(G$30,Site_Data_Column_Names,0))</f>
        <v>SCE</v>
      </c>
      <c r="H54" s="218" t="s">
        <v>329</v>
      </c>
      <c r="I54" s="261">
        <f>INDEX(Site_Data_Table,MATCH($A54,'Site Data'!$A$5:$A$37,0),MATCH(I$30,Site_Data_Column_Names,0))</f>
        <v>20</v>
      </c>
      <c r="J54" s="246"/>
      <c r="K54" s="126"/>
      <c r="L54" s="537"/>
      <c r="M54" s="538"/>
      <c r="N54" s="539"/>
      <c r="O54" s="181"/>
      <c r="P54" s="265"/>
      <c r="Q54" s="265"/>
      <c r="R54" s="132" t="str">
        <f>IF(O54=0,"",IFERROR(O54*$I54*12/#REF!/1000,""))</f>
        <v/>
      </c>
      <c r="S54" s="331" t="str">
        <f>_xlfn.LET(_xlpm.val,INDEX('System Specification'!$H$15:$H$47,MATCH($A54,'System Specification'!$B$15:$B$47,0)),
IF(_xlpm.val="","",_xlpm.val))</f>
        <v>No</v>
      </c>
      <c r="T54" s="241">
        <f>IF($S54="No",0,INDEX(Site_Data_Table,MATCH($A54,'Site Data'!$A$5:$A$37,0),MATCH(T$30,Site_Data_Column_Names,0)))</f>
        <v>0</v>
      </c>
      <c r="U54" s="242">
        <f t="shared" si="0"/>
        <v>0</v>
      </c>
      <c r="V54" s="181"/>
      <c r="W54" s="287">
        <v>15000</v>
      </c>
      <c r="X54" s="174">
        <f t="shared" si="1"/>
        <v>15000</v>
      </c>
    </row>
    <row r="55" spans="1:24" ht="15.3" x14ac:dyDescent="0.55000000000000004">
      <c r="A55" s="61">
        <v>25</v>
      </c>
      <c r="B55" s="462" t="str">
        <f>INDEX(Site_Data_Table,MATCH($A55,'Site Data'!$A$5:$A$37,0),MATCH(B$30,Site_Data_Column_Names,0))</f>
        <v>Kearny Mesa Court</v>
      </c>
      <c r="C55" s="463" t="e">
        <f>INDEX(Site_Data_Table,MATCH($A55,'Site Data'!$A$5:$A$37,0),MATCH(C$30,Site_Data_Column_Names,0))</f>
        <v>#N/A</v>
      </c>
      <c r="D55" s="199" t="str">
        <f>INDEX(Site_Data_Table,MATCH($A55,'Site Data'!$A$5:$A$37,0),MATCH(D$30,Site_Data_Column_Names,0))</f>
        <v>37-C1</v>
      </c>
      <c r="E55" s="176">
        <f>INDEX(Prod_Yr_1,MATCH($A55,'System Specification'!$B$15:$B$46,0))</f>
        <v>0</v>
      </c>
      <c r="F55" s="179" t="str">
        <f>_xlfn.TEXTJOIN(" / ",1,INDEX('System Specification'!$L$15:$L$46,MATCH($A55,'System Specification'!$B$15:$B$46,0)),INDEX('System Specification'!$M$15:$M$46,MATCH($A55,'System Specification'!$B$15:$B$46,0)))</f>
        <v/>
      </c>
      <c r="G55" s="179" t="str">
        <f>INDEX(Site_Data_Table,MATCH($A55,'Site Data'!$A$5:$A$37,0),MATCH(G$30,Site_Data_Column_Names,0))</f>
        <v>SDG&amp;E / SDCP</v>
      </c>
      <c r="H55" s="218" t="s">
        <v>329</v>
      </c>
      <c r="I55" s="261">
        <f>INDEX(Site_Data_Table,MATCH($A55,'Site Data'!$A$5:$A$37,0),MATCH(I$30,Site_Data_Column_Names,0))</f>
        <v>20</v>
      </c>
      <c r="J55" s="246"/>
      <c r="K55" s="126"/>
      <c r="L55" s="537"/>
      <c r="M55" s="538"/>
      <c r="N55" s="539"/>
      <c r="O55" s="181"/>
      <c r="P55" s="265"/>
      <c r="Q55" s="265"/>
      <c r="R55" s="132" t="str">
        <f>IF(O55=0,"",IFERROR(O55*$I55*12/#REF!/1000,""))</f>
        <v/>
      </c>
      <c r="S55" s="331" t="str">
        <f>_xlfn.LET(_xlpm.val,INDEX('System Specification'!$H$15:$H$47,MATCH($A55,'System Specification'!$B$15:$B$47,0)),
IF(_xlpm.val="","",_xlpm.val))</f>
        <v/>
      </c>
      <c r="T55" s="241" t="str">
        <f>IF($S55="No",0,INDEX(Site_Data_Table,MATCH($A55,'Site Data'!$A$5:$A$37,0),MATCH(T$30,Site_Data_Column_Names,0)))</f>
        <v/>
      </c>
      <c r="U55" s="242" t="str">
        <f t="shared" si="0"/>
        <v/>
      </c>
      <c r="V55" s="181"/>
      <c r="W55" s="287">
        <v>15000</v>
      </c>
      <c r="X55" s="174">
        <f t="shared" si="1"/>
        <v>15000</v>
      </c>
    </row>
    <row r="56" spans="1:24" ht="15.3" x14ac:dyDescent="0.55000000000000004">
      <c r="A56" s="61">
        <v>26</v>
      </c>
      <c r="B56" s="462" t="str">
        <f>INDEX(Site_Data_Table,MATCH($A56,'Site Data'!$A$5:$A$37,0),MATCH(B$30,Site_Data_Column_Names,0))</f>
        <v>East County Regional Center</v>
      </c>
      <c r="C56" s="463" t="e">
        <f>INDEX(Site_Data_Table,MATCH($A56,'Site Data'!$A$5:$A$37,0),MATCH(C$30,Site_Data_Column_Names,0))</f>
        <v>#N/A</v>
      </c>
      <c r="D56" s="199" t="str">
        <f>INDEX(Site_Data_Table,MATCH($A56,'Site Data'!$A$5:$A$37,0),MATCH(D$30,Site_Data_Column_Names,0))</f>
        <v>37-I1</v>
      </c>
      <c r="E56" s="176">
        <f>INDEX(Prod_Yr_1,MATCH($A56,'System Specification'!$B$15:$B$46,0))</f>
        <v>0</v>
      </c>
      <c r="F56" s="179" t="str">
        <f>_xlfn.TEXTJOIN(" / ",1,INDEX('System Specification'!$L$15:$L$46,MATCH($A56,'System Specification'!$B$15:$B$46,0)),INDEX('System Specification'!$M$15:$M$46,MATCH($A56,'System Specification'!$B$15:$B$46,0)))</f>
        <v/>
      </c>
      <c r="G56" s="179" t="str">
        <f>INDEX(Site_Data_Table,MATCH($A56,'Site Data'!$A$5:$A$37,0),MATCH(G$30,Site_Data_Column_Names,0))</f>
        <v>SDG&amp;E</v>
      </c>
      <c r="H56" s="218" t="s">
        <v>329</v>
      </c>
      <c r="I56" s="261">
        <f>INDEX(Site_Data_Table,MATCH($A56,'Site Data'!$A$5:$A$37,0),MATCH(I$30,Site_Data_Column_Names,0))</f>
        <v>20</v>
      </c>
      <c r="J56" s="246"/>
      <c r="K56" s="126"/>
      <c r="L56" s="537"/>
      <c r="M56" s="538"/>
      <c r="N56" s="539"/>
      <c r="O56" s="181"/>
      <c r="P56" s="265"/>
      <c r="Q56" s="265"/>
      <c r="R56" s="132" t="str">
        <f>IF(O56=0,"",IFERROR(O56*$I56*12/#REF!/1000,""))</f>
        <v/>
      </c>
      <c r="S56" s="331" t="str">
        <f>_xlfn.LET(_xlpm.val,INDEX('System Specification'!$H$15:$H$47,MATCH($A56,'System Specification'!$B$15:$B$47,0)),
IF(_xlpm.val="","",_xlpm.val))</f>
        <v>No</v>
      </c>
      <c r="T56" s="241">
        <f>IF($S56="No",0,INDEX(Site_Data_Table,MATCH($A56,'Site Data'!$A$5:$A$37,0),MATCH(T$30,Site_Data_Column_Names,0)))</f>
        <v>0</v>
      </c>
      <c r="U56" s="242">
        <f t="shared" si="0"/>
        <v>0</v>
      </c>
      <c r="V56" s="181"/>
      <c r="W56" s="287">
        <v>15000</v>
      </c>
      <c r="X56" s="174">
        <f t="shared" si="1"/>
        <v>15000</v>
      </c>
    </row>
    <row r="57" spans="1:24" ht="15.3" x14ac:dyDescent="0.55000000000000004">
      <c r="A57" s="61">
        <v>27</v>
      </c>
      <c r="B57" s="462" t="str">
        <f>INDEX(Site_Data_Table,MATCH($A57,'Site Data'!$A$5:$A$37,0),MATCH(B$30,Site_Data_Column_Names,0))</f>
        <v>Northern Branch Courthouse</v>
      </c>
      <c r="C57" s="463" t="e">
        <f>INDEX(Site_Data_Table,MATCH($A57,'Site Data'!$A$5:$A$37,0),MATCH(C$30,Site_Data_Column_Names,0))</f>
        <v>#N/A</v>
      </c>
      <c r="D57" s="199" t="str">
        <f>INDEX(Site_Data_Table,MATCH($A57,'Site Data'!$A$5:$A$37,0),MATCH(D$30,Site_Data_Column_Names,0))</f>
        <v>41-C1</v>
      </c>
      <c r="E57" s="176">
        <f>INDEX(Prod_Yr_1,MATCH($A57,'System Specification'!$B$15:$B$46,0))</f>
        <v>0</v>
      </c>
      <c r="F57" s="179" t="str">
        <f>_xlfn.TEXTJOIN(" / ",1,INDEX('System Specification'!$L$15:$L$46,MATCH($A57,'System Specification'!$B$15:$B$46,0)),INDEX('System Specification'!$M$15:$M$46,MATCH($A57,'System Specification'!$B$15:$B$46,0)))</f>
        <v/>
      </c>
      <c r="G57" s="179" t="str">
        <f>INDEX(Site_Data_Table,MATCH($A57,'Site Data'!$A$5:$A$37,0),MATCH(G$30,Site_Data_Column_Names,0))</f>
        <v>PG&amp;E / PCE</v>
      </c>
      <c r="H57" s="218" t="s">
        <v>329</v>
      </c>
      <c r="I57" s="261">
        <f>INDEX(Site_Data_Table,MATCH($A57,'Site Data'!$A$5:$A$37,0),MATCH(I$30,Site_Data_Column_Names,0))</f>
        <v>20</v>
      </c>
      <c r="J57" s="246"/>
      <c r="K57" s="126"/>
      <c r="L57" s="537"/>
      <c r="M57" s="538"/>
      <c r="N57" s="539"/>
      <c r="O57" s="181"/>
      <c r="P57" s="265"/>
      <c r="Q57" s="265"/>
      <c r="R57" s="132" t="str">
        <f>IF(O57=0,"",IFERROR(O57*$I57*12/#REF!/1000,""))</f>
        <v/>
      </c>
      <c r="S57" s="331" t="str">
        <f>_xlfn.LET(_xlpm.val,INDEX('System Specification'!$H$15:$H$47,MATCH($A57,'System Specification'!$B$15:$B$47,0)),
IF(_xlpm.val="","",_xlpm.val))</f>
        <v>No</v>
      </c>
      <c r="T57" s="241">
        <f>IF($S57="No",0,INDEX(Site_Data_Table,MATCH($A57,'Site Data'!$A$5:$A$37,0),MATCH(T$30,Site_Data_Column_Names,0)))</f>
        <v>0</v>
      </c>
      <c r="U57" s="242">
        <f t="shared" si="0"/>
        <v>0</v>
      </c>
      <c r="V57" s="181"/>
      <c r="W57" s="287">
        <v>15000</v>
      </c>
      <c r="X57" s="174">
        <f t="shared" si="1"/>
        <v>15000</v>
      </c>
    </row>
    <row r="58" spans="1:24" ht="15.3" x14ac:dyDescent="0.55000000000000004">
      <c r="A58" s="61">
        <v>28</v>
      </c>
      <c r="B58" s="462" t="str">
        <f>INDEX(Site_Data_Table,MATCH($A58,'Site Data'!$A$5:$A$37,0),MATCH(B$30,Site_Data_Column_Names,0))</f>
        <v>Downtown Superior Court</v>
      </c>
      <c r="C58" s="463" t="e">
        <f>INDEX(Site_Data_Table,MATCH($A58,'Site Data'!$A$5:$A$37,0),MATCH(C$30,Site_Data_Column_Names,0))</f>
        <v>#N/A</v>
      </c>
      <c r="D58" s="199" t="str">
        <f>INDEX(Site_Data_Table,MATCH($A58,'Site Data'!$A$5:$A$37,0),MATCH(D$30,Site_Data_Column_Names,0))</f>
        <v>43-B1</v>
      </c>
      <c r="E58" s="176">
        <f>INDEX(Prod_Yr_1,MATCH($A58,'System Specification'!$B$15:$B$46,0))</f>
        <v>0</v>
      </c>
      <c r="F58" s="179" t="str">
        <f>_xlfn.TEXTJOIN(" / ",1,INDEX('System Specification'!$L$15:$L$46,MATCH($A58,'System Specification'!$B$15:$B$46,0)),INDEX('System Specification'!$M$15:$M$46,MATCH($A58,'System Specification'!$B$15:$B$46,0)))</f>
        <v/>
      </c>
      <c r="G58" s="179" t="str">
        <f>INDEX(Site_Data_Table,MATCH($A58,'Site Data'!$A$5:$A$37,0),MATCH(G$30,Site_Data_Column_Names,0))</f>
        <v>PG&amp;E / SJCE</v>
      </c>
      <c r="H58" s="218" t="s">
        <v>329</v>
      </c>
      <c r="I58" s="261">
        <f>INDEX(Site_Data_Table,MATCH($A58,'Site Data'!$A$5:$A$37,0),MATCH(I$30,Site_Data_Column_Names,0))</f>
        <v>20</v>
      </c>
      <c r="J58" s="246"/>
      <c r="K58" s="126"/>
      <c r="L58" s="537"/>
      <c r="M58" s="538"/>
      <c r="N58" s="539"/>
      <c r="O58" s="181"/>
      <c r="P58" s="265"/>
      <c r="Q58" s="265"/>
      <c r="R58" s="132" t="str">
        <f>IF(O58=0,"",IFERROR(O58*$I58*12/#REF!/1000,""))</f>
        <v/>
      </c>
      <c r="S58" s="331" t="str">
        <f>_xlfn.LET(_xlpm.val,INDEX('System Specification'!$H$15:$H$47,MATCH($A58,'System Specification'!$B$15:$B$47,0)),
IF(_xlpm.val="","",_xlpm.val))</f>
        <v>No</v>
      </c>
      <c r="T58" s="241">
        <f>IF($S58="No",0,INDEX(Site_Data_Table,MATCH($A58,'Site Data'!$A$5:$A$37,0),MATCH(T$30,Site_Data_Column_Names,0)))</f>
        <v>0</v>
      </c>
      <c r="U58" s="242">
        <f t="shared" si="0"/>
        <v>0</v>
      </c>
      <c r="V58" s="181"/>
      <c r="W58" s="287">
        <v>15000</v>
      </c>
      <c r="X58" s="174">
        <f t="shared" si="1"/>
        <v>15000</v>
      </c>
    </row>
    <row r="59" spans="1:24" ht="15.3" x14ac:dyDescent="0.55000000000000004">
      <c r="A59" s="61">
        <v>29</v>
      </c>
      <c r="B59" s="462" t="str">
        <f>INDEX(Site_Data_Table,MATCH($A59,'Site Data'!$A$5:$A$37,0),MATCH(B$30,Site_Data_Column_Names,0))</f>
        <v>Sutter County Superior Courthouse</v>
      </c>
      <c r="C59" s="463" t="e">
        <f>INDEX(Site_Data_Table,MATCH($A59,'Site Data'!$A$5:$A$37,0),MATCH(C$30,Site_Data_Column_Names,0))</f>
        <v>#N/A</v>
      </c>
      <c r="D59" s="199" t="str">
        <f>INDEX(Site_Data_Table,MATCH($A59,'Site Data'!$A$5:$A$37,0),MATCH(D$30,Site_Data_Column_Names,0))</f>
        <v>51-C1</v>
      </c>
      <c r="E59" s="176">
        <f>INDEX(Prod_Yr_1,MATCH($A59,'System Specification'!$B$15:$B$46,0))</f>
        <v>0</v>
      </c>
      <c r="F59" s="179" t="str">
        <f>_xlfn.TEXTJOIN(" / ",1,INDEX('System Specification'!$L$15:$L$46,MATCH($A59,'System Specification'!$B$15:$B$46,0)),INDEX('System Specification'!$M$15:$M$46,MATCH($A59,'System Specification'!$B$15:$B$46,0)))</f>
        <v/>
      </c>
      <c r="G59" s="179" t="str">
        <f>INDEX(Site_Data_Table,MATCH($A59,'Site Data'!$A$5:$A$37,0),MATCH(G$30,Site_Data_Column_Names,0))</f>
        <v>PG&amp;E</v>
      </c>
      <c r="H59" s="218" t="s">
        <v>329</v>
      </c>
      <c r="I59" s="261">
        <f>INDEX(Site_Data_Table,MATCH($A59,'Site Data'!$A$5:$A$37,0),MATCH(I$30,Site_Data_Column_Names,0))</f>
        <v>20</v>
      </c>
      <c r="J59" s="246"/>
      <c r="K59" s="126"/>
      <c r="L59" s="537"/>
      <c r="M59" s="538"/>
      <c r="N59" s="539"/>
      <c r="O59" s="181"/>
      <c r="P59" s="265"/>
      <c r="Q59" s="265"/>
      <c r="R59" s="132" t="str">
        <f>IF(O59=0,"",IFERROR(O59*$I59*12/#REF!/1000,""))</f>
        <v/>
      </c>
      <c r="S59" s="331" t="str">
        <f>_xlfn.LET(_xlpm.val,INDEX('System Specification'!$H$15:$H$47,MATCH($A59,'System Specification'!$B$15:$B$47,0)),
IF(_xlpm.val="","",_xlpm.val))</f>
        <v>No</v>
      </c>
      <c r="T59" s="241">
        <f>IF($S59="No",0,INDEX(Site_Data_Table,MATCH($A59,'Site Data'!$A$5:$A$37,0),MATCH(T$30,Site_Data_Column_Names,0)))</f>
        <v>0</v>
      </c>
      <c r="U59" s="242">
        <f t="shared" si="0"/>
        <v>0</v>
      </c>
      <c r="V59" s="181"/>
      <c r="W59" s="287">
        <v>15000</v>
      </c>
      <c r="X59" s="174">
        <f t="shared" si="1"/>
        <v>15000</v>
      </c>
    </row>
    <row r="60" spans="1:24" ht="15.3" x14ac:dyDescent="0.55000000000000004">
      <c r="A60" s="61">
        <v>30</v>
      </c>
      <c r="B60" s="462" t="str">
        <f>INDEX(Site_Data_Table,MATCH($A60,'Site Data'!$A$5:$A$37,0),MATCH(B$30,Site_Data_Column_Names,0))</f>
        <v>Tehama County Courthouse</v>
      </c>
      <c r="C60" s="463" t="e">
        <f>INDEX(Site_Data_Table,MATCH($A60,'Site Data'!$A$5:$A$37,0),MATCH(C$30,Site_Data_Column_Names,0))</f>
        <v>#N/A</v>
      </c>
      <c r="D60" s="199" t="str">
        <f>INDEX(Site_Data_Table,MATCH($A60,'Site Data'!$A$5:$A$37,0),MATCH(D$30,Site_Data_Column_Names,0))</f>
        <v>52-E1</v>
      </c>
      <c r="E60" s="176">
        <f>INDEX(Prod_Yr_1,MATCH($A60,'System Specification'!$B$15:$B$46,0))</f>
        <v>0</v>
      </c>
      <c r="F60" s="179" t="str">
        <f>_xlfn.TEXTJOIN(" / ",1,INDEX('System Specification'!$L$15:$L$46,MATCH($A60,'System Specification'!$B$15:$B$46,0)),INDEX('System Specification'!$M$15:$M$46,MATCH($A60,'System Specification'!$B$15:$B$46,0)))</f>
        <v/>
      </c>
      <c r="G60" s="179" t="str">
        <f>INDEX(Site_Data_Table,MATCH($A60,'Site Data'!$A$5:$A$37,0),MATCH(G$30,Site_Data_Column_Names,0))</f>
        <v>PG&amp;E</v>
      </c>
      <c r="H60" s="218" t="s">
        <v>329</v>
      </c>
      <c r="I60" s="261">
        <f>INDEX(Site_Data_Table,MATCH($A60,'Site Data'!$A$5:$A$37,0),MATCH(I$30,Site_Data_Column_Names,0))</f>
        <v>20</v>
      </c>
      <c r="J60" s="246"/>
      <c r="K60" s="126"/>
      <c r="L60" s="537"/>
      <c r="M60" s="538"/>
      <c r="N60" s="539"/>
      <c r="O60" s="181"/>
      <c r="P60" s="265"/>
      <c r="Q60" s="265"/>
      <c r="R60" s="132" t="str">
        <f>IF(O60=0,"",IFERROR(O60*$I60*12/#REF!/1000,""))</f>
        <v/>
      </c>
      <c r="S60" s="331" t="str">
        <f>_xlfn.LET(_xlpm.val,INDEX('System Specification'!$H$15:$H$47,MATCH($A60,'System Specification'!$B$15:$B$47,0)),
IF(_xlpm.val="","",_xlpm.val))</f>
        <v/>
      </c>
      <c r="T60" s="241">
        <f>IF($S60="No",0,INDEX(Site_Data_Table,MATCH($A60,'Site Data'!$A$5:$A$37,0),MATCH(T$30,Site_Data_Column_Names,0)))</f>
        <v>0</v>
      </c>
      <c r="U60" s="242">
        <f t="shared" si="0"/>
        <v>0</v>
      </c>
      <c r="V60" s="181"/>
      <c r="W60" s="287">
        <v>15000</v>
      </c>
      <c r="X60" s="174">
        <f t="shared" si="1"/>
        <v>15000</v>
      </c>
    </row>
    <row r="61" spans="1:24" ht="15.3" x14ac:dyDescent="0.55000000000000004">
      <c r="A61" s="61">
        <v>31</v>
      </c>
      <c r="B61" s="462" t="str">
        <f>INDEX(Site_Data_Table,MATCH($A61,'Site Data'!$A$5:$A$37,0),MATCH(B$30,Site_Data_Column_Names,0))</f>
        <v>South County Justice Center</v>
      </c>
      <c r="C61" s="463" t="e">
        <f>INDEX(Site_Data_Table,MATCH($A61,'Site Data'!$A$5:$A$37,0),MATCH(C$30,Site_Data_Column_Names,0))</f>
        <v>#N/A</v>
      </c>
      <c r="D61" s="199" t="str">
        <f>INDEX(Site_Data_Table,MATCH($A61,'Site Data'!$A$5:$A$37,0),MATCH(D$30,Site_Data_Column_Names,0))</f>
        <v>54-I1</v>
      </c>
      <c r="E61" s="176">
        <f>INDEX(Prod_Yr_1,MATCH($A61,'System Specification'!$B$15:$B$46,0))</f>
        <v>0</v>
      </c>
      <c r="F61" s="179" t="str">
        <f>_xlfn.TEXTJOIN(" / ",1,INDEX('System Specification'!$L$15:$L$46,MATCH($A61,'System Specification'!$B$15:$B$46,0)),INDEX('System Specification'!$M$15:$M$46,MATCH($A61,'System Specification'!$B$15:$B$46,0)))</f>
        <v/>
      </c>
      <c r="G61" s="179" t="str">
        <f>INDEX(Site_Data_Table,MATCH($A61,'Site Data'!$A$5:$A$37,0),MATCH(G$30,Site_Data_Column_Names,0))</f>
        <v>SCE</v>
      </c>
      <c r="H61" s="218" t="s">
        <v>329</v>
      </c>
      <c r="I61" s="261">
        <f>INDEX(Site_Data_Table,MATCH($A61,'Site Data'!$A$5:$A$37,0),MATCH(I$30,Site_Data_Column_Names,0))</f>
        <v>20</v>
      </c>
      <c r="J61" s="246"/>
      <c r="K61" s="126"/>
      <c r="L61" s="537"/>
      <c r="M61" s="538"/>
      <c r="N61" s="539"/>
      <c r="O61" s="181"/>
      <c r="P61" s="265"/>
      <c r="Q61" s="265"/>
      <c r="R61" s="132" t="str">
        <f>IF(O61=0,"",IFERROR(O61*$I61*12/#REF!/1000,""))</f>
        <v/>
      </c>
      <c r="S61" s="331" t="str">
        <f>_xlfn.LET(_xlpm.val,INDEX('System Specification'!$H$15:$H$47,MATCH($A61,'System Specification'!$B$15:$B$47,0)),
IF(_xlpm.val="","",_xlpm.val))</f>
        <v>No</v>
      </c>
      <c r="T61" s="241">
        <f>IF($S61="No",0,INDEX(Site_Data_Table,MATCH($A61,'Site Data'!$A$5:$A$37,0),MATCH(T$30,Site_Data_Column_Names,0)))</f>
        <v>0</v>
      </c>
      <c r="U61" s="242">
        <f t="shared" si="0"/>
        <v>0</v>
      </c>
      <c r="V61" s="181"/>
      <c r="W61" s="287">
        <v>15000</v>
      </c>
      <c r="X61" s="174">
        <f t="shared" si="1"/>
        <v>15000</v>
      </c>
    </row>
    <row r="62" spans="1:24" ht="15.6" customHeight="1" thickBot="1" x14ac:dyDescent="0.6">
      <c r="A62" s="62">
        <v>32</v>
      </c>
      <c r="B62" s="476" t="str">
        <f>INDEX(Site_Data_Table,MATCH($A62,'Site Data'!$A$5:$A$37,0),MATCH(B$30,Site_Data_Column_Names,0))</f>
        <v>Yolo Superior Court</v>
      </c>
      <c r="C62" s="477" t="e">
        <f>INDEX(Site_Data_Table,MATCH($A62,'Site Data'!$A$5:$A$37,0),MATCH(C$30,Site_Data_Column_Names,0))</f>
        <v>#N/A</v>
      </c>
      <c r="D62" s="200" t="str">
        <f>INDEX(Site_Data_Table,MATCH($A62,'Site Data'!$A$5:$A$37,0),MATCH(D$30,Site_Data_Column_Names,0))</f>
        <v>57-A10</v>
      </c>
      <c r="E62" s="197">
        <f>INDEX(Prod_Yr_1,MATCH($A62,'System Specification'!$B$15:$B$46,0))</f>
        <v>0</v>
      </c>
      <c r="F62" s="198" t="str">
        <f>_xlfn.TEXTJOIN(" / ",1,INDEX('System Specification'!$L$15:$L$46,MATCH($A62,'System Specification'!$B$15:$B$46,0)),INDEX('System Specification'!$M$15:$M$46,MATCH($A62,'System Specification'!$B$15:$B$46,0)))</f>
        <v/>
      </c>
      <c r="G62" s="198" t="str">
        <f>INDEX(Site_Data_Table,MATCH($A62,'Site Data'!$A$5:$A$37,0),MATCH(G$30,Site_Data_Column_Names,0))</f>
        <v>PG&amp;E / VCEA</v>
      </c>
      <c r="H62" s="312" t="s">
        <v>329</v>
      </c>
      <c r="I62" s="262">
        <f>INDEX(Site_Data_Table,MATCH($A62,'Site Data'!$A$5:$A$37,0),MATCH(I$30,Site_Data_Column_Names,0))</f>
        <v>20</v>
      </c>
      <c r="J62" s="248"/>
      <c r="K62" s="106"/>
      <c r="L62" s="543"/>
      <c r="M62" s="544"/>
      <c r="N62" s="545"/>
      <c r="O62" s="182"/>
      <c r="P62" s="266"/>
      <c r="Q62" s="266"/>
      <c r="R62" s="133" t="str">
        <f>IF(O62=0,"",IFERROR(O62*$I62*12/#REF!/1000,""))</f>
        <v/>
      </c>
      <c r="S62" s="332" t="str">
        <f>_xlfn.LET(_xlpm.val,INDEX('System Specification'!$H$15:$H$47,MATCH($A62,'System Specification'!$B$15:$B$47,0)),
IF(_xlpm.val="","",_xlpm.val))</f>
        <v/>
      </c>
      <c r="T62" s="243" t="str">
        <f>IF($S62="No",0,INDEX(Site_Data_Table,MATCH($A62,'Site Data'!$A$5:$A$37,0),MATCH(T$30,Site_Data_Column_Names,0)))</f>
        <v/>
      </c>
      <c r="U62" s="244" t="str">
        <f t="shared" si="0"/>
        <v/>
      </c>
      <c r="V62" s="202"/>
      <c r="W62" s="289">
        <v>15000</v>
      </c>
      <c r="X62" s="175">
        <f t="shared" si="1"/>
        <v>15000</v>
      </c>
    </row>
    <row r="63" spans="1:24" ht="15.6" thickBot="1" x14ac:dyDescent="0.6">
      <c r="A63" s="57"/>
      <c r="B63" s="57"/>
      <c r="C63" s="57"/>
      <c r="D63" s="57"/>
      <c r="E63" s="194">
        <f>SUM(E31:E62)</f>
        <v>0</v>
      </c>
      <c r="F63" s="195"/>
      <c r="G63" s="195"/>
      <c r="H63" s="195"/>
      <c r="I63" s="196"/>
      <c r="J63" s="249" t="e" cm="1">
        <f t="array" ref="J63">SUMPRODUCT($E$31:$E$62,J$31:J$62)/SUMPRODUCT($E$31:$E$62*(J$31:J$62&gt;0))</f>
        <v>#DIV/0!</v>
      </c>
      <c r="K63" s="127">
        <f>SUM(K31:K62)</f>
        <v>0</v>
      </c>
      <c r="L63" s="128">
        <f>SUM(L31:L62)</f>
        <v>0</v>
      </c>
      <c r="M63" s="302" t="e" cm="1">
        <f t="array" ref="M63">SUMPRODUCT($E$31:$E$62,M$31:M$62)/SUMPRODUCT($E$31:$E$62*(M$31:M$62&gt;0))</f>
        <v>#DIV/0!</v>
      </c>
      <c r="N63" s="303" t="e" cm="1">
        <f t="array" ref="N63">SUMPRODUCT($E$31:$E$62,N$31:N$62)/SUMPRODUCT($E$31:$E$62*(N$31:N$62&gt;0))</f>
        <v>#DIV/0!</v>
      </c>
      <c r="O63" s="128">
        <f>SUM(O31:O62)</f>
        <v>0</v>
      </c>
      <c r="P63" s="267" t="e" cm="1">
        <f t="array" ref="P63">SUMPRODUCT($E$31:$E$62,P$31:P$62)/SUMPRODUCT($E$31:$E$62*(P$31:P$62&gt;0))</f>
        <v>#DIV/0!</v>
      </c>
      <c r="Q63" s="267" t="e" cm="1">
        <f t="array" ref="Q63">SUMPRODUCT($E$31:$E$62,Q$31:Q$62)/SUMPRODUCT($E$31:$E$62*(Q$31:Q$62&gt;0))</f>
        <v>#DIV/0!</v>
      </c>
      <c r="R63" s="130"/>
      <c r="S63" s="330"/>
      <c r="T63" s="170">
        <f>SUM(T31:T62)</f>
        <v>52000</v>
      </c>
      <c r="U63" s="171">
        <f t="shared" ref="U63:X63" si="2">SUM(U31:U62)</f>
        <v>2080000</v>
      </c>
      <c r="V63" s="128">
        <f t="shared" si="2"/>
        <v>600000</v>
      </c>
      <c r="W63" s="128">
        <f t="shared" si="2"/>
        <v>480000</v>
      </c>
      <c r="X63" s="129">
        <f t="shared" si="2"/>
        <v>3160000</v>
      </c>
    </row>
    <row r="64" spans="1:24" ht="12.75" customHeight="1" x14ac:dyDescent="0.95">
      <c r="A64" s="71"/>
      <c r="K64" s="286"/>
    </row>
  </sheetData>
  <sheetProtection algorithmName="SHA-512" hashValue="VBftFWDGtJgfvCX3LNkQjLRRU0dHKcpvkfeUj0ando0ckZ2x5neUPs+b0OuobLi3r3gSL5tpgtB8W32jtBXDYw==" saltValue="vbobLqz3CMGIOWhvgd0RUg==" spinCount="100000" sheet="1" objects="1" scenarios="1"/>
  <mergeCells count="72">
    <mergeCell ref="A17:D17"/>
    <mergeCell ref="A18:D18"/>
    <mergeCell ref="A19:D19"/>
    <mergeCell ref="A20:D20"/>
    <mergeCell ref="A21:D21"/>
    <mergeCell ref="A12:D12"/>
    <mergeCell ref="A13:D13"/>
    <mergeCell ref="A14:D14"/>
    <mergeCell ref="A15:D15"/>
    <mergeCell ref="A16:D16"/>
    <mergeCell ref="B54:C54"/>
    <mergeCell ref="H12:O12"/>
    <mergeCell ref="B60:C60"/>
    <mergeCell ref="B61:C61"/>
    <mergeCell ref="B55:C55"/>
    <mergeCell ref="B56:C56"/>
    <mergeCell ref="B57:C57"/>
    <mergeCell ref="B58:C58"/>
    <mergeCell ref="B59:C59"/>
    <mergeCell ref="B50:C50"/>
    <mergeCell ref="B51:C51"/>
    <mergeCell ref="B52:C52"/>
    <mergeCell ref="B53:C53"/>
    <mergeCell ref="B45:C45"/>
    <mergeCell ref="B46:C46"/>
    <mergeCell ref="B47:C47"/>
    <mergeCell ref="H19:O19"/>
    <mergeCell ref="H20:O20"/>
    <mergeCell ref="H24:O24"/>
    <mergeCell ref="H21:O21"/>
    <mergeCell ref="B62:C62"/>
    <mergeCell ref="B30:C30"/>
    <mergeCell ref="B32:C32"/>
    <mergeCell ref="B33:C33"/>
    <mergeCell ref="B34:C34"/>
    <mergeCell ref="B35:C35"/>
    <mergeCell ref="B36:C36"/>
    <mergeCell ref="B37:C37"/>
    <mergeCell ref="B38:C38"/>
    <mergeCell ref="B39:C39"/>
    <mergeCell ref="B40:C40"/>
    <mergeCell ref="B41:C41"/>
    <mergeCell ref="B31:C31"/>
    <mergeCell ref="A25:D25"/>
    <mergeCell ref="J29:N29"/>
    <mergeCell ref="H11:O11"/>
    <mergeCell ref="A1:L1"/>
    <mergeCell ref="H10:O10"/>
    <mergeCell ref="A6:B6"/>
    <mergeCell ref="C6:E6"/>
    <mergeCell ref="A10:D10"/>
    <mergeCell ref="A11:D11"/>
    <mergeCell ref="H13:O13"/>
    <mergeCell ref="H14:O14"/>
    <mergeCell ref="H18:O18"/>
    <mergeCell ref="H15:O15"/>
    <mergeCell ref="H16:O16"/>
    <mergeCell ref="H17:O17"/>
    <mergeCell ref="B49:C49"/>
    <mergeCell ref="B42:C42"/>
    <mergeCell ref="B43:C43"/>
    <mergeCell ref="B44:C44"/>
    <mergeCell ref="B48:C48"/>
    <mergeCell ref="S29:X29"/>
    <mergeCell ref="O29:R29"/>
    <mergeCell ref="H22:O22"/>
    <mergeCell ref="H23:O23"/>
    <mergeCell ref="A22:D22"/>
    <mergeCell ref="A23:D23"/>
    <mergeCell ref="A24:D24"/>
    <mergeCell ref="H25:O25"/>
    <mergeCell ref="A29:I29"/>
  </mergeCells>
  <pageMargins left="0.5" right="0.5" top="0.5" bottom="0.75" header="0.3" footer="0.3"/>
  <pageSetup scale="40" orientation="portrait" r:id="rId1"/>
  <headerFooter>
    <oddFooter>&amp;L&amp;D&amp;R&amp;F | &amp;A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6D76-8E43-46DF-B7AC-44B412A8EDF6}">
  <sheetPr>
    <tabColor rgb="FFFFFFA7"/>
  </sheetPr>
  <dimension ref="A1:X64"/>
  <sheetViews>
    <sheetView showGridLines="0" topLeftCell="A11" zoomScale="80" zoomScaleNormal="80" workbookViewId="0">
      <selection activeCell="E31" sqref="E31"/>
    </sheetView>
  </sheetViews>
  <sheetFormatPr defaultColWidth="8.6796875" defaultRowHeight="15" x14ac:dyDescent="0.5"/>
  <cols>
    <col min="1" max="1" width="7.76953125" customWidth="1"/>
    <col min="2" max="2" width="11.6796875" customWidth="1"/>
    <col min="3" max="3" width="15.54296875" customWidth="1"/>
    <col min="4" max="4" width="5.76953125" bestFit="1" customWidth="1"/>
    <col min="5" max="6" width="13.2265625" customWidth="1"/>
    <col min="7" max="7" width="11.54296875" customWidth="1"/>
    <col min="8" max="8" width="20.54296875" customWidth="1"/>
    <col min="9" max="9" width="10.08984375" bestFit="1" customWidth="1"/>
    <col min="10" max="10" width="15.54296875" customWidth="1"/>
    <col min="11" max="12" width="13.2265625" customWidth="1"/>
    <col min="13" max="13" width="11.6796875" customWidth="1"/>
    <col min="14" max="15" width="15.453125" customWidth="1"/>
    <col min="16" max="16" width="12.08984375" customWidth="1"/>
    <col min="17" max="18" width="17.2265625" customWidth="1"/>
    <col min="19" max="22" width="12.08984375" customWidth="1"/>
    <col min="23" max="24" width="13.2265625" customWidth="1"/>
    <col min="25" max="25" width="12.08984375" customWidth="1"/>
  </cols>
  <sheetData>
    <row r="1" spans="1:22" s="89" customFormat="1" ht="241" customHeight="1" x14ac:dyDescent="0.55000000000000004">
      <c r="A1" s="446" t="s">
        <v>346</v>
      </c>
      <c r="B1" s="446"/>
      <c r="C1" s="446"/>
      <c r="D1" s="446"/>
      <c r="E1" s="446"/>
      <c r="F1" s="446"/>
      <c r="G1" s="446"/>
      <c r="H1" s="446"/>
      <c r="I1" s="446"/>
      <c r="J1" s="446"/>
      <c r="K1" s="446"/>
      <c r="L1" s="446"/>
      <c r="M1" s="292"/>
      <c r="N1" s="292"/>
      <c r="O1" s="292"/>
      <c r="P1" s="292"/>
      <c r="Q1" s="292"/>
      <c r="R1" s="292"/>
      <c r="S1" s="292"/>
      <c r="T1" s="327"/>
      <c r="U1" s="292"/>
      <c r="V1" s="292"/>
    </row>
    <row r="2" spans="1:22" s="110" customFormat="1" ht="12.3" x14ac:dyDescent="0.4"/>
    <row r="3" spans="1:22" s="57" customFormat="1" ht="28.2" x14ac:dyDescent="1.05">
      <c r="A3" s="111" t="str">
        <f ca="1">"Attachment C2, "&amp;MID(CELL("filename",A1),FIND("]",CELL("filename",A1))+1,256)</f>
        <v>Attachment C2, Solar+Storage Proposal</v>
      </c>
      <c r="B3" s="58"/>
      <c r="C3" s="58"/>
      <c r="D3" s="58"/>
      <c r="E3" s="58"/>
      <c r="F3" s="58"/>
      <c r="G3" s="58"/>
      <c r="H3" s="58"/>
      <c r="I3" s="58"/>
      <c r="J3" s="58"/>
      <c r="K3" s="58"/>
      <c r="L3" s="58"/>
      <c r="M3" s="58"/>
      <c r="N3" s="58"/>
      <c r="O3" s="58"/>
      <c r="P3" s="58"/>
      <c r="Q3" s="58"/>
      <c r="R3" s="58"/>
      <c r="S3" s="58"/>
      <c r="T3" s="58"/>
    </row>
    <row r="4" spans="1:22" s="57" customFormat="1" ht="20.399999999999999" x14ac:dyDescent="0.75">
      <c r="A4" s="112" t="str">
        <f>'Summary &amp; Signature'!A4</f>
        <v>Judicial Council of California Proposed Price Quotation Form</v>
      </c>
      <c r="B4" s="58"/>
      <c r="C4" s="113"/>
      <c r="D4" s="113"/>
      <c r="E4" s="58"/>
      <c r="G4" s="58"/>
      <c r="H4" s="58"/>
      <c r="I4" s="58"/>
      <c r="J4" s="58"/>
      <c r="K4" s="58"/>
      <c r="L4" s="58"/>
      <c r="M4" s="58"/>
      <c r="N4" s="58"/>
      <c r="O4" s="58"/>
      <c r="P4" s="58"/>
      <c r="Q4" s="58"/>
      <c r="R4" s="58"/>
      <c r="S4" s="58"/>
      <c r="T4" s="58"/>
    </row>
    <row r="5" spans="1:22" s="59" customFormat="1" ht="15.6" x14ac:dyDescent="0.6">
      <c r="A5" s="114"/>
      <c r="B5" s="115"/>
      <c r="C5" s="115"/>
      <c r="D5" s="115"/>
      <c r="E5" s="115"/>
      <c r="G5" s="115"/>
      <c r="H5" s="115"/>
      <c r="I5" s="115"/>
      <c r="J5" s="115"/>
      <c r="K5" s="115"/>
      <c r="L5" s="115"/>
      <c r="M5" s="115"/>
      <c r="N5" s="115"/>
      <c r="O5" s="115"/>
      <c r="P5" s="115"/>
      <c r="Q5" s="115"/>
      <c r="R5" s="115"/>
      <c r="S5" s="115"/>
      <c r="T5" s="115"/>
      <c r="V5" s="57"/>
    </row>
    <row r="6" spans="1:22" s="57" customFormat="1" ht="18.75" customHeight="1" x14ac:dyDescent="0.7">
      <c r="A6" s="447" t="s">
        <v>182</v>
      </c>
      <c r="B6" s="447"/>
      <c r="C6" s="442">
        <f>Vendor_Name</f>
        <v>0</v>
      </c>
      <c r="D6" s="442"/>
      <c r="E6" s="442"/>
      <c r="F6" s="59"/>
      <c r="J6" s="58"/>
      <c r="K6" s="58"/>
      <c r="L6" s="58"/>
    </row>
    <row r="7" spans="1:22" s="57" customFormat="1" ht="18.3" x14ac:dyDescent="0.7">
      <c r="A7" s="116"/>
      <c r="B7" s="116"/>
    </row>
    <row r="8" spans="1:22" s="57" customFormat="1" ht="29.7" x14ac:dyDescent="0.95">
      <c r="A8" s="71" t="s">
        <v>204</v>
      </c>
      <c r="B8" s="116"/>
    </row>
    <row r="9" spans="1:22" s="57" customFormat="1" ht="18.3" x14ac:dyDescent="0.7">
      <c r="A9" s="116"/>
      <c r="B9" s="116"/>
    </row>
    <row r="10" spans="1:22" s="57" customFormat="1" ht="28.8" x14ac:dyDescent="0.7">
      <c r="A10" s="472" t="s">
        <v>205</v>
      </c>
      <c r="B10" s="473"/>
      <c r="C10" s="473"/>
      <c r="D10" s="474"/>
      <c r="E10" s="120" t="s">
        <v>206</v>
      </c>
      <c r="F10" s="121" t="s">
        <v>207</v>
      </c>
      <c r="G10" s="352" t="s">
        <v>208</v>
      </c>
      <c r="H10" s="470" t="s">
        <v>209</v>
      </c>
      <c r="I10" s="471"/>
      <c r="J10" s="471"/>
      <c r="K10" s="471"/>
      <c r="L10" s="471"/>
      <c r="M10" s="471"/>
      <c r="N10" s="471"/>
      <c r="O10" s="471"/>
      <c r="V10" s="113"/>
    </row>
    <row r="11" spans="1:22" s="118" customFormat="1" ht="26.65" customHeight="1" x14ac:dyDescent="0.5">
      <c r="A11" s="455" t="s">
        <v>210</v>
      </c>
      <c r="B11" s="456"/>
      <c r="C11" s="456"/>
      <c r="D11" s="457"/>
      <c r="E11" s="293" t="s">
        <v>211</v>
      </c>
      <c r="F11" s="294" t="s">
        <v>212</v>
      </c>
      <c r="G11" s="351" t="s">
        <v>2</v>
      </c>
      <c r="H11" s="469" t="s">
        <v>355</v>
      </c>
      <c r="I11" s="469"/>
      <c r="J11" s="469"/>
      <c r="K11" s="469"/>
      <c r="L11" s="469"/>
      <c r="M11" s="469"/>
      <c r="N11" s="469"/>
      <c r="O11" s="469"/>
    </row>
    <row r="12" spans="1:22" s="118" customFormat="1" ht="26.5" customHeight="1" x14ac:dyDescent="0.5">
      <c r="A12" s="455" t="s">
        <v>358</v>
      </c>
      <c r="B12" s="456"/>
      <c r="C12" s="456"/>
      <c r="D12" s="457"/>
      <c r="E12" s="293" t="s">
        <v>219</v>
      </c>
      <c r="F12" s="294" t="s">
        <v>212</v>
      </c>
      <c r="G12" s="351" t="s">
        <v>2</v>
      </c>
      <c r="H12" s="469" t="s">
        <v>366</v>
      </c>
      <c r="I12" s="469"/>
      <c r="J12" s="469"/>
      <c r="K12" s="469"/>
      <c r="L12" s="469"/>
      <c r="M12" s="469"/>
      <c r="N12" s="469"/>
      <c r="O12" s="469"/>
    </row>
    <row r="13" spans="1:22" s="118" customFormat="1" ht="13.15" customHeight="1" x14ac:dyDescent="0.5">
      <c r="A13" s="455" t="s">
        <v>213</v>
      </c>
      <c r="B13" s="456"/>
      <c r="C13" s="456"/>
      <c r="D13" s="457"/>
      <c r="E13" s="293" t="s">
        <v>219</v>
      </c>
      <c r="F13" s="294" t="s">
        <v>212</v>
      </c>
      <c r="G13" s="351" t="s">
        <v>2</v>
      </c>
      <c r="H13" s="469" t="s">
        <v>365</v>
      </c>
      <c r="I13" s="469"/>
      <c r="J13" s="469"/>
      <c r="K13" s="469"/>
      <c r="L13" s="469"/>
      <c r="M13" s="469"/>
      <c r="N13" s="469"/>
      <c r="O13" s="469"/>
    </row>
    <row r="14" spans="1:22" s="118" customFormat="1" ht="13.15" customHeight="1" x14ac:dyDescent="0.5">
      <c r="A14" s="455" t="s">
        <v>214</v>
      </c>
      <c r="B14" s="456"/>
      <c r="C14" s="456"/>
      <c r="D14" s="457"/>
      <c r="E14" s="293" t="s">
        <v>219</v>
      </c>
      <c r="F14" s="294" t="s">
        <v>212</v>
      </c>
      <c r="G14" s="351" t="s">
        <v>2</v>
      </c>
      <c r="H14" s="469" t="s">
        <v>365</v>
      </c>
      <c r="I14" s="469"/>
      <c r="J14" s="469"/>
      <c r="K14" s="469"/>
      <c r="L14" s="469"/>
      <c r="M14" s="469"/>
      <c r="N14" s="469"/>
      <c r="O14" s="469"/>
    </row>
    <row r="15" spans="1:22" s="118" customFormat="1" ht="13.15" customHeight="1" x14ac:dyDescent="0.5">
      <c r="A15" s="455" t="s">
        <v>215</v>
      </c>
      <c r="B15" s="456"/>
      <c r="C15" s="456"/>
      <c r="D15" s="457"/>
      <c r="E15" s="293" t="s">
        <v>211</v>
      </c>
      <c r="F15" s="295" t="s">
        <v>216</v>
      </c>
      <c r="G15" s="351" t="s">
        <v>2</v>
      </c>
      <c r="H15" s="469" t="s">
        <v>217</v>
      </c>
      <c r="I15" s="469"/>
      <c r="J15" s="469"/>
      <c r="K15" s="469"/>
      <c r="L15" s="469"/>
      <c r="M15" s="469"/>
      <c r="N15" s="469"/>
      <c r="O15" s="469"/>
    </row>
    <row r="16" spans="1:22" s="118" customFormat="1" ht="13.15" customHeight="1" x14ac:dyDescent="0.5">
      <c r="A16" s="455" t="s">
        <v>218</v>
      </c>
      <c r="B16" s="456"/>
      <c r="C16" s="456"/>
      <c r="D16" s="457"/>
      <c r="E16" s="293" t="s">
        <v>219</v>
      </c>
      <c r="F16" s="295" t="s">
        <v>220</v>
      </c>
      <c r="G16" s="351" t="s">
        <v>4</v>
      </c>
      <c r="H16" s="469" t="s">
        <v>221</v>
      </c>
      <c r="I16" s="469"/>
      <c r="J16" s="469"/>
      <c r="K16" s="469"/>
      <c r="L16" s="469"/>
      <c r="M16" s="469"/>
      <c r="N16" s="469"/>
      <c r="O16" s="469"/>
    </row>
    <row r="17" spans="1:24" s="118" customFormat="1" ht="13.15" customHeight="1" x14ac:dyDescent="0.5">
      <c r="A17" s="455" t="s">
        <v>222</v>
      </c>
      <c r="B17" s="456"/>
      <c r="C17" s="456"/>
      <c r="D17" s="457"/>
      <c r="E17" s="293" t="s">
        <v>211</v>
      </c>
      <c r="F17" s="295" t="s">
        <v>216</v>
      </c>
      <c r="G17" s="351" t="s">
        <v>2</v>
      </c>
      <c r="H17" s="469" t="s">
        <v>223</v>
      </c>
      <c r="I17" s="469"/>
      <c r="J17" s="469"/>
      <c r="K17" s="469"/>
      <c r="L17" s="469"/>
      <c r="M17" s="469"/>
      <c r="N17" s="469"/>
      <c r="O17" s="469"/>
    </row>
    <row r="18" spans="1:24" s="118" customFormat="1" ht="27.75" customHeight="1" x14ac:dyDescent="0.5">
      <c r="A18" s="455" t="s">
        <v>224</v>
      </c>
      <c r="B18" s="456"/>
      <c r="C18" s="456"/>
      <c r="D18" s="457"/>
      <c r="E18" s="293" t="s">
        <v>211</v>
      </c>
      <c r="F18" s="294" t="s">
        <v>212</v>
      </c>
      <c r="G18" s="351" t="s">
        <v>2</v>
      </c>
      <c r="H18" s="469" t="s">
        <v>323</v>
      </c>
      <c r="I18" s="469"/>
      <c r="J18" s="469"/>
      <c r="K18" s="469"/>
      <c r="L18" s="469"/>
      <c r="M18" s="469"/>
      <c r="N18" s="469"/>
      <c r="O18" s="469"/>
    </row>
    <row r="19" spans="1:24" s="118" customFormat="1" ht="13.15" customHeight="1" x14ac:dyDescent="0.5">
      <c r="A19" s="455" t="s">
        <v>225</v>
      </c>
      <c r="B19" s="456"/>
      <c r="C19" s="456"/>
      <c r="D19" s="457"/>
      <c r="E19" s="293" t="s">
        <v>219</v>
      </c>
      <c r="F19" s="295" t="s">
        <v>220</v>
      </c>
      <c r="G19" s="351" t="s">
        <v>4</v>
      </c>
      <c r="H19" s="469" t="s">
        <v>356</v>
      </c>
      <c r="I19" s="469"/>
      <c r="J19" s="469"/>
      <c r="K19" s="469"/>
      <c r="L19" s="469"/>
      <c r="M19" s="469"/>
      <c r="N19" s="469"/>
      <c r="O19" s="469"/>
    </row>
    <row r="20" spans="1:24" s="119" customFormat="1" ht="12.75" customHeight="1" x14ac:dyDescent="0.5">
      <c r="A20" s="455" t="s">
        <v>226</v>
      </c>
      <c r="B20" s="456"/>
      <c r="C20" s="456"/>
      <c r="D20" s="457"/>
      <c r="E20" s="293" t="s">
        <v>211</v>
      </c>
      <c r="F20" s="293" t="s">
        <v>216</v>
      </c>
      <c r="G20" s="349" t="s">
        <v>2</v>
      </c>
      <c r="H20" s="475" t="s">
        <v>227</v>
      </c>
      <c r="I20" s="475"/>
      <c r="J20" s="475"/>
      <c r="K20" s="475"/>
      <c r="L20" s="475"/>
      <c r="M20" s="475"/>
      <c r="N20" s="475"/>
      <c r="O20" s="475"/>
    </row>
    <row r="21" spans="1:24" s="119" customFormat="1" ht="13.9" customHeight="1" x14ac:dyDescent="0.5">
      <c r="A21" s="455" t="s">
        <v>228</v>
      </c>
      <c r="B21" s="456"/>
      <c r="C21" s="456"/>
      <c r="D21" s="457"/>
      <c r="E21" s="293" t="s">
        <v>211</v>
      </c>
      <c r="F21" s="293" t="s">
        <v>216</v>
      </c>
      <c r="G21" s="349" t="s">
        <v>2</v>
      </c>
      <c r="H21" s="454" t="s">
        <v>229</v>
      </c>
      <c r="I21" s="454"/>
      <c r="J21" s="454"/>
      <c r="K21" s="454"/>
      <c r="L21" s="454"/>
      <c r="M21" s="454"/>
      <c r="N21" s="454"/>
      <c r="O21" s="454"/>
    </row>
    <row r="22" spans="1:24" s="118" customFormat="1" ht="15" customHeight="1" x14ac:dyDescent="0.5">
      <c r="A22" s="455" t="s">
        <v>230</v>
      </c>
      <c r="B22" s="456"/>
      <c r="C22" s="456"/>
      <c r="D22" s="457"/>
      <c r="E22" s="293" t="s">
        <v>211</v>
      </c>
      <c r="F22" s="293" t="s">
        <v>216</v>
      </c>
      <c r="G22" s="349" t="s">
        <v>2</v>
      </c>
      <c r="H22" s="454" t="s">
        <v>231</v>
      </c>
      <c r="I22" s="454"/>
      <c r="J22" s="454"/>
      <c r="K22" s="454"/>
      <c r="L22" s="454"/>
      <c r="M22" s="454"/>
      <c r="N22" s="454"/>
      <c r="O22" s="454"/>
    </row>
    <row r="23" spans="1:24" s="118" customFormat="1" ht="15" customHeight="1" x14ac:dyDescent="0.5">
      <c r="A23" s="455" t="s">
        <v>232</v>
      </c>
      <c r="B23" s="456"/>
      <c r="C23" s="456"/>
      <c r="D23" s="457"/>
      <c r="E23" s="293" t="s">
        <v>211</v>
      </c>
      <c r="F23" s="294" t="s">
        <v>212</v>
      </c>
      <c r="G23" s="349" t="s">
        <v>2</v>
      </c>
      <c r="H23" s="454" t="s">
        <v>357</v>
      </c>
      <c r="I23" s="454"/>
      <c r="J23" s="454"/>
      <c r="K23" s="454"/>
      <c r="L23" s="454"/>
      <c r="M23" s="454"/>
      <c r="N23" s="454"/>
      <c r="O23" s="454"/>
    </row>
    <row r="24" spans="1:24" s="118" customFormat="1" ht="15" customHeight="1" x14ac:dyDescent="0.5">
      <c r="A24" s="455" t="s">
        <v>234</v>
      </c>
      <c r="B24" s="456"/>
      <c r="C24" s="456"/>
      <c r="D24" s="457"/>
      <c r="E24" s="293" t="s">
        <v>211</v>
      </c>
      <c r="F24" s="293" t="s">
        <v>216</v>
      </c>
      <c r="G24" s="349" t="s">
        <v>2</v>
      </c>
      <c r="H24" s="454" t="s">
        <v>233</v>
      </c>
      <c r="I24" s="454"/>
      <c r="J24" s="454"/>
      <c r="K24" s="454"/>
      <c r="L24" s="454"/>
      <c r="M24" s="454"/>
      <c r="N24" s="454"/>
      <c r="O24" s="454"/>
    </row>
    <row r="25" spans="1:24" s="57" customFormat="1" ht="27.75" customHeight="1" x14ac:dyDescent="0.7">
      <c r="A25" s="466" t="s">
        <v>235</v>
      </c>
      <c r="B25" s="467"/>
      <c r="C25" s="467"/>
      <c r="D25" s="468"/>
      <c r="E25" s="117"/>
      <c r="F25" s="122"/>
      <c r="G25" s="350"/>
      <c r="H25" s="458" t="s">
        <v>339</v>
      </c>
      <c r="I25" s="458"/>
      <c r="J25" s="458"/>
      <c r="K25" s="458"/>
      <c r="L25" s="458"/>
      <c r="M25" s="458"/>
      <c r="N25" s="458"/>
      <c r="O25" s="458"/>
      <c r="V25" s="113"/>
    </row>
    <row r="27" spans="1:24" ht="29.7" x14ac:dyDescent="0.95">
      <c r="A27" s="71" t="s">
        <v>348</v>
      </c>
    </row>
    <row r="28" spans="1:24" ht="15" customHeight="1" thickBot="1" x14ac:dyDescent="1">
      <c r="A28" s="71"/>
    </row>
    <row r="29" spans="1:24" ht="20.7" thickBot="1" x14ac:dyDescent="0.55000000000000004">
      <c r="A29" s="459" t="s">
        <v>200</v>
      </c>
      <c r="B29" s="460"/>
      <c r="C29" s="460"/>
      <c r="D29" s="460"/>
      <c r="E29" s="460"/>
      <c r="F29" s="460"/>
      <c r="G29" s="460"/>
      <c r="H29" s="460"/>
      <c r="I29" s="461"/>
      <c r="J29" s="451" t="s">
        <v>236</v>
      </c>
      <c r="K29" s="452"/>
      <c r="L29" s="452"/>
      <c r="M29" s="452"/>
      <c r="N29" s="453"/>
      <c r="O29" s="452" t="s">
        <v>341</v>
      </c>
      <c r="P29" s="452"/>
      <c r="Q29" s="452"/>
      <c r="R29" s="453"/>
      <c r="S29" s="451" t="s">
        <v>237</v>
      </c>
      <c r="T29" s="452"/>
      <c r="U29" s="452"/>
      <c r="V29" s="452"/>
      <c r="W29" s="452"/>
      <c r="X29" s="453"/>
    </row>
    <row r="30" spans="1:24" ht="129.9" thickBot="1" x14ac:dyDescent="0.55000000000000004">
      <c r="A30" s="60" t="str">
        <f>'Site Data'!A5</f>
        <v>Site Number</v>
      </c>
      <c r="B30" s="439" t="str">
        <f>'Site Data'!B5</f>
        <v>Site Name</v>
      </c>
      <c r="C30" s="439"/>
      <c r="D30" s="308" t="str">
        <f>'Site Data'!C5</f>
        <v>Site ID</v>
      </c>
      <c r="E30" s="308" t="s">
        <v>238</v>
      </c>
      <c r="F30" s="307" t="s">
        <v>239</v>
      </c>
      <c r="G30" s="307" t="str">
        <f>'Site Data'!$E$5</f>
        <v>Service Provider</v>
      </c>
      <c r="H30" s="307" t="s">
        <v>337</v>
      </c>
      <c r="I30" s="70" t="str">
        <f>'Site Data'!$S$5</f>
        <v>PPA/SEL Term (yrs)</v>
      </c>
      <c r="J30" s="107" t="s">
        <v>240</v>
      </c>
      <c r="K30" s="124" t="s">
        <v>241</v>
      </c>
      <c r="L30" s="124" t="s">
        <v>242</v>
      </c>
      <c r="M30" s="124" t="s">
        <v>243</v>
      </c>
      <c r="N30" s="64" t="s">
        <v>244</v>
      </c>
      <c r="O30" s="124" t="s">
        <v>342</v>
      </c>
      <c r="P30" s="263" t="s">
        <v>343</v>
      </c>
      <c r="Q30" s="263" t="s">
        <v>344</v>
      </c>
      <c r="R30" s="64" t="s">
        <v>245</v>
      </c>
      <c r="S30" s="108" t="str">
        <f>'System Specification'!I14</f>
        <v>Yr-1 Expected Production (kWh), Inclusive of Yr-1 Production Degradation</v>
      </c>
      <c r="T30" s="107" t="str">
        <f>'Site Data'!$P$5</f>
        <v>Roof Area to be Replaced (if Rooftop array included in design) (sqft)</v>
      </c>
      <c r="U30" s="123" t="s">
        <v>246</v>
      </c>
      <c r="V30" s="124" t="s">
        <v>224</v>
      </c>
      <c r="W30" s="263" t="s">
        <v>247</v>
      </c>
      <c r="X30" s="64" t="s">
        <v>248</v>
      </c>
    </row>
    <row r="31" spans="1:24" ht="15.3" x14ac:dyDescent="0.55000000000000004">
      <c r="A31" s="105">
        <v>1</v>
      </c>
      <c r="B31" s="464" t="str">
        <f>INDEX(Site_Data_Table,MATCH($A31,'Site Data'!$A$5:$A$37,0),MATCH(B$30,Site_Data_Column_Names,0))</f>
        <v>Fremont Hall of Justice</v>
      </c>
      <c r="C31" s="465" t="e">
        <f>INDEX(Site_Data_Table,MATCH($A31,'Site Data'!$A$5:$A$37,0),MATCH(C$30,Site_Data_Column_Names,0))</f>
        <v>#N/A</v>
      </c>
      <c r="D31" s="216" t="str">
        <f>INDEX(Site_Data_Table,MATCH($A31,'Site Data'!$A$5:$A$37,0),MATCH(D$30,Site_Data_Column_Names,0))</f>
        <v>01-H1</v>
      </c>
      <c r="E31" s="217">
        <f>INDEX(Prod_Yr_1,MATCH($A31,'System Specification'!$B$15:$B$46,0))</f>
        <v>0</v>
      </c>
      <c r="F31" s="218" t="str">
        <f>_xlfn.TEXTJOIN(" / ",1,INDEX('System Specification'!$L$15:$L$46,MATCH($A31,'System Specification'!$B$15:$B$46,0)),INDEX('System Specification'!$M$15:$M$46,MATCH($A31,'System Specification'!$B$15:$B$46,0)))</f>
        <v/>
      </c>
      <c r="G31" s="218" t="str">
        <f>INDEX(Site_Data_Table,MATCH($A31,'Site Data'!$A$5:$A$37,0),MATCH(G$30,Site_Data_Column_Names,0))</f>
        <v>PG&amp;E / EBCE</v>
      </c>
      <c r="H31" s="218" t="s">
        <v>329</v>
      </c>
      <c r="I31" s="260">
        <f>INDEX(Site_Data_Table,MATCH($A31,'Site Data'!$A$5:$A$37,0),MATCH(I$30,Site_Data_Column_Names,0))</f>
        <v>20</v>
      </c>
      <c r="J31" s="245"/>
      <c r="K31" s="125"/>
      <c r="L31" s="534"/>
      <c r="M31" s="535"/>
      <c r="N31" s="536"/>
      <c r="O31" s="180"/>
      <c r="P31" s="264"/>
      <c r="Q31" s="264"/>
      <c r="R31" s="131" t="str">
        <f>IF(O31=0,"",IFERROR(O31*$I31*12/#REF!/1000,""))</f>
        <v/>
      </c>
      <c r="S31" s="365" t="str">
        <f>_xlfn.LET(_xlpm.val,INDEX('System Specification'!$H$15:$H$47,MATCH($A31,'System Specification'!$B$15:$B$47,0)),
IF(_xlpm.val="","",_xlpm.val))</f>
        <v/>
      </c>
      <c r="T31" s="169">
        <f>IF($S31="No",0,INDEX(Site_Data_Table,MATCH($A31,'Site Data'!$A$5:$A$37,0),MATCH(T$30,Site_Data_Column_Names,0)))</f>
        <v>52000</v>
      </c>
      <c r="U31" s="168">
        <f>IF(T31="","",40*T31)</f>
        <v>2080000</v>
      </c>
      <c r="V31" s="201"/>
      <c r="W31" s="288">
        <v>15000</v>
      </c>
      <c r="X31" s="172">
        <f>SUM(U31:W31)</f>
        <v>2095000</v>
      </c>
    </row>
    <row r="32" spans="1:24" ht="15.3" x14ac:dyDescent="0.55000000000000004">
      <c r="A32" s="61">
        <v>2</v>
      </c>
      <c r="B32" s="462" t="str">
        <f>INDEX(Site_Data_Table,MATCH($A32,'Site Data'!$A$5:$A$37,0),MATCH(B$30,Site_Data_Column_Names,0))</f>
        <v>Amador Superior Court</v>
      </c>
      <c r="C32" s="463" t="e">
        <f>INDEX(Site_Data_Table,MATCH($A32,'Site Data'!$A$5:$A$37,0),MATCH(C$30,Site_Data_Column_Names,0))</f>
        <v>#N/A</v>
      </c>
      <c r="D32" s="199" t="str">
        <f>INDEX(Site_Data_Table,MATCH($A32,'Site Data'!$A$5:$A$37,0),MATCH(D$30,Site_Data_Column_Names,0))</f>
        <v>03-C1</v>
      </c>
      <c r="E32" s="176">
        <f>INDEX(Prod_Yr_1,MATCH($A32,'System Specification'!$B$15:$B$46,0))</f>
        <v>0</v>
      </c>
      <c r="F32" s="179" t="str">
        <f>_xlfn.TEXTJOIN(" / ",1,INDEX('System Specification'!$L$15:$L$46,MATCH($A32,'System Specification'!$B$15:$B$46,0)),INDEX('System Specification'!$M$15:$M$46,MATCH($A32,'System Specification'!$B$15:$B$46,0)))</f>
        <v/>
      </c>
      <c r="G32" s="179" t="str">
        <f>INDEX(Site_Data_Table,MATCH($A32,'Site Data'!$A$5:$A$37,0),MATCH(G$30,Site_Data_Column_Names,0))</f>
        <v>PG&amp;E</v>
      </c>
      <c r="H32" s="218" t="s">
        <v>329</v>
      </c>
      <c r="I32" s="261">
        <f>INDEX(Site_Data_Table,MATCH($A32,'Site Data'!$A$5:$A$37,0),MATCH(I$30,Site_Data_Column_Names,0))</f>
        <v>20</v>
      </c>
      <c r="J32" s="246"/>
      <c r="K32" s="126"/>
      <c r="L32" s="537"/>
      <c r="M32" s="538"/>
      <c r="N32" s="539"/>
      <c r="O32" s="181"/>
      <c r="P32" s="265"/>
      <c r="Q32" s="265"/>
      <c r="R32" s="132" t="str">
        <f>IF(O32=0,"",IFERROR(O32*$I32*12/#REF!/1000,""))</f>
        <v/>
      </c>
      <c r="S32" s="331" t="str">
        <f>_xlfn.LET(_xlpm.val,INDEX('System Specification'!$H$15:$H$47,MATCH($A32,'System Specification'!$B$15:$B$47,0)),
IF(_xlpm.val="","",_xlpm.val))</f>
        <v>No</v>
      </c>
      <c r="T32" s="241">
        <f>IF($S32="No",0,INDEX(Site_Data_Table,MATCH($A32,'Site Data'!$A$5:$A$37,0),MATCH(T$30,Site_Data_Column_Names,0)))</f>
        <v>0</v>
      </c>
      <c r="U32" s="242">
        <f t="shared" ref="U32:U62" si="0">IF(T32="","",40*T32)</f>
        <v>0</v>
      </c>
      <c r="V32" s="181"/>
      <c r="W32" s="287">
        <v>15000</v>
      </c>
      <c r="X32" s="174">
        <f t="shared" ref="X32:X62" si="1">SUM(U32:W32)</f>
        <v>15000</v>
      </c>
    </row>
    <row r="33" spans="1:24" ht="15.3" x14ac:dyDescent="0.55000000000000004">
      <c r="A33" s="61">
        <v>3</v>
      </c>
      <c r="B33" s="462" t="str">
        <f>INDEX(Site_Data_Table,MATCH($A33,'Site Data'!$A$5:$A$37,0),MATCH(B$30,Site_Data_Column_Names,0))</f>
        <v>North Butte County Courthouse</v>
      </c>
      <c r="C33" s="463" t="e">
        <f>INDEX(Site_Data_Table,MATCH($A33,'Site Data'!$A$5:$A$37,0),MATCH(C$30,Site_Data_Column_Names,0))</f>
        <v>#N/A</v>
      </c>
      <c r="D33" s="199" t="str">
        <f>INDEX(Site_Data_Table,MATCH($A33,'Site Data'!$A$5:$A$37,0),MATCH(D$30,Site_Data_Column_Names,0))</f>
        <v>04-F1</v>
      </c>
      <c r="E33" s="176">
        <f>INDEX(Prod_Yr_1,MATCH($A33,'System Specification'!$B$15:$B$46,0))</f>
        <v>0</v>
      </c>
      <c r="F33" s="179" t="str">
        <f>_xlfn.TEXTJOIN(" / ",1,INDEX('System Specification'!$L$15:$L$46,MATCH($A33,'System Specification'!$B$15:$B$46,0)),INDEX('System Specification'!$M$15:$M$46,MATCH($A33,'System Specification'!$B$15:$B$46,0)))</f>
        <v/>
      </c>
      <c r="G33" s="179" t="str">
        <f>INDEX(Site_Data_Table,MATCH($A33,'Site Data'!$A$5:$A$37,0),MATCH(G$30,Site_Data_Column_Names,0))</f>
        <v>PG&amp;E</v>
      </c>
      <c r="H33" s="218" t="s">
        <v>329</v>
      </c>
      <c r="I33" s="261">
        <f>INDEX(Site_Data_Table,MATCH($A33,'Site Data'!$A$5:$A$37,0),MATCH(I$30,Site_Data_Column_Names,0))</f>
        <v>20</v>
      </c>
      <c r="J33" s="246"/>
      <c r="K33" s="126"/>
      <c r="L33" s="537"/>
      <c r="M33" s="538"/>
      <c r="N33" s="539"/>
      <c r="O33" s="181"/>
      <c r="P33" s="265"/>
      <c r="Q33" s="265"/>
      <c r="R33" s="132" t="str">
        <f>IF(O33=0,"",IFERROR(O33*$I33*12/#REF!/1000,""))</f>
        <v/>
      </c>
      <c r="S33" s="331" t="str">
        <f>_xlfn.LET(_xlpm.val,INDEX('System Specification'!$H$15:$H$47,MATCH($A33,'System Specification'!$B$15:$B$47,0)),
IF(_xlpm.val="","",_xlpm.val))</f>
        <v>No</v>
      </c>
      <c r="T33" s="241">
        <f>IF($S33="No",0,INDEX(Site_Data_Table,MATCH($A33,'Site Data'!$A$5:$A$37,0),MATCH(T$30,Site_Data_Column_Names,0)))</f>
        <v>0</v>
      </c>
      <c r="U33" s="242">
        <f t="shared" si="0"/>
        <v>0</v>
      </c>
      <c r="V33" s="181"/>
      <c r="W33" s="287">
        <v>15000</v>
      </c>
      <c r="X33" s="174">
        <f t="shared" si="1"/>
        <v>15000</v>
      </c>
    </row>
    <row r="34" spans="1:24" ht="15.3" x14ac:dyDescent="0.55000000000000004">
      <c r="A34" s="61">
        <v>4</v>
      </c>
      <c r="B34" s="462" t="str">
        <f>INDEX(Site_Data_Table,MATCH($A34,'Site Data'!$A$5:$A$37,0),MATCH(B$30,Site_Data_Column_Names,0))</f>
        <v>Bray Courts</v>
      </c>
      <c r="C34" s="463" t="e">
        <f>INDEX(Site_Data_Table,MATCH($A34,'Site Data'!$A$5:$A$37,0),MATCH(C$30,Site_Data_Column_Names,0))</f>
        <v>#N/A</v>
      </c>
      <c r="D34" s="199" t="str">
        <f>INDEX(Site_Data_Table,MATCH($A34,'Site Data'!$A$5:$A$37,0),MATCH(D$30,Site_Data_Column_Names,0))</f>
        <v>07-A3</v>
      </c>
      <c r="E34" s="176">
        <f>INDEX(Prod_Yr_1,MATCH($A34,'System Specification'!$B$15:$B$46,0))</f>
        <v>0</v>
      </c>
      <c r="F34" s="179" t="str">
        <f>_xlfn.TEXTJOIN(" / ",1,INDEX('System Specification'!$L$15:$L$46,MATCH($A34,'System Specification'!$B$15:$B$46,0)),INDEX('System Specification'!$M$15:$M$46,MATCH($A34,'System Specification'!$B$15:$B$46,0)))</f>
        <v/>
      </c>
      <c r="G34" s="179" t="str">
        <f>INDEX(Site_Data_Table,MATCH($A34,'Site Data'!$A$5:$A$37,0),MATCH(G$30,Site_Data_Column_Names,0))</f>
        <v>PG&amp;E</v>
      </c>
      <c r="H34" s="218" t="s">
        <v>329</v>
      </c>
      <c r="I34" s="261">
        <f>INDEX(Site_Data_Table,MATCH($A34,'Site Data'!$A$5:$A$37,0),MATCH(I$30,Site_Data_Column_Names,0))</f>
        <v>18</v>
      </c>
      <c r="J34" s="246"/>
      <c r="K34" s="126"/>
      <c r="L34" s="537"/>
      <c r="M34" s="538"/>
      <c r="N34" s="539"/>
      <c r="O34" s="181"/>
      <c r="P34" s="265"/>
      <c r="Q34" s="265"/>
      <c r="R34" s="132" t="str">
        <f>IF(O34=0,"",IFERROR(O34*$I34*12/#REF!/1000,""))</f>
        <v/>
      </c>
      <c r="S34" s="331" t="str">
        <f>_xlfn.LET(_xlpm.val,INDEX('System Specification'!$H$15:$H$47,MATCH($A34,'System Specification'!$B$15:$B$47,0)),
IF(_xlpm.val="","",_xlpm.val))</f>
        <v/>
      </c>
      <c r="T34" s="241">
        <f>IF($S34="No",0,INDEX(Site_Data_Table,MATCH($A34,'Site Data'!$A$5:$A$37,0),MATCH(T$30,Site_Data_Column_Names,0)))</f>
        <v>0</v>
      </c>
      <c r="U34" s="242">
        <f t="shared" si="0"/>
        <v>0</v>
      </c>
      <c r="V34" s="181"/>
      <c r="W34" s="287">
        <v>15000</v>
      </c>
      <c r="X34" s="174">
        <f t="shared" si="1"/>
        <v>15000</v>
      </c>
    </row>
    <row r="35" spans="1:24" ht="15.3" x14ac:dyDescent="0.55000000000000004">
      <c r="A35" s="61">
        <v>5</v>
      </c>
      <c r="B35" s="462" t="str">
        <f>INDEX(Site_Data_Table,MATCH($A35,'Site Data'!$A$5:$A$37,0),MATCH(B$30,Site_Data_Column_Names,0))</f>
        <v>Richard E. Arnason Justice Center</v>
      </c>
      <c r="C35" s="463" t="e">
        <f>INDEX(Site_Data_Table,MATCH($A35,'Site Data'!$A$5:$A$37,0),MATCH(C$30,Site_Data_Column_Names,0))</f>
        <v>#N/A</v>
      </c>
      <c r="D35" s="199" t="str">
        <f>INDEX(Site_Data_Table,MATCH($A35,'Site Data'!$A$5:$A$37,0),MATCH(D$30,Site_Data_Column_Names,0))</f>
        <v>07-E3</v>
      </c>
      <c r="E35" s="176">
        <f>INDEX(Prod_Yr_1,MATCH($A35,'System Specification'!$B$15:$B$46,0))</f>
        <v>0</v>
      </c>
      <c r="F35" s="179" t="str">
        <f>_xlfn.TEXTJOIN(" / ",1,INDEX('System Specification'!$L$15:$L$46,MATCH($A35,'System Specification'!$B$15:$B$46,0)),INDEX('System Specification'!$M$15:$M$46,MATCH($A35,'System Specification'!$B$15:$B$46,0)))</f>
        <v/>
      </c>
      <c r="G35" s="179" t="str">
        <f>INDEX(Site_Data_Table,MATCH($A35,'Site Data'!$A$5:$A$37,0),MATCH(G$30,Site_Data_Column_Names,0))</f>
        <v>PG&amp;E / MCE</v>
      </c>
      <c r="H35" s="218" t="s">
        <v>329</v>
      </c>
      <c r="I35" s="261">
        <f>INDEX(Site_Data_Table,MATCH($A35,'Site Data'!$A$5:$A$37,0),MATCH(I$30,Site_Data_Column_Names,0))</f>
        <v>20</v>
      </c>
      <c r="J35" s="246"/>
      <c r="K35" s="126"/>
      <c r="L35" s="537"/>
      <c r="M35" s="538"/>
      <c r="N35" s="539"/>
      <c r="O35" s="181"/>
      <c r="P35" s="265"/>
      <c r="Q35" s="265"/>
      <c r="R35" s="132" t="str">
        <f>IF(O35=0,"",IFERROR(O35*$I35*12/#REF!/1000,""))</f>
        <v/>
      </c>
      <c r="S35" s="331" t="str">
        <f>_xlfn.LET(_xlpm.val,INDEX('System Specification'!$H$15:$H$47,MATCH($A35,'System Specification'!$B$15:$B$47,0)),
IF(_xlpm.val="","",_xlpm.val))</f>
        <v>No</v>
      </c>
      <c r="T35" s="241">
        <f>IF($S35="No",0,INDEX(Site_Data_Table,MATCH($A35,'Site Data'!$A$5:$A$37,0),MATCH(T$30,Site_Data_Column_Names,0)))</f>
        <v>0</v>
      </c>
      <c r="U35" s="242">
        <f t="shared" si="0"/>
        <v>0</v>
      </c>
      <c r="V35" s="181"/>
      <c r="W35" s="287">
        <v>15000</v>
      </c>
      <c r="X35" s="174">
        <f t="shared" si="1"/>
        <v>15000</v>
      </c>
    </row>
    <row r="36" spans="1:24" ht="15.3" x14ac:dyDescent="0.55000000000000004">
      <c r="A36" s="61">
        <v>6</v>
      </c>
      <c r="B36" s="462" t="str">
        <f>INDEX(Site_Data_Table,MATCH($A36,'Site Data'!$A$5:$A$37,0),MATCH(B$30,Site_Data_Column_Names,0))</f>
        <v>Walnut Creek Courthouse</v>
      </c>
      <c r="C36" s="463" t="e">
        <f>INDEX(Site_Data_Table,MATCH($A36,'Site Data'!$A$5:$A$37,0),MATCH(C$30,Site_Data_Column_Names,0))</f>
        <v>#N/A</v>
      </c>
      <c r="D36" s="199" t="str">
        <f>INDEX(Site_Data_Table,MATCH($A36,'Site Data'!$A$5:$A$37,0),MATCH(D$30,Site_Data_Column_Names,0))</f>
        <v>07-C1</v>
      </c>
      <c r="E36" s="176">
        <f>INDEX(Prod_Yr_1,MATCH($A36,'System Specification'!$B$15:$B$46,0))</f>
        <v>0</v>
      </c>
      <c r="F36" s="179" t="str">
        <f>_xlfn.TEXTJOIN(" / ",1,INDEX('System Specification'!$L$15:$L$46,MATCH($A36,'System Specification'!$B$15:$B$46,0)),INDEX('System Specification'!$M$15:$M$46,MATCH($A36,'System Specification'!$B$15:$B$46,0)))</f>
        <v/>
      </c>
      <c r="G36" s="179" t="str">
        <f>INDEX(Site_Data_Table,MATCH($A36,'Site Data'!$A$5:$A$37,0),MATCH(G$30,Site_Data_Column_Names,0))</f>
        <v>PG&amp;E / MCE</v>
      </c>
      <c r="H36" s="218" t="s">
        <v>329</v>
      </c>
      <c r="I36" s="261">
        <f>INDEX(Site_Data_Table,MATCH($A36,'Site Data'!$A$5:$A$37,0),MATCH(I$30,Site_Data_Column_Names,0))</f>
        <v>20</v>
      </c>
      <c r="J36" s="246"/>
      <c r="K36" s="126"/>
      <c r="L36" s="537"/>
      <c r="M36" s="538"/>
      <c r="N36" s="539"/>
      <c r="O36" s="181"/>
      <c r="P36" s="265"/>
      <c r="Q36" s="265"/>
      <c r="R36" s="132" t="str">
        <f>IF(O36=0,"",IFERROR(O36*$I36*12/#REF!/1000,""))</f>
        <v/>
      </c>
      <c r="S36" s="331" t="str">
        <f>_xlfn.LET(_xlpm.val,INDEX('System Specification'!$H$15:$H$47,MATCH($A36,'System Specification'!$B$15:$B$47,0)),
IF(_xlpm.val="","",_xlpm.val))</f>
        <v>No</v>
      </c>
      <c r="T36" s="241">
        <f>IF($S36="No",0,INDEX(Site_Data_Table,MATCH($A36,'Site Data'!$A$5:$A$37,0),MATCH(T$30,Site_Data_Column_Names,0)))</f>
        <v>0</v>
      </c>
      <c r="U36" s="242">
        <f t="shared" si="0"/>
        <v>0</v>
      </c>
      <c r="V36" s="181"/>
      <c r="W36" s="287">
        <v>15000</v>
      </c>
      <c r="X36" s="174">
        <f t="shared" si="1"/>
        <v>15000</v>
      </c>
    </row>
    <row r="37" spans="1:24" ht="15.3" x14ac:dyDescent="0.55000000000000004">
      <c r="A37" s="61">
        <v>7</v>
      </c>
      <c r="B37" s="462" t="str">
        <f>INDEX(Site_Data_Table,MATCH($A37,'Site Data'!$A$5:$A$37,0),MATCH(B$30,Site_Data_Column_Names,0))</f>
        <v>B. F. Sisk Courthouse</v>
      </c>
      <c r="C37" s="463" t="e">
        <f>INDEX(Site_Data_Table,MATCH($A37,'Site Data'!$A$5:$A$37,0),MATCH(C$30,Site_Data_Column_Names,0))</f>
        <v>#N/A</v>
      </c>
      <c r="D37" s="199" t="str">
        <f>INDEX(Site_Data_Table,MATCH($A37,'Site Data'!$A$5:$A$37,0),MATCH(D$30,Site_Data_Column_Names,0))</f>
        <v>10-O1</v>
      </c>
      <c r="E37" s="176">
        <f>INDEX(Prod_Yr_1,MATCH($A37,'System Specification'!$B$15:$B$46,0))</f>
        <v>0</v>
      </c>
      <c r="F37" s="179" t="str">
        <f>_xlfn.TEXTJOIN(" / ",1,INDEX('System Specification'!$L$15:$L$46,MATCH($A37,'System Specification'!$B$15:$B$46,0)),INDEX('System Specification'!$M$15:$M$46,MATCH($A37,'System Specification'!$B$15:$B$46,0)))</f>
        <v/>
      </c>
      <c r="G37" s="179" t="str">
        <f>INDEX(Site_Data_Table,MATCH($A37,'Site Data'!$A$5:$A$37,0),MATCH(G$30,Site_Data_Column_Names,0))</f>
        <v>PG&amp;E</v>
      </c>
      <c r="H37" s="218" t="s">
        <v>329</v>
      </c>
      <c r="I37" s="261">
        <f>INDEX(Site_Data_Table,MATCH($A37,'Site Data'!$A$5:$A$37,0),MATCH(I$30,Site_Data_Column_Names,0))</f>
        <v>20</v>
      </c>
      <c r="J37" s="246"/>
      <c r="K37" s="126"/>
      <c r="L37" s="537"/>
      <c r="M37" s="538"/>
      <c r="N37" s="539"/>
      <c r="O37" s="181"/>
      <c r="P37" s="265"/>
      <c r="Q37" s="265"/>
      <c r="R37" s="132" t="str">
        <f>IF(O37=0,"",IFERROR(O37*$I37*12/#REF!/1000,""))</f>
        <v/>
      </c>
      <c r="S37" s="331" t="str">
        <f>_xlfn.LET(_xlpm.val,INDEX('System Specification'!$H$15:$H$47,MATCH($A37,'System Specification'!$B$15:$B$47,0)),
IF(_xlpm.val="","",_xlpm.val))</f>
        <v/>
      </c>
      <c r="T37" s="241" t="str">
        <f>IF($S37="No",0,INDEX(Site_Data_Table,MATCH($A37,'Site Data'!$A$5:$A$37,0),MATCH(T$30,Site_Data_Column_Names,0)))</f>
        <v/>
      </c>
      <c r="U37" s="242" t="str">
        <f t="shared" si="0"/>
        <v/>
      </c>
      <c r="V37" s="181"/>
      <c r="W37" s="287">
        <v>15000</v>
      </c>
      <c r="X37" s="174">
        <f t="shared" si="1"/>
        <v>15000</v>
      </c>
    </row>
    <row r="38" spans="1:24" ht="15.3" x14ac:dyDescent="0.55000000000000004">
      <c r="A38" s="61">
        <v>8</v>
      </c>
      <c r="B38" s="462" t="str">
        <f>INDEX(Site_Data_Table,MATCH($A38,'Site Data'!$A$5:$A$37,0),MATCH(B$30,Site_Data_Column_Names,0))</f>
        <v>Imperial County Courthouse</v>
      </c>
      <c r="C38" s="463" t="e">
        <f>INDEX(Site_Data_Table,MATCH($A38,'Site Data'!$A$5:$A$37,0),MATCH(C$30,Site_Data_Column_Names,0))</f>
        <v>#N/A</v>
      </c>
      <c r="D38" s="199" t="str">
        <f>INDEX(Site_Data_Table,MATCH($A38,'Site Data'!$A$5:$A$37,0),MATCH(D$30,Site_Data_Column_Names,0))</f>
        <v>13-A1</v>
      </c>
      <c r="E38" s="176">
        <f>INDEX(Prod_Yr_1,MATCH($A38,'System Specification'!$B$15:$B$46,0))</f>
        <v>0</v>
      </c>
      <c r="F38" s="179" t="str">
        <f>_xlfn.TEXTJOIN(" / ",1,INDEX('System Specification'!$L$15:$L$46,MATCH($A38,'System Specification'!$B$15:$B$46,0)),INDEX('System Specification'!$M$15:$M$46,MATCH($A38,'System Specification'!$B$15:$B$46,0)))</f>
        <v/>
      </c>
      <c r="G38" s="179" t="str">
        <f>INDEX(Site_Data_Table,MATCH($A38,'Site Data'!$A$5:$A$37,0),MATCH(G$30,Site_Data_Column_Names,0))</f>
        <v>IID</v>
      </c>
      <c r="H38" s="218" t="s">
        <v>329</v>
      </c>
      <c r="I38" s="261">
        <f>INDEX(Site_Data_Table,MATCH($A38,'Site Data'!$A$5:$A$37,0),MATCH(I$30,Site_Data_Column_Names,0))</f>
        <v>20</v>
      </c>
      <c r="J38" s="246"/>
      <c r="K38" s="126"/>
      <c r="L38" s="537"/>
      <c r="M38" s="538"/>
      <c r="N38" s="539"/>
      <c r="O38" s="181"/>
      <c r="P38" s="265"/>
      <c r="Q38" s="265"/>
      <c r="R38" s="132" t="str">
        <f>IF(O38=0,"",IFERROR(O38*$I38*12/#REF!/1000,""))</f>
        <v/>
      </c>
      <c r="S38" s="331" t="str">
        <f>_xlfn.LET(_xlpm.val,INDEX('System Specification'!$H$15:$H$47,MATCH($A38,'System Specification'!$B$15:$B$47,0)),
IF(_xlpm.val="","",_xlpm.val))</f>
        <v>No</v>
      </c>
      <c r="T38" s="241">
        <f>IF($S38="No",0,INDEX(Site_Data_Table,MATCH($A38,'Site Data'!$A$5:$A$37,0),MATCH(T$30,Site_Data_Column_Names,0)))</f>
        <v>0</v>
      </c>
      <c r="U38" s="242">
        <f t="shared" si="0"/>
        <v>0</v>
      </c>
      <c r="V38" s="181"/>
      <c r="W38" s="287">
        <v>15000</v>
      </c>
      <c r="X38" s="174">
        <f t="shared" si="1"/>
        <v>15000</v>
      </c>
    </row>
    <row r="39" spans="1:24" ht="15.3" x14ac:dyDescent="0.55000000000000004">
      <c r="A39" s="61">
        <v>9</v>
      </c>
      <c r="B39" s="462" t="str">
        <f>INDEX(Site_Data_Table,MATCH($A39,'Site Data'!$A$5:$A$37,0),MATCH(B$30,Site_Data_Column_Names,0))</f>
        <v>Delano/North Kern Court</v>
      </c>
      <c r="C39" s="463" t="e">
        <f>INDEX(Site_Data_Table,MATCH($A39,'Site Data'!$A$5:$A$37,0),MATCH(C$30,Site_Data_Column_Names,0))</f>
        <v>#N/A</v>
      </c>
      <c r="D39" s="199" t="str">
        <f>INDEX(Site_Data_Table,MATCH($A39,'Site Data'!$A$5:$A$37,0),MATCH(D$30,Site_Data_Column_Names,0))</f>
        <v>15-D1</v>
      </c>
      <c r="E39" s="176">
        <f>INDEX(Prod_Yr_1,MATCH($A39,'System Specification'!$B$15:$B$46,0))</f>
        <v>0</v>
      </c>
      <c r="F39" s="179" t="str">
        <f>_xlfn.TEXTJOIN(" / ",1,INDEX('System Specification'!$L$15:$L$46,MATCH($A39,'System Specification'!$B$15:$B$46,0)),INDEX('System Specification'!$M$15:$M$46,MATCH($A39,'System Specification'!$B$15:$B$46,0)))</f>
        <v/>
      </c>
      <c r="G39" s="179" t="str">
        <f>INDEX(Site_Data_Table,MATCH($A39,'Site Data'!$A$5:$A$37,0),MATCH(G$30,Site_Data_Column_Names,0))</f>
        <v>SCE</v>
      </c>
      <c r="H39" s="218" t="s">
        <v>329</v>
      </c>
      <c r="I39" s="261">
        <f>INDEX(Site_Data_Table,MATCH($A39,'Site Data'!$A$5:$A$37,0),MATCH(I$30,Site_Data_Column_Names,0))</f>
        <v>20</v>
      </c>
      <c r="J39" s="246"/>
      <c r="K39" s="126"/>
      <c r="L39" s="537"/>
      <c r="M39" s="538"/>
      <c r="N39" s="539"/>
      <c r="O39" s="181"/>
      <c r="P39" s="265"/>
      <c r="Q39" s="265"/>
      <c r="R39" s="132" t="str">
        <f>IF(O39=0,"",IFERROR(O39*$I39*12/#REF!/1000,""))</f>
        <v/>
      </c>
      <c r="S39" s="331" t="str">
        <f>_xlfn.LET(_xlpm.val,INDEX('System Specification'!$H$15:$H$47,MATCH($A39,'System Specification'!$B$15:$B$47,0)),
IF(_xlpm.val="","",_xlpm.val))</f>
        <v/>
      </c>
      <c r="T39" s="241" t="str">
        <f>IF($S39="No",0,INDEX(Site_Data_Table,MATCH($A39,'Site Data'!$A$5:$A$37,0),MATCH(T$30,Site_Data_Column_Names,0)))</f>
        <v/>
      </c>
      <c r="U39" s="242" t="str">
        <f t="shared" si="0"/>
        <v/>
      </c>
      <c r="V39" s="181"/>
      <c r="W39" s="287">
        <v>15000</v>
      </c>
      <c r="X39" s="174">
        <f t="shared" si="1"/>
        <v>15000</v>
      </c>
    </row>
    <row r="40" spans="1:24" ht="15.3" x14ac:dyDescent="0.55000000000000004">
      <c r="A40" s="61">
        <v>10</v>
      </c>
      <c r="B40" s="462" t="str">
        <f>INDEX(Site_Data_Table,MATCH($A40,'Site Data'!$A$5:$A$37,0),MATCH(B$30,Site_Data_Column_Names,0))</f>
        <v>Kings Superior Court</v>
      </c>
      <c r="C40" s="463" t="e">
        <f>INDEX(Site_Data_Table,MATCH($A40,'Site Data'!$A$5:$A$37,0),MATCH(C$30,Site_Data_Column_Names,0))</f>
        <v>#N/A</v>
      </c>
      <c r="D40" s="199" t="str">
        <f>INDEX(Site_Data_Table,MATCH($A40,'Site Data'!$A$5:$A$37,0),MATCH(D$30,Site_Data_Column_Names,0))</f>
        <v>16-A5</v>
      </c>
      <c r="E40" s="176">
        <f>INDEX(Prod_Yr_1,MATCH($A40,'System Specification'!$B$15:$B$46,0))</f>
        <v>0</v>
      </c>
      <c r="F40" s="179" t="str">
        <f>_xlfn.TEXTJOIN(" / ",1,INDEX('System Specification'!$L$15:$L$46,MATCH($A40,'System Specification'!$B$15:$B$46,0)),INDEX('System Specification'!$M$15:$M$46,MATCH($A40,'System Specification'!$B$15:$B$46,0)))</f>
        <v/>
      </c>
      <c r="G40" s="179" t="str">
        <f>INDEX(Site_Data_Table,MATCH($A40,'Site Data'!$A$5:$A$37,0),MATCH(G$30,Site_Data_Column_Names,0))</f>
        <v>SCE</v>
      </c>
      <c r="H40" s="218" t="s">
        <v>329</v>
      </c>
      <c r="I40" s="261">
        <f>INDEX(Site_Data_Table,MATCH($A40,'Site Data'!$A$5:$A$37,0),MATCH(I$30,Site_Data_Column_Names,0))</f>
        <v>20</v>
      </c>
      <c r="J40" s="246"/>
      <c r="K40" s="126"/>
      <c r="L40" s="537"/>
      <c r="M40" s="538"/>
      <c r="N40" s="539"/>
      <c r="O40" s="181"/>
      <c r="P40" s="265"/>
      <c r="Q40" s="265"/>
      <c r="R40" s="132" t="str">
        <f>IF(O40=0,"",IFERROR(O40*$I40*12/#REF!/1000,""))</f>
        <v/>
      </c>
      <c r="S40" s="331" t="str">
        <f>_xlfn.LET(_xlpm.val,INDEX('System Specification'!$H$15:$H$47,MATCH($A40,'System Specification'!$B$15:$B$47,0)),
IF(_xlpm.val="","",_xlpm.val))</f>
        <v>No</v>
      </c>
      <c r="T40" s="241">
        <f>IF($S40="No",0,INDEX(Site_Data_Table,MATCH($A40,'Site Data'!$A$5:$A$37,0),MATCH(T$30,Site_Data_Column_Names,0)))</f>
        <v>0</v>
      </c>
      <c r="U40" s="242">
        <f t="shared" si="0"/>
        <v>0</v>
      </c>
      <c r="V40" s="181"/>
      <c r="W40" s="287">
        <v>15000</v>
      </c>
      <c r="X40" s="174">
        <f t="shared" si="1"/>
        <v>15000</v>
      </c>
    </row>
    <row r="41" spans="1:24" ht="15.3" x14ac:dyDescent="0.55000000000000004">
      <c r="A41" s="61">
        <v>11</v>
      </c>
      <c r="B41" s="462" t="str">
        <f>INDEX(Site_Data_Table,MATCH($A41,'Site Data'!$A$5:$A$37,0),MATCH(B$30,Site_Data_Column_Names,0))</f>
        <v>Whittier Courthouse</v>
      </c>
      <c r="C41" s="463" t="e">
        <f>INDEX(Site_Data_Table,MATCH($A41,'Site Data'!$A$5:$A$37,0),MATCH(C$30,Site_Data_Column_Names,0))</f>
        <v>#N/A</v>
      </c>
      <c r="D41" s="199" t="str">
        <f>INDEX(Site_Data_Table,MATCH($A41,'Site Data'!$A$5:$A$37,0),MATCH(D$30,Site_Data_Column_Names,0))</f>
        <v>19-AO1</v>
      </c>
      <c r="E41" s="176">
        <f>INDEX(Prod_Yr_1,MATCH($A41,'System Specification'!$B$15:$B$46,0))</f>
        <v>0</v>
      </c>
      <c r="F41" s="179" t="str">
        <f>_xlfn.TEXTJOIN(" / ",1,INDEX('System Specification'!$L$15:$L$46,MATCH($A41,'System Specification'!$B$15:$B$46,0)),INDEX('System Specification'!$M$15:$M$46,MATCH($A41,'System Specification'!$B$15:$B$46,0)))</f>
        <v/>
      </c>
      <c r="G41" s="179" t="str">
        <f>INDEX(Site_Data_Table,MATCH($A41,'Site Data'!$A$5:$A$37,0),MATCH(G$30,Site_Data_Column_Names,0))</f>
        <v>SCE / Clean Power Alliance</v>
      </c>
      <c r="H41" s="218" t="s">
        <v>329</v>
      </c>
      <c r="I41" s="261">
        <f>INDEX(Site_Data_Table,MATCH($A41,'Site Data'!$A$5:$A$37,0),MATCH(I$30,Site_Data_Column_Names,0))</f>
        <v>20</v>
      </c>
      <c r="J41" s="246"/>
      <c r="K41" s="126"/>
      <c r="L41" s="537"/>
      <c r="M41" s="538"/>
      <c r="N41" s="539"/>
      <c r="O41" s="181"/>
      <c r="P41" s="265"/>
      <c r="Q41" s="265"/>
      <c r="R41" s="132" t="str">
        <f>IF(O41=0,"",IFERROR(O41*$I41*12/#REF!/1000,""))</f>
        <v/>
      </c>
      <c r="S41" s="331" t="str">
        <f>_xlfn.LET(_xlpm.val,INDEX('System Specification'!$H$15:$H$47,MATCH($A41,'System Specification'!$B$15:$B$47,0)),
IF(_xlpm.val="","",_xlpm.val))</f>
        <v>No</v>
      </c>
      <c r="T41" s="241">
        <f>IF($S41="No",0,INDEX(Site_Data_Table,MATCH($A41,'Site Data'!$A$5:$A$37,0),MATCH(T$30,Site_Data_Column_Names,0)))</f>
        <v>0</v>
      </c>
      <c r="U41" s="242">
        <f t="shared" si="0"/>
        <v>0</v>
      </c>
      <c r="V41" s="181"/>
      <c r="W41" s="287">
        <v>15000</v>
      </c>
      <c r="X41" s="174">
        <f t="shared" si="1"/>
        <v>15000</v>
      </c>
    </row>
    <row r="42" spans="1:24" ht="15.3" x14ac:dyDescent="0.55000000000000004">
      <c r="A42" s="61">
        <v>12</v>
      </c>
      <c r="B42" s="462" t="str">
        <f>INDEX(Site_Data_Table,MATCH($A42,'Site Data'!$A$5:$A$37,0),MATCH(B$30,Site_Data_Column_Names,0))</f>
        <v>Santa Monica Courthouse</v>
      </c>
      <c r="C42" s="463" t="e">
        <f>INDEX(Site_Data_Table,MATCH($A42,'Site Data'!$A$5:$A$37,0),MATCH(C$30,Site_Data_Column_Names,0))</f>
        <v>#N/A</v>
      </c>
      <c r="D42" s="199" t="str">
        <f>INDEX(Site_Data_Table,MATCH($A42,'Site Data'!$A$5:$A$37,0),MATCH(D$30,Site_Data_Column_Names,0))</f>
        <v>19-AP1</v>
      </c>
      <c r="E42" s="176">
        <f>INDEX(Prod_Yr_1,MATCH($A42,'System Specification'!$B$15:$B$46,0))</f>
        <v>0</v>
      </c>
      <c r="F42" s="179" t="str">
        <f>_xlfn.TEXTJOIN(" / ",1,INDEX('System Specification'!$L$15:$L$46,MATCH($A42,'System Specification'!$B$15:$B$46,0)),INDEX('System Specification'!$M$15:$M$46,MATCH($A42,'System Specification'!$B$15:$B$46,0)))</f>
        <v/>
      </c>
      <c r="G42" s="179" t="str">
        <f>INDEX(Site_Data_Table,MATCH($A42,'Site Data'!$A$5:$A$37,0),MATCH(G$30,Site_Data_Column_Names,0))</f>
        <v>SCE / Clean Power Alliance</v>
      </c>
      <c r="H42" s="218" t="s">
        <v>329</v>
      </c>
      <c r="I42" s="261">
        <f>INDEX(Site_Data_Table,MATCH($A42,'Site Data'!$A$5:$A$37,0),MATCH(I$30,Site_Data_Column_Names,0))</f>
        <v>18</v>
      </c>
      <c r="J42" s="246"/>
      <c r="K42" s="126"/>
      <c r="L42" s="537"/>
      <c r="M42" s="538"/>
      <c r="N42" s="539"/>
      <c r="O42" s="181"/>
      <c r="P42" s="265"/>
      <c r="Q42" s="265"/>
      <c r="R42" s="132" t="str">
        <f>IF(O42=0,"",IFERROR(O42*$I42*12/#REF!/1000,""))</f>
        <v/>
      </c>
      <c r="S42" s="331" t="str">
        <f>_xlfn.LET(_xlpm.val,INDEX('System Specification'!$H$15:$H$47,MATCH($A42,'System Specification'!$B$15:$B$47,0)),
IF(_xlpm.val="","",_xlpm.val))</f>
        <v/>
      </c>
      <c r="T42" s="241">
        <f>IF($S42="No",0,INDEX(Site_Data_Table,MATCH($A42,'Site Data'!$A$5:$A$37,0),MATCH(T$30,Site_Data_Column_Names,0)))</f>
        <v>0</v>
      </c>
      <c r="U42" s="242">
        <f t="shared" si="0"/>
        <v>0</v>
      </c>
      <c r="V42" s="181"/>
      <c r="W42" s="287">
        <v>15000</v>
      </c>
      <c r="X42" s="174">
        <f t="shared" si="1"/>
        <v>15000</v>
      </c>
    </row>
    <row r="43" spans="1:24" ht="15.3" x14ac:dyDescent="0.55000000000000004">
      <c r="A43" s="61">
        <v>13</v>
      </c>
      <c r="B43" s="462" t="str">
        <f>INDEX(Site_Data_Table,MATCH($A43,'Site Data'!$A$5:$A$37,0),MATCH(B$30,Site_Data_Column_Names,0))</f>
        <v>Van Nuys Courthouse East</v>
      </c>
      <c r="C43" s="463" t="e">
        <f>INDEX(Site_Data_Table,MATCH($A43,'Site Data'!$A$5:$A$37,0),MATCH(C$30,Site_Data_Column_Names,0))</f>
        <v>#N/A</v>
      </c>
      <c r="D43" s="199" t="str">
        <f>INDEX(Site_Data_Table,MATCH($A43,'Site Data'!$A$5:$A$37,0),MATCH(D$30,Site_Data_Column_Names,0))</f>
        <v>19-AX1</v>
      </c>
      <c r="E43" s="176">
        <f>INDEX(Prod_Yr_1,MATCH($A43,'System Specification'!$B$15:$B$46,0))</f>
        <v>0</v>
      </c>
      <c r="F43" s="179" t="str">
        <f>_xlfn.TEXTJOIN(" / ",1,INDEX('System Specification'!$L$15:$L$46,MATCH($A43,'System Specification'!$B$15:$B$46,0)),INDEX('System Specification'!$M$15:$M$46,MATCH($A43,'System Specification'!$B$15:$B$46,0)))</f>
        <v/>
      </c>
      <c r="G43" s="179" t="str">
        <f>INDEX(Site_Data_Table,MATCH($A43,'Site Data'!$A$5:$A$37,0),MATCH(G$30,Site_Data_Column_Names,0))</f>
        <v>LADWP</v>
      </c>
      <c r="H43" s="179" t="s">
        <v>338</v>
      </c>
      <c r="I43" s="261">
        <f>INDEX(Site_Data_Table,MATCH($A43,'Site Data'!$A$5:$A$37,0),MATCH(I$30,Site_Data_Column_Names,0))</f>
        <v>20</v>
      </c>
      <c r="J43" s="247"/>
      <c r="K43" s="183"/>
      <c r="L43" s="540"/>
      <c r="M43" s="541"/>
      <c r="N43" s="542"/>
      <c r="O43" s="537"/>
      <c r="P43" s="546"/>
      <c r="Q43" s="546"/>
      <c r="R43" s="132" t="str">
        <f>IF(O43=0,"",IFERROR(O43*$I43*12/#REF!/1000,""))</f>
        <v/>
      </c>
      <c r="S43" s="331" t="str">
        <f>_xlfn.LET(_xlpm.val,INDEX('System Specification'!$H$15:$H$47,MATCH($A43,'System Specification'!$B$15:$B$47,0)),
IF(_xlpm.val="","",_xlpm.val))</f>
        <v>No</v>
      </c>
      <c r="T43" s="241">
        <f>IF($S43="No",0,INDEX(Site_Data_Table,MATCH($A43,'Site Data'!$A$5:$A$37,0),MATCH(T$30,Site_Data_Column_Names,0)))</f>
        <v>0</v>
      </c>
      <c r="U43" s="242">
        <f t="shared" si="0"/>
        <v>0</v>
      </c>
      <c r="V43" s="181"/>
      <c r="W43" s="287">
        <v>15000</v>
      </c>
      <c r="X43" s="174">
        <f t="shared" si="1"/>
        <v>15000</v>
      </c>
    </row>
    <row r="44" spans="1:24" ht="15.3" x14ac:dyDescent="0.55000000000000004">
      <c r="A44" s="61">
        <v>14</v>
      </c>
      <c r="B44" s="462" t="str">
        <f>INDEX(Site_Data_Table,MATCH($A44,'Site Data'!$A$5:$A$37,0),MATCH(B$30,Site_Data_Column_Names,0))</f>
        <v>Torrance Courthouse</v>
      </c>
      <c r="C44" s="463" t="e">
        <f>INDEX(Site_Data_Table,MATCH($A44,'Site Data'!$A$5:$A$37,0),MATCH(C$30,Site_Data_Column_Names,0))</f>
        <v>#N/A</v>
      </c>
      <c r="D44" s="199" t="str">
        <f>INDEX(Site_Data_Table,MATCH($A44,'Site Data'!$A$5:$A$37,0),MATCH(D$30,Site_Data_Column_Names,0))</f>
        <v>19-C1</v>
      </c>
      <c r="E44" s="176">
        <f>INDEX(Prod_Yr_1,MATCH($A44,'System Specification'!$B$15:$B$46,0))</f>
        <v>0</v>
      </c>
      <c r="F44" s="179" t="str">
        <f>_xlfn.TEXTJOIN(" / ",1,INDEX('System Specification'!$L$15:$L$46,MATCH($A44,'System Specification'!$B$15:$B$46,0)),INDEX('System Specification'!$M$15:$M$46,MATCH($A44,'System Specification'!$B$15:$B$46,0)))</f>
        <v/>
      </c>
      <c r="G44" s="179" t="str">
        <f>INDEX(Site_Data_Table,MATCH($A44,'Site Data'!$A$5:$A$37,0),MATCH(G$30,Site_Data_Column_Names,0))</f>
        <v>SCE</v>
      </c>
      <c r="H44" s="218" t="s">
        <v>329</v>
      </c>
      <c r="I44" s="261">
        <f>INDEX(Site_Data_Table,MATCH($A44,'Site Data'!$A$5:$A$37,0),MATCH(I$30,Site_Data_Column_Names,0))</f>
        <v>20</v>
      </c>
      <c r="J44" s="246"/>
      <c r="K44" s="126"/>
      <c r="L44" s="537"/>
      <c r="M44" s="538"/>
      <c r="N44" s="539"/>
      <c r="O44" s="181"/>
      <c r="P44" s="265"/>
      <c r="Q44" s="265"/>
      <c r="R44" s="132" t="str">
        <f>IF(O44=0,"",IFERROR(O44*$I44*12/#REF!/1000,""))</f>
        <v/>
      </c>
      <c r="S44" s="331" t="str">
        <f>_xlfn.LET(_xlpm.val,INDEX('System Specification'!$H$15:$H$47,MATCH($A44,'System Specification'!$B$15:$B$47,0)),
IF(_xlpm.val="","",_xlpm.val))</f>
        <v>No</v>
      </c>
      <c r="T44" s="241">
        <f>IF($S44="No",0,INDEX(Site_Data_Table,MATCH($A44,'Site Data'!$A$5:$A$37,0),MATCH(T$30,Site_Data_Column_Names,0)))</f>
        <v>0</v>
      </c>
      <c r="U44" s="242">
        <f t="shared" si="0"/>
        <v>0</v>
      </c>
      <c r="V44" s="173">
        <v>600000</v>
      </c>
      <c r="W44" s="287">
        <v>15000</v>
      </c>
      <c r="X44" s="174">
        <f t="shared" si="1"/>
        <v>615000</v>
      </c>
    </row>
    <row r="45" spans="1:24" ht="15.3" x14ac:dyDescent="0.55000000000000004">
      <c r="A45" s="61">
        <v>15</v>
      </c>
      <c r="B45" s="462" t="str">
        <f>INDEX(Site_Data_Table,MATCH($A45,'Site Data'!$A$5:$A$37,0),MATCH(B$30,Site_Data_Column_Names,0))</f>
        <v>Glendale Courthouse</v>
      </c>
      <c r="C45" s="463" t="e">
        <f>INDEX(Site_Data_Table,MATCH($A45,'Site Data'!$A$5:$A$37,0),MATCH(C$30,Site_Data_Column_Names,0))</f>
        <v>#N/A</v>
      </c>
      <c r="D45" s="199" t="str">
        <f>INDEX(Site_Data_Table,MATCH($A45,'Site Data'!$A$5:$A$37,0),MATCH(D$30,Site_Data_Column_Names,0))</f>
        <v>19-H1</v>
      </c>
      <c r="E45" s="176">
        <f>INDEX(Prod_Yr_1,MATCH($A45,'System Specification'!$B$15:$B$46,0))</f>
        <v>0</v>
      </c>
      <c r="F45" s="179" t="str">
        <f>_xlfn.TEXTJOIN(" / ",1,INDEX('System Specification'!$L$15:$L$46,MATCH($A45,'System Specification'!$B$15:$B$46,0)),INDEX('System Specification'!$M$15:$M$46,MATCH($A45,'System Specification'!$B$15:$B$46,0)))</f>
        <v/>
      </c>
      <c r="G45" s="179" t="str">
        <f>INDEX(Site_Data_Table,MATCH($A45,'Site Data'!$A$5:$A$37,0),MATCH(G$30,Site_Data_Column_Names,0))</f>
        <v>Glendale Water &amp; Power</v>
      </c>
      <c r="H45" s="179" t="s">
        <v>338</v>
      </c>
      <c r="I45" s="261">
        <f>INDEX(Site_Data_Table,MATCH($A45,'Site Data'!$A$5:$A$37,0),MATCH(I$30,Site_Data_Column_Names,0))</f>
        <v>20</v>
      </c>
      <c r="J45" s="247"/>
      <c r="K45" s="183"/>
      <c r="L45" s="540"/>
      <c r="M45" s="541"/>
      <c r="N45" s="542"/>
      <c r="O45" s="537"/>
      <c r="P45" s="546"/>
      <c r="Q45" s="546"/>
      <c r="R45" s="132" t="str">
        <f>IF(O45=0,"",IFERROR(O45*$I45*12/#REF!/1000,""))</f>
        <v/>
      </c>
      <c r="S45" s="331" t="str">
        <f>_xlfn.LET(_xlpm.val,INDEX('System Specification'!$H$15:$H$47,MATCH($A45,'System Specification'!$B$15:$B$47,0)),
IF(_xlpm.val="","",_xlpm.val))</f>
        <v>No</v>
      </c>
      <c r="T45" s="241">
        <f>IF($S45="No",0,INDEX(Site_Data_Table,MATCH($A45,'Site Data'!$A$5:$A$37,0),MATCH(T$30,Site_Data_Column_Names,0)))</f>
        <v>0</v>
      </c>
      <c r="U45" s="242">
        <f t="shared" si="0"/>
        <v>0</v>
      </c>
      <c r="V45" s="181"/>
      <c r="W45" s="287">
        <v>15000</v>
      </c>
      <c r="X45" s="174">
        <f t="shared" si="1"/>
        <v>15000</v>
      </c>
    </row>
    <row r="46" spans="1:24" ht="15.3" x14ac:dyDescent="0.55000000000000004">
      <c r="A46" s="61">
        <v>16</v>
      </c>
      <c r="B46" s="462" t="str">
        <f>INDEX(Site_Data_Table,MATCH($A46,'Site Data'!$A$5:$A$37,0),MATCH(B$30,Site_Data_Column_Names,0))</f>
        <v>Monrovia Training Center</v>
      </c>
      <c r="C46" s="463" t="e">
        <f>INDEX(Site_Data_Table,MATCH($A46,'Site Data'!$A$5:$A$37,0),MATCH(C$30,Site_Data_Column_Names,0))</f>
        <v>#N/A</v>
      </c>
      <c r="D46" s="199" t="str">
        <f>INDEX(Site_Data_Table,MATCH($A46,'Site Data'!$A$5:$A$37,0),MATCH(D$30,Site_Data_Column_Names,0))</f>
        <v>19-N1</v>
      </c>
      <c r="E46" s="176">
        <f>INDEX(Prod_Yr_1,MATCH($A46,'System Specification'!$B$15:$B$46,0))</f>
        <v>0</v>
      </c>
      <c r="F46" s="179" t="str">
        <f>_xlfn.TEXTJOIN(" / ",1,INDEX('System Specification'!$L$15:$L$46,MATCH($A46,'System Specification'!$B$15:$B$46,0)),INDEX('System Specification'!$M$15:$M$46,MATCH($A46,'System Specification'!$B$15:$B$46,0)))</f>
        <v/>
      </c>
      <c r="G46" s="179" t="str">
        <f>INDEX(Site_Data_Table,MATCH($A46,'Site Data'!$A$5:$A$37,0),MATCH(G$30,Site_Data_Column_Names,0))</f>
        <v>SCE</v>
      </c>
      <c r="H46" s="218" t="s">
        <v>329</v>
      </c>
      <c r="I46" s="261">
        <f>INDEX(Site_Data_Table,MATCH($A46,'Site Data'!$A$5:$A$37,0),MATCH(I$30,Site_Data_Column_Names,0))</f>
        <v>20</v>
      </c>
      <c r="J46" s="246"/>
      <c r="K46" s="126"/>
      <c r="L46" s="537"/>
      <c r="M46" s="538"/>
      <c r="N46" s="539"/>
      <c r="O46" s="181"/>
      <c r="P46" s="265"/>
      <c r="Q46" s="265"/>
      <c r="R46" s="132" t="str">
        <f>IF(O46=0,"",IFERROR(O46*$I46*12/#REF!/1000,""))</f>
        <v/>
      </c>
      <c r="S46" s="331" t="str">
        <f>_xlfn.LET(_xlpm.val,INDEX('System Specification'!$H$15:$H$47,MATCH($A46,'System Specification'!$B$15:$B$47,0)),
IF(_xlpm.val="","",_xlpm.val))</f>
        <v/>
      </c>
      <c r="T46" s="241">
        <f>IF($S46="No",0,INDEX(Site_Data_Table,MATCH($A46,'Site Data'!$A$5:$A$37,0),MATCH(T$30,Site_Data_Column_Names,0)))</f>
        <v>0</v>
      </c>
      <c r="U46" s="242">
        <f t="shared" si="0"/>
        <v>0</v>
      </c>
      <c r="V46" s="181"/>
      <c r="W46" s="287">
        <v>15000</v>
      </c>
      <c r="X46" s="174">
        <f t="shared" si="1"/>
        <v>15000</v>
      </c>
    </row>
    <row r="47" spans="1:24" ht="15.3" x14ac:dyDescent="0.55000000000000004">
      <c r="A47" s="61">
        <v>17</v>
      </c>
      <c r="B47" s="462" t="str">
        <f>INDEX(Site_Data_Table,MATCH($A47,'Site Data'!$A$5:$A$37,0),MATCH(B$30,Site_Data_Column_Names,0))</f>
        <v>Edmund D. Edelman Children's Court</v>
      </c>
      <c r="C47" s="463" t="e">
        <f>INDEX(Site_Data_Table,MATCH($A47,'Site Data'!$A$5:$A$37,0),MATCH(C$30,Site_Data_Column_Names,0))</f>
        <v>#N/A</v>
      </c>
      <c r="D47" s="199" t="str">
        <f>INDEX(Site_Data_Table,MATCH($A47,'Site Data'!$A$5:$A$37,0),MATCH(D$30,Site_Data_Column_Names,0))</f>
        <v>19-Q1</v>
      </c>
      <c r="E47" s="176">
        <f>INDEX(Prod_Yr_1,MATCH($A47,'System Specification'!$B$15:$B$46,0))</f>
        <v>0</v>
      </c>
      <c r="F47" s="179" t="str">
        <f>_xlfn.TEXTJOIN(" / ",1,INDEX('System Specification'!$L$15:$L$46,MATCH($A47,'System Specification'!$B$15:$B$46,0)),INDEX('System Specification'!$M$15:$M$46,MATCH($A47,'System Specification'!$B$15:$B$46,0)))</f>
        <v/>
      </c>
      <c r="G47" s="179" t="str">
        <f>INDEX(Site_Data_Table,MATCH($A47,'Site Data'!$A$5:$A$37,0),MATCH(G$30,Site_Data_Column_Names,0))</f>
        <v>SCE</v>
      </c>
      <c r="H47" s="218" t="s">
        <v>329</v>
      </c>
      <c r="I47" s="261">
        <f>INDEX(Site_Data_Table,MATCH($A47,'Site Data'!$A$5:$A$37,0),MATCH(I$30,Site_Data_Column_Names,0))</f>
        <v>20</v>
      </c>
      <c r="J47" s="246"/>
      <c r="K47" s="126"/>
      <c r="L47" s="537"/>
      <c r="M47" s="538"/>
      <c r="N47" s="539"/>
      <c r="O47" s="181"/>
      <c r="P47" s="265"/>
      <c r="Q47" s="265"/>
      <c r="R47" s="132" t="str">
        <f>IF(O47=0,"",IFERROR(O47*$I47*12/#REF!/1000,""))</f>
        <v/>
      </c>
      <c r="S47" s="331" t="str">
        <f>_xlfn.LET(_xlpm.val,INDEX('System Specification'!$H$15:$H$47,MATCH($A47,'System Specification'!$B$15:$B$47,0)),
IF(_xlpm.val="","",_xlpm.val))</f>
        <v>No</v>
      </c>
      <c r="T47" s="241">
        <f>IF($S47="No",0,INDEX(Site_Data_Table,MATCH($A47,'Site Data'!$A$5:$A$37,0),MATCH(T$30,Site_Data_Column_Names,0)))</f>
        <v>0</v>
      </c>
      <c r="U47" s="242">
        <f t="shared" si="0"/>
        <v>0</v>
      </c>
      <c r="V47" s="181"/>
      <c r="W47" s="287">
        <v>15000</v>
      </c>
      <c r="X47" s="174">
        <f t="shared" si="1"/>
        <v>15000</v>
      </c>
    </row>
    <row r="48" spans="1:24" ht="15.3" x14ac:dyDescent="0.55000000000000004">
      <c r="A48" s="61">
        <v>18</v>
      </c>
      <c r="B48" s="462" t="str">
        <f>INDEX(Site_Data_Table,MATCH($A48,'Site Data'!$A$5:$A$37,0),MATCH(B$30,Site_Data_Column_Names,0))</f>
        <v>Hollywood Courthouse</v>
      </c>
      <c r="C48" s="463" t="e">
        <f>INDEX(Site_Data_Table,MATCH($A48,'Site Data'!$A$5:$A$37,0),MATCH(C$30,Site_Data_Column_Names,0))</f>
        <v>#N/A</v>
      </c>
      <c r="D48" s="199" t="str">
        <f>INDEX(Site_Data_Table,MATCH($A48,'Site Data'!$A$5:$A$37,0),MATCH(D$30,Site_Data_Column_Names,0))</f>
        <v>19-S1</v>
      </c>
      <c r="E48" s="176">
        <f>INDEX(Prod_Yr_1,MATCH($A48,'System Specification'!$B$15:$B$46,0))</f>
        <v>0</v>
      </c>
      <c r="F48" s="179" t="str">
        <f>_xlfn.TEXTJOIN(" / ",1,INDEX('System Specification'!$L$15:$L$46,MATCH($A48,'System Specification'!$B$15:$B$46,0)),INDEX('System Specification'!$M$15:$M$46,MATCH($A48,'System Specification'!$B$15:$B$46,0)))</f>
        <v/>
      </c>
      <c r="G48" s="179" t="str">
        <f>INDEX(Site_Data_Table,MATCH($A48,'Site Data'!$A$5:$A$37,0),MATCH(G$30,Site_Data_Column_Names,0))</f>
        <v>LADWP</v>
      </c>
      <c r="H48" s="179" t="s">
        <v>338</v>
      </c>
      <c r="I48" s="261">
        <f>INDEX(Site_Data_Table,MATCH($A48,'Site Data'!$A$5:$A$37,0),MATCH(I$30,Site_Data_Column_Names,0))</f>
        <v>20</v>
      </c>
      <c r="J48" s="247"/>
      <c r="K48" s="183"/>
      <c r="L48" s="540"/>
      <c r="M48" s="541"/>
      <c r="N48" s="542"/>
      <c r="O48" s="537"/>
      <c r="P48" s="546"/>
      <c r="Q48" s="546"/>
      <c r="R48" s="132" t="str">
        <f>IF(O48=0,"",IFERROR(O48*$I48*12/#REF!/1000,""))</f>
        <v/>
      </c>
      <c r="S48" s="331" t="str">
        <f>_xlfn.LET(_xlpm.val,INDEX('System Specification'!$H$15:$H$47,MATCH($A48,'System Specification'!$B$15:$B$47,0)),
IF(_xlpm.val="","",_xlpm.val))</f>
        <v>No</v>
      </c>
      <c r="T48" s="241">
        <f>IF($S48="No",0,INDEX(Site_Data_Table,MATCH($A48,'Site Data'!$A$5:$A$37,0),MATCH(T$30,Site_Data_Column_Names,0)))</f>
        <v>0</v>
      </c>
      <c r="U48" s="242">
        <f t="shared" si="0"/>
        <v>0</v>
      </c>
      <c r="V48" s="181"/>
      <c r="W48" s="287">
        <v>15000</v>
      </c>
      <c r="X48" s="174">
        <f t="shared" si="1"/>
        <v>15000</v>
      </c>
    </row>
    <row r="49" spans="1:24" ht="15.3" x14ac:dyDescent="0.55000000000000004">
      <c r="A49" s="61">
        <v>19</v>
      </c>
      <c r="B49" s="462" t="str">
        <f>INDEX(Site_Data_Table,MATCH($A49,'Site Data'!$A$5:$A$37,0),MATCH(B$30,Site_Data_Column_Names,0))</f>
        <v>Pomona Courthouse South</v>
      </c>
      <c r="C49" s="463" t="e">
        <f>INDEX(Site_Data_Table,MATCH($A49,'Site Data'!$A$5:$A$37,0),MATCH(C$30,Site_Data_Column_Names,0))</f>
        <v>#N/A</v>
      </c>
      <c r="D49" s="199" t="str">
        <f>INDEX(Site_Data_Table,MATCH($A49,'Site Data'!$A$5:$A$37,0),MATCH(D$30,Site_Data_Column_Names,0))</f>
        <v>19-W1</v>
      </c>
      <c r="E49" s="176">
        <f>INDEX(Prod_Yr_1,MATCH($A49,'System Specification'!$B$15:$B$46,0))</f>
        <v>0</v>
      </c>
      <c r="F49" s="179" t="str">
        <f>_xlfn.TEXTJOIN(" / ",1,INDEX('System Specification'!$L$15:$L$46,MATCH($A49,'System Specification'!$B$15:$B$46,0)),INDEX('System Specification'!$M$15:$M$46,MATCH($A49,'System Specification'!$B$15:$B$46,0)))</f>
        <v/>
      </c>
      <c r="G49" s="179" t="str">
        <f>INDEX(Site_Data_Table,MATCH($A49,'Site Data'!$A$5:$A$37,0),MATCH(G$30,Site_Data_Column_Names,0))</f>
        <v>SCE</v>
      </c>
      <c r="H49" s="218" t="s">
        <v>329</v>
      </c>
      <c r="I49" s="261">
        <f>INDEX(Site_Data_Table,MATCH($A49,'Site Data'!$A$5:$A$37,0),MATCH(I$30,Site_Data_Column_Names,0))</f>
        <v>20</v>
      </c>
      <c r="J49" s="246"/>
      <c r="K49" s="126"/>
      <c r="L49" s="537"/>
      <c r="M49" s="538"/>
      <c r="N49" s="539"/>
      <c r="O49" s="181"/>
      <c r="P49" s="265"/>
      <c r="Q49" s="265"/>
      <c r="R49" s="132" t="str">
        <f>IF(O49=0,"",IFERROR(O49*$I49*12/#REF!/1000,""))</f>
        <v/>
      </c>
      <c r="S49" s="331" t="str">
        <f>_xlfn.LET(_xlpm.val,INDEX('System Specification'!$H$15:$H$47,MATCH($A49,'System Specification'!$B$15:$B$47,0)),
IF(_xlpm.val="","",_xlpm.val))</f>
        <v>No</v>
      </c>
      <c r="T49" s="241">
        <f>IF($S49="No",0,INDEX(Site_Data_Table,MATCH($A49,'Site Data'!$A$5:$A$37,0),MATCH(T$30,Site_Data_Column_Names,0)))</f>
        <v>0</v>
      </c>
      <c r="U49" s="242">
        <f t="shared" si="0"/>
        <v>0</v>
      </c>
      <c r="V49" s="181"/>
      <c r="W49" s="287">
        <v>15000</v>
      </c>
      <c r="X49" s="174">
        <f t="shared" si="1"/>
        <v>15000</v>
      </c>
    </row>
    <row r="50" spans="1:24" ht="15.3" x14ac:dyDescent="0.55000000000000004">
      <c r="A50" s="61">
        <v>20</v>
      </c>
      <c r="B50" s="462" t="str">
        <f>INDEX(Site_Data_Table,MATCH($A50,'Site Data'!$A$5:$A$37,0),MATCH(B$30,Site_Data_Column_Names,0))</f>
        <v>The Robert M. Falasco Justice Center</v>
      </c>
      <c r="C50" s="463" t="e">
        <f>INDEX(Site_Data_Table,MATCH($A50,'Site Data'!$A$5:$A$37,0),MATCH(C$30,Site_Data_Column_Names,0))</f>
        <v>#N/A</v>
      </c>
      <c r="D50" s="199" t="str">
        <f>INDEX(Site_Data_Table,MATCH($A50,'Site Data'!$A$5:$A$37,0),MATCH(D$30,Site_Data_Column_Names,0))</f>
        <v>24-G1</v>
      </c>
      <c r="E50" s="176">
        <f>INDEX(Prod_Yr_1,MATCH($A50,'System Specification'!$B$15:$B$46,0))</f>
        <v>0</v>
      </c>
      <c r="F50" s="179" t="str">
        <f>_xlfn.TEXTJOIN(" / ",1,INDEX('System Specification'!$L$15:$L$46,MATCH($A50,'System Specification'!$B$15:$B$46,0)),INDEX('System Specification'!$M$15:$M$46,MATCH($A50,'System Specification'!$B$15:$B$46,0)))</f>
        <v/>
      </c>
      <c r="G50" s="179" t="str">
        <f>INDEX(Site_Data_Table,MATCH($A50,'Site Data'!$A$5:$A$37,0),MATCH(G$30,Site_Data_Column_Names,0))</f>
        <v>PG&amp;E</v>
      </c>
      <c r="H50" s="218" t="s">
        <v>329</v>
      </c>
      <c r="I50" s="261">
        <f>INDEX(Site_Data_Table,MATCH($A50,'Site Data'!$A$5:$A$37,0),MATCH(I$30,Site_Data_Column_Names,0))</f>
        <v>20</v>
      </c>
      <c r="J50" s="246"/>
      <c r="K50" s="126"/>
      <c r="L50" s="537"/>
      <c r="M50" s="538"/>
      <c r="N50" s="539"/>
      <c r="O50" s="181"/>
      <c r="P50" s="265"/>
      <c r="Q50" s="265"/>
      <c r="R50" s="132" t="str">
        <f>IF(O50=0,"",IFERROR(O50*$I50*12/#REF!/1000,""))</f>
        <v/>
      </c>
      <c r="S50" s="331" t="str">
        <f>_xlfn.LET(_xlpm.val,INDEX('System Specification'!$H$15:$H$47,MATCH($A50,'System Specification'!$B$15:$B$47,0)),
IF(_xlpm.val="","",_xlpm.val))</f>
        <v>No</v>
      </c>
      <c r="T50" s="241">
        <f>IF($S50="No",0,INDEX(Site_Data_Table,MATCH($A50,'Site Data'!$A$5:$A$37,0),MATCH(T$30,Site_Data_Column_Names,0)))</f>
        <v>0</v>
      </c>
      <c r="U50" s="242">
        <f t="shared" si="0"/>
        <v>0</v>
      </c>
      <c r="V50" s="181"/>
      <c r="W50" s="287">
        <v>15000</v>
      </c>
      <c r="X50" s="174">
        <f t="shared" si="1"/>
        <v>15000</v>
      </c>
    </row>
    <row r="51" spans="1:24" ht="15.3" x14ac:dyDescent="0.55000000000000004">
      <c r="A51" s="61">
        <v>21</v>
      </c>
      <c r="B51" s="462" t="str">
        <f>INDEX(Site_Data_Table,MATCH($A51,'Site Data'!$A$5:$A$37,0),MATCH(B$30,Site_Data_Column_Names,0))</f>
        <v>Mammoth Lakes Courthouse</v>
      </c>
      <c r="C51" s="463" t="e">
        <f>INDEX(Site_Data_Table,MATCH($A51,'Site Data'!$A$5:$A$37,0),MATCH(C$30,Site_Data_Column_Names,0))</f>
        <v>#N/A</v>
      </c>
      <c r="D51" s="199" t="str">
        <f>INDEX(Site_Data_Table,MATCH($A51,'Site Data'!$A$5:$A$37,0),MATCH(D$30,Site_Data_Column_Names,0))</f>
        <v>26-B2</v>
      </c>
      <c r="E51" s="176">
        <f>INDEX(Prod_Yr_1,MATCH($A51,'System Specification'!$B$15:$B$46,0))</f>
        <v>0</v>
      </c>
      <c r="F51" s="179" t="str">
        <f>_xlfn.TEXTJOIN(" / ",1,INDEX('System Specification'!$L$15:$L$46,MATCH($A51,'System Specification'!$B$15:$B$46,0)),INDEX('System Specification'!$M$15:$M$46,MATCH($A51,'System Specification'!$B$15:$B$46,0)))</f>
        <v/>
      </c>
      <c r="G51" s="179" t="str">
        <f>INDEX(Site_Data_Table,MATCH($A51,'Site Data'!$A$5:$A$37,0),MATCH(G$30,Site_Data_Column_Names,0))</f>
        <v>SCE</v>
      </c>
      <c r="H51" s="218" t="s">
        <v>329</v>
      </c>
      <c r="I51" s="261">
        <f>INDEX(Site_Data_Table,MATCH($A51,'Site Data'!$A$5:$A$37,0),MATCH(I$30,Site_Data_Column_Names,0))</f>
        <v>20</v>
      </c>
      <c r="J51" s="246"/>
      <c r="K51" s="126"/>
      <c r="L51" s="537"/>
      <c r="M51" s="538"/>
      <c r="N51" s="539"/>
      <c r="O51" s="181"/>
      <c r="P51" s="265"/>
      <c r="Q51" s="265"/>
      <c r="R51" s="132" t="str">
        <f>IF(O51=0,"",IFERROR(O51*$I51*12/#REF!/1000,""))</f>
        <v/>
      </c>
      <c r="S51" s="331" t="str">
        <f>_xlfn.LET(_xlpm.val,INDEX('System Specification'!$H$15:$H$47,MATCH($A51,'System Specification'!$B$15:$B$47,0)),
IF(_xlpm.val="","",_xlpm.val))</f>
        <v>No</v>
      </c>
      <c r="T51" s="241">
        <f>IF($S51="No",0,INDEX(Site_Data_Table,MATCH($A51,'Site Data'!$A$5:$A$37,0),MATCH(T$30,Site_Data_Column_Names,0)))</f>
        <v>0</v>
      </c>
      <c r="U51" s="242">
        <f t="shared" si="0"/>
        <v>0</v>
      </c>
      <c r="V51" s="181"/>
      <c r="W51" s="287">
        <v>15000</v>
      </c>
      <c r="X51" s="174">
        <f t="shared" si="1"/>
        <v>15000</v>
      </c>
    </row>
    <row r="52" spans="1:24" ht="15.3" x14ac:dyDescent="0.55000000000000004">
      <c r="A52" s="61">
        <v>22</v>
      </c>
      <c r="B52" s="462" t="str">
        <f>INDEX(Site_Data_Table,MATCH($A52,'Site Data'!$A$5:$A$37,0),MATCH(B$30,Site_Data_Column_Names,0))</f>
        <v>Banning Justice Center</v>
      </c>
      <c r="C52" s="463" t="e">
        <f>INDEX(Site_Data_Table,MATCH($A52,'Site Data'!$A$5:$A$37,0),MATCH(C$30,Site_Data_Column_Names,0))</f>
        <v>#N/A</v>
      </c>
      <c r="D52" s="199" t="str">
        <f>INDEX(Site_Data_Table,MATCH($A52,'Site Data'!$A$5:$A$37,0),MATCH(D$30,Site_Data_Column_Names,0))</f>
        <v>33-G4</v>
      </c>
      <c r="E52" s="176">
        <f>INDEX(Prod_Yr_1,MATCH($A52,'System Specification'!$B$15:$B$46,0))</f>
        <v>0</v>
      </c>
      <c r="F52" s="179" t="str">
        <f>_xlfn.TEXTJOIN(" / ",1,INDEX('System Specification'!$L$15:$L$46,MATCH($A52,'System Specification'!$B$15:$B$46,0)),INDEX('System Specification'!$M$15:$M$46,MATCH($A52,'System Specification'!$B$15:$B$46,0)))</f>
        <v/>
      </c>
      <c r="G52" s="179" t="str">
        <f>INDEX(Site_Data_Table,MATCH($A52,'Site Data'!$A$5:$A$37,0),MATCH(G$30,Site_Data_Column_Names,0))</f>
        <v>City of Banning</v>
      </c>
      <c r="H52" s="179" t="s">
        <v>338</v>
      </c>
      <c r="I52" s="261">
        <f>INDEX(Site_Data_Table,MATCH($A52,'Site Data'!$A$5:$A$37,0),MATCH(I$30,Site_Data_Column_Names,0))</f>
        <v>20</v>
      </c>
      <c r="J52" s="247"/>
      <c r="K52" s="183"/>
      <c r="L52" s="540"/>
      <c r="M52" s="541"/>
      <c r="N52" s="542"/>
      <c r="O52" s="537"/>
      <c r="P52" s="546"/>
      <c r="Q52" s="546"/>
      <c r="R52" s="132" t="str">
        <f>IF(O52=0,"",IFERROR(O52*$I52*12/#REF!/1000,""))</f>
        <v/>
      </c>
      <c r="S52" s="331" t="str">
        <f>_xlfn.LET(_xlpm.val,INDEX('System Specification'!$H$15:$H$47,MATCH($A52,'System Specification'!$B$15:$B$47,0)),
IF(_xlpm.val="","",_xlpm.val))</f>
        <v>No</v>
      </c>
      <c r="T52" s="241">
        <f>IF($S52="No",0,INDEX(Site_Data_Table,MATCH($A52,'Site Data'!$A$5:$A$37,0),MATCH(T$30,Site_Data_Column_Names,0)))</f>
        <v>0</v>
      </c>
      <c r="U52" s="242">
        <f t="shared" si="0"/>
        <v>0</v>
      </c>
      <c r="V52" s="181"/>
      <c r="W52" s="287">
        <v>15000</v>
      </c>
      <c r="X52" s="174">
        <f t="shared" si="1"/>
        <v>15000</v>
      </c>
    </row>
    <row r="53" spans="1:24" ht="15.3" x14ac:dyDescent="0.55000000000000004">
      <c r="A53" s="61">
        <v>23</v>
      </c>
      <c r="B53" s="462" t="str">
        <f>INDEX(Site_Data_Table,MATCH($A53,'Site Data'!$A$5:$A$37,0),MATCH(B$30,Site_Data_Column_Names,0))</f>
        <v>San Benito County Superior Court</v>
      </c>
      <c r="C53" s="463" t="e">
        <f>INDEX(Site_Data_Table,MATCH($A53,'Site Data'!$A$5:$A$37,0),MATCH(C$30,Site_Data_Column_Names,0))</f>
        <v>#N/A</v>
      </c>
      <c r="D53" s="199" t="str">
        <f>INDEX(Site_Data_Table,MATCH($A53,'Site Data'!$A$5:$A$37,0),MATCH(D$30,Site_Data_Column_Names,0))</f>
        <v>35-C1</v>
      </c>
      <c r="E53" s="176">
        <f>INDEX(Prod_Yr_1,MATCH($A53,'System Specification'!$B$15:$B$46,0))</f>
        <v>0</v>
      </c>
      <c r="F53" s="179" t="str">
        <f>_xlfn.TEXTJOIN(" / ",1,INDEX('System Specification'!$L$15:$L$46,MATCH($A53,'System Specification'!$B$15:$B$46,0)),INDEX('System Specification'!$M$15:$M$46,MATCH($A53,'System Specification'!$B$15:$B$46,0)))</f>
        <v/>
      </c>
      <c r="G53" s="179" t="str">
        <f>INDEX(Site_Data_Table,MATCH($A53,'Site Data'!$A$5:$A$37,0),MATCH(G$30,Site_Data_Column_Names,0))</f>
        <v>PG&amp;E / CCCE</v>
      </c>
      <c r="H53" s="218" t="s">
        <v>329</v>
      </c>
      <c r="I53" s="261">
        <f>INDEX(Site_Data_Table,MATCH($A53,'Site Data'!$A$5:$A$37,0),MATCH(I$30,Site_Data_Column_Names,0))</f>
        <v>20</v>
      </c>
      <c r="J53" s="246"/>
      <c r="K53" s="126"/>
      <c r="L53" s="537"/>
      <c r="M53" s="538"/>
      <c r="N53" s="539"/>
      <c r="O53" s="181"/>
      <c r="P53" s="265"/>
      <c r="Q53" s="265"/>
      <c r="R53" s="132" t="str">
        <f>IF(O53=0,"",IFERROR(O53*$I53*12/#REF!/1000,""))</f>
        <v/>
      </c>
      <c r="S53" s="331" t="str">
        <f>_xlfn.LET(_xlpm.val,INDEX('System Specification'!$H$15:$H$47,MATCH($A53,'System Specification'!$B$15:$B$47,0)),
IF(_xlpm.val="","",_xlpm.val))</f>
        <v>No</v>
      </c>
      <c r="T53" s="241">
        <f>IF($S53="No",0,INDEX(Site_Data_Table,MATCH($A53,'Site Data'!$A$5:$A$37,0),MATCH(T$30,Site_Data_Column_Names,0)))</f>
        <v>0</v>
      </c>
      <c r="U53" s="242">
        <f t="shared" si="0"/>
        <v>0</v>
      </c>
      <c r="V53" s="181"/>
      <c r="W53" s="287">
        <v>15000</v>
      </c>
      <c r="X53" s="174">
        <f t="shared" si="1"/>
        <v>15000</v>
      </c>
    </row>
    <row r="54" spans="1:24" ht="15.3" x14ac:dyDescent="0.55000000000000004">
      <c r="A54" s="61">
        <v>24</v>
      </c>
      <c r="B54" s="462" t="str">
        <f>INDEX(Site_Data_Table,MATCH($A54,'Site Data'!$A$5:$A$37,0),MATCH(B$30,Site_Data_Column_Names,0))</f>
        <v>San Bernardino Justice Center</v>
      </c>
      <c r="C54" s="463" t="e">
        <f>INDEX(Site_Data_Table,MATCH($A54,'Site Data'!$A$5:$A$37,0),MATCH(C$30,Site_Data_Column_Names,0))</f>
        <v>#N/A</v>
      </c>
      <c r="D54" s="199" t="str">
        <f>INDEX(Site_Data_Table,MATCH($A54,'Site Data'!$A$5:$A$37,0),MATCH(D$30,Site_Data_Column_Names,0))</f>
        <v>36-R1</v>
      </c>
      <c r="E54" s="176">
        <f>INDEX(Prod_Yr_1,MATCH($A54,'System Specification'!$B$15:$B$46,0))</f>
        <v>0</v>
      </c>
      <c r="F54" s="179" t="str">
        <f>_xlfn.TEXTJOIN(" / ",1,INDEX('System Specification'!$L$15:$L$46,MATCH($A54,'System Specification'!$B$15:$B$46,0)),INDEX('System Specification'!$M$15:$M$46,MATCH($A54,'System Specification'!$B$15:$B$46,0)))</f>
        <v/>
      </c>
      <c r="G54" s="179" t="str">
        <f>INDEX(Site_Data_Table,MATCH($A54,'Site Data'!$A$5:$A$37,0),MATCH(G$30,Site_Data_Column_Names,0))</f>
        <v>SCE</v>
      </c>
      <c r="H54" s="218" t="s">
        <v>329</v>
      </c>
      <c r="I54" s="261">
        <f>INDEX(Site_Data_Table,MATCH($A54,'Site Data'!$A$5:$A$37,0),MATCH(I$30,Site_Data_Column_Names,0))</f>
        <v>20</v>
      </c>
      <c r="J54" s="246"/>
      <c r="K54" s="126"/>
      <c r="L54" s="537"/>
      <c r="M54" s="538"/>
      <c r="N54" s="539"/>
      <c r="O54" s="181"/>
      <c r="P54" s="265"/>
      <c r="Q54" s="265"/>
      <c r="R54" s="132" t="str">
        <f>IF(O54=0,"",IFERROR(O54*$I54*12/#REF!/1000,""))</f>
        <v/>
      </c>
      <c r="S54" s="331" t="str">
        <f>_xlfn.LET(_xlpm.val,INDEX('System Specification'!$H$15:$H$47,MATCH($A54,'System Specification'!$B$15:$B$47,0)),
IF(_xlpm.val="","",_xlpm.val))</f>
        <v>No</v>
      </c>
      <c r="T54" s="241">
        <f>IF($S54="No",0,INDEX(Site_Data_Table,MATCH($A54,'Site Data'!$A$5:$A$37,0),MATCH(T$30,Site_Data_Column_Names,0)))</f>
        <v>0</v>
      </c>
      <c r="U54" s="242">
        <f t="shared" si="0"/>
        <v>0</v>
      </c>
      <c r="V54" s="181"/>
      <c r="W54" s="287">
        <v>15000</v>
      </c>
      <c r="X54" s="174">
        <f t="shared" si="1"/>
        <v>15000</v>
      </c>
    </row>
    <row r="55" spans="1:24" ht="15.3" x14ac:dyDescent="0.55000000000000004">
      <c r="A55" s="61">
        <v>25</v>
      </c>
      <c r="B55" s="462" t="str">
        <f>INDEX(Site_Data_Table,MATCH($A55,'Site Data'!$A$5:$A$37,0),MATCH(B$30,Site_Data_Column_Names,0))</f>
        <v>Kearny Mesa Court</v>
      </c>
      <c r="C55" s="463" t="e">
        <f>INDEX(Site_Data_Table,MATCH($A55,'Site Data'!$A$5:$A$37,0),MATCH(C$30,Site_Data_Column_Names,0))</f>
        <v>#N/A</v>
      </c>
      <c r="D55" s="199" t="str">
        <f>INDEX(Site_Data_Table,MATCH($A55,'Site Data'!$A$5:$A$37,0),MATCH(D$30,Site_Data_Column_Names,0))</f>
        <v>37-C1</v>
      </c>
      <c r="E55" s="176">
        <f>INDEX(Prod_Yr_1,MATCH($A55,'System Specification'!$B$15:$B$46,0))</f>
        <v>0</v>
      </c>
      <c r="F55" s="179" t="str">
        <f>_xlfn.TEXTJOIN(" / ",1,INDEX('System Specification'!$L$15:$L$46,MATCH($A55,'System Specification'!$B$15:$B$46,0)),INDEX('System Specification'!$M$15:$M$46,MATCH($A55,'System Specification'!$B$15:$B$46,0)))</f>
        <v/>
      </c>
      <c r="G55" s="179" t="str">
        <f>INDEX(Site_Data_Table,MATCH($A55,'Site Data'!$A$5:$A$37,0),MATCH(G$30,Site_Data_Column_Names,0))</f>
        <v>SDG&amp;E / SDCP</v>
      </c>
      <c r="H55" s="218" t="s">
        <v>329</v>
      </c>
      <c r="I55" s="261">
        <f>INDEX(Site_Data_Table,MATCH($A55,'Site Data'!$A$5:$A$37,0),MATCH(I$30,Site_Data_Column_Names,0))</f>
        <v>20</v>
      </c>
      <c r="J55" s="246"/>
      <c r="K55" s="126"/>
      <c r="L55" s="537"/>
      <c r="M55" s="538"/>
      <c r="N55" s="539"/>
      <c r="O55" s="181"/>
      <c r="P55" s="265"/>
      <c r="Q55" s="265"/>
      <c r="R55" s="132" t="str">
        <f>IF(O55=0,"",IFERROR(O55*$I55*12/#REF!/1000,""))</f>
        <v/>
      </c>
      <c r="S55" s="331" t="str">
        <f>_xlfn.LET(_xlpm.val,INDEX('System Specification'!$H$15:$H$47,MATCH($A55,'System Specification'!$B$15:$B$47,0)),
IF(_xlpm.val="","",_xlpm.val))</f>
        <v/>
      </c>
      <c r="T55" s="241" t="str">
        <f>IF($S55="No",0,INDEX(Site_Data_Table,MATCH($A55,'Site Data'!$A$5:$A$37,0),MATCH(T$30,Site_Data_Column_Names,0)))</f>
        <v/>
      </c>
      <c r="U55" s="242" t="str">
        <f t="shared" si="0"/>
        <v/>
      </c>
      <c r="V55" s="181"/>
      <c r="W55" s="287">
        <v>15000</v>
      </c>
      <c r="X55" s="174">
        <f t="shared" si="1"/>
        <v>15000</v>
      </c>
    </row>
    <row r="56" spans="1:24" ht="15.3" x14ac:dyDescent="0.55000000000000004">
      <c r="A56" s="61">
        <v>26</v>
      </c>
      <c r="B56" s="462" t="str">
        <f>INDEX(Site_Data_Table,MATCH($A56,'Site Data'!$A$5:$A$37,0),MATCH(B$30,Site_Data_Column_Names,0))</f>
        <v>East County Regional Center</v>
      </c>
      <c r="C56" s="463" t="e">
        <f>INDEX(Site_Data_Table,MATCH($A56,'Site Data'!$A$5:$A$37,0),MATCH(C$30,Site_Data_Column_Names,0))</f>
        <v>#N/A</v>
      </c>
      <c r="D56" s="199" t="str">
        <f>INDEX(Site_Data_Table,MATCH($A56,'Site Data'!$A$5:$A$37,0),MATCH(D$30,Site_Data_Column_Names,0))</f>
        <v>37-I1</v>
      </c>
      <c r="E56" s="176">
        <f>INDEX(Prod_Yr_1,MATCH($A56,'System Specification'!$B$15:$B$46,0))</f>
        <v>0</v>
      </c>
      <c r="F56" s="179" t="str">
        <f>_xlfn.TEXTJOIN(" / ",1,INDEX('System Specification'!$L$15:$L$46,MATCH($A56,'System Specification'!$B$15:$B$46,0)),INDEX('System Specification'!$M$15:$M$46,MATCH($A56,'System Specification'!$B$15:$B$46,0)))</f>
        <v/>
      </c>
      <c r="G56" s="179" t="str">
        <f>INDEX(Site_Data_Table,MATCH($A56,'Site Data'!$A$5:$A$37,0),MATCH(G$30,Site_Data_Column_Names,0))</f>
        <v>SDG&amp;E</v>
      </c>
      <c r="H56" s="218" t="s">
        <v>329</v>
      </c>
      <c r="I56" s="261">
        <f>INDEX(Site_Data_Table,MATCH($A56,'Site Data'!$A$5:$A$37,0),MATCH(I$30,Site_Data_Column_Names,0))</f>
        <v>20</v>
      </c>
      <c r="J56" s="246"/>
      <c r="K56" s="126"/>
      <c r="L56" s="537"/>
      <c r="M56" s="538"/>
      <c r="N56" s="539"/>
      <c r="O56" s="181"/>
      <c r="P56" s="265"/>
      <c r="Q56" s="265"/>
      <c r="R56" s="132" t="str">
        <f>IF(O56=0,"",IFERROR(O56*$I56*12/#REF!/1000,""))</f>
        <v/>
      </c>
      <c r="S56" s="331" t="str">
        <f>_xlfn.LET(_xlpm.val,INDEX('System Specification'!$H$15:$H$47,MATCH($A56,'System Specification'!$B$15:$B$47,0)),
IF(_xlpm.val="","",_xlpm.val))</f>
        <v>No</v>
      </c>
      <c r="T56" s="241">
        <f>IF($S56="No",0,INDEX(Site_Data_Table,MATCH($A56,'Site Data'!$A$5:$A$37,0),MATCH(T$30,Site_Data_Column_Names,0)))</f>
        <v>0</v>
      </c>
      <c r="U56" s="242">
        <f t="shared" si="0"/>
        <v>0</v>
      </c>
      <c r="V56" s="181"/>
      <c r="W56" s="287">
        <v>15000</v>
      </c>
      <c r="X56" s="174">
        <f t="shared" si="1"/>
        <v>15000</v>
      </c>
    </row>
    <row r="57" spans="1:24" ht="15.3" x14ac:dyDescent="0.55000000000000004">
      <c r="A57" s="61">
        <v>27</v>
      </c>
      <c r="B57" s="462" t="str">
        <f>INDEX(Site_Data_Table,MATCH($A57,'Site Data'!$A$5:$A$37,0),MATCH(B$30,Site_Data_Column_Names,0))</f>
        <v>Northern Branch Courthouse</v>
      </c>
      <c r="C57" s="463" t="e">
        <f>INDEX(Site_Data_Table,MATCH($A57,'Site Data'!$A$5:$A$37,0),MATCH(C$30,Site_Data_Column_Names,0))</f>
        <v>#N/A</v>
      </c>
      <c r="D57" s="199" t="str">
        <f>INDEX(Site_Data_Table,MATCH($A57,'Site Data'!$A$5:$A$37,0),MATCH(D$30,Site_Data_Column_Names,0))</f>
        <v>41-C1</v>
      </c>
      <c r="E57" s="176">
        <f>INDEX(Prod_Yr_1,MATCH($A57,'System Specification'!$B$15:$B$46,0))</f>
        <v>0</v>
      </c>
      <c r="F57" s="179" t="str">
        <f>_xlfn.TEXTJOIN(" / ",1,INDEX('System Specification'!$L$15:$L$46,MATCH($A57,'System Specification'!$B$15:$B$46,0)),INDEX('System Specification'!$M$15:$M$46,MATCH($A57,'System Specification'!$B$15:$B$46,0)))</f>
        <v/>
      </c>
      <c r="G57" s="179" t="str">
        <f>INDEX(Site_Data_Table,MATCH($A57,'Site Data'!$A$5:$A$37,0),MATCH(G$30,Site_Data_Column_Names,0))</f>
        <v>PG&amp;E / PCE</v>
      </c>
      <c r="H57" s="218" t="s">
        <v>329</v>
      </c>
      <c r="I57" s="261">
        <f>INDEX(Site_Data_Table,MATCH($A57,'Site Data'!$A$5:$A$37,0),MATCH(I$30,Site_Data_Column_Names,0))</f>
        <v>20</v>
      </c>
      <c r="J57" s="246"/>
      <c r="K57" s="126"/>
      <c r="L57" s="537"/>
      <c r="M57" s="538"/>
      <c r="N57" s="539"/>
      <c r="O57" s="181"/>
      <c r="P57" s="265"/>
      <c r="Q57" s="265"/>
      <c r="R57" s="132" t="str">
        <f>IF(O57=0,"",IFERROR(O57*$I57*12/#REF!/1000,""))</f>
        <v/>
      </c>
      <c r="S57" s="331" t="str">
        <f>_xlfn.LET(_xlpm.val,INDEX('System Specification'!$H$15:$H$47,MATCH($A57,'System Specification'!$B$15:$B$47,0)),
IF(_xlpm.val="","",_xlpm.val))</f>
        <v>No</v>
      </c>
      <c r="T57" s="241">
        <f>IF($S57="No",0,INDEX(Site_Data_Table,MATCH($A57,'Site Data'!$A$5:$A$37,0),MATCH(T$30,Site_Data_Column_Names,0)))</f>
        <v>0</v>
      </c>
      <c r="U57" s="242">
        <f t="shared" si="0"/>
        <v>0</v>
      </c>
      <c r="V57" s="181"/>
      <c r="W57" s="287">
        <v>15000</v>
      </c>
      <c r="X57" s="174">
        <f t="shared" si="1"/>
        <v>15000</v>
      </c>
    </row>
    <row r="58" spans="1:24" ht="15.3" x14ac:dyDescent="0.55000000000000004">
      <c r="A58" s="61">
        <v>28</v>
      </c>
      <c r="B58" s="462" t="str">
        <f>INDEX(Site_Data_Table,MATCH($A58,'Site Data'!$A$5:$A$37,0),MATCH(B$30,Site_Data_Column_Names,0))</f>
        <v>Downtown Superior Court</v>
      </c>
      <c r="C58" s="463" t="e">
        <f>INDEX(Site_Data_Table,MATCH($A58,'Site Data'!$A$5:$A$37,0),MATCH(C$30,Site_Data_Column_Names,0))</f>
        <v>#N/A</v>
      </c>
      <c r="D58" s="199" t="str">
        <f>INDEX(Site_Data_Table,MATCH($A58,'Site Data'!$A$5:$A$37,0),MATCH(D$30,Site_Data_Column_Names,0))</f>
        <v>43-B1</v>
      </c>
      <c r="E58" s="176">
        <f>INDEX(Prod_Yr_1,MATCH($A58,'System Specification'!$B$15:$B$46,0))</f>
        <v>0</v>
      </c>
      <c r="F58" s="179" t="str">
        <f>_xlfn.TEXTJOIN(" / ",1,INDEX('System Specification'!$L$15:$L$46,MATCH($A58,'System Specification'!$B$15:$B$46,0)),INDEX('System Specification'!$M$15:$M$46,MATCH($A58,'System Specification'!$B$15:$B$46,0)))</f>
        <v/>
      </c>
      <c r="G58" s="179" t="str">
        <f>INDEX(Site_Data_Table,MATCH($A58,'Site Data'!$A$5:$A$37,0),MATCH(G$30,Site_Data_Column_Names,0))</f>
        <v>PG&amp;E / SJCE</v>
      </c>
      <c r="H58" s="218" t="s">
        <v>329</v>
      </c>
      <c r="I58" s="261">
        <f>INDEX(Site_Data_Table,MATCH($A58,'Site Data'!$A$5:$A$37,0),MATCH(I$30,Site_Data_Column_Names,0))</f>
        <v>20</v>
      </c>
      <c r="J58" s="246"/>
      <c r="K58" s="126"/>
      <c r="L58" s="537"/>
      <c r="M58" s="538"/>
      <c r="N58" s="539"/>
      <c r="O58" s="181"/>
      <c r="P58" s="265"/>
      <c r="Q58" s="265"/>
      <c r="R58" s="132" t="str">
        <f>IF(O58=0,"",IFERROR(O58*$I58*12/#REF!/1000,""))</f>
        <v/>
      </c>
      <c r="S58" s="331" t="str">
        <f>_xlfn.LET(_xlpm.val,INDEX('System Specification'!$H$15:$H$47,MATCH($A58,'System Specification'!$B$15:$B$47,0)),
IF(_xlpm.val="","",_xlpm.val))</f>
        <v>No</v>
      </c>
      <c r="T58" s="241">
        <f>IF($S58="No",0,INDEX(Site_Data_Table,MATCH($A58,'Site Data'!$A$5:$A$37,0),MATCH(T$30,Site_Data_Column_Names,0)))</f>
        <v>0</v>
      </c>
      <c r="U58" s="242">
        <f t="shared" si="0"/>
        <v>0</v>
      </c>
      <c r="V58" s="181"/>
      <c r="W58" s="287">
        <v>15000</v>
      </c>
      <c r="X58" s="174">
        <f t="shared" si="1"/>
        <v>15000</v>
      </c>
    </row>
    <row r="59" spans="1:24" ht="15.3" x14ac:dyDescent="0.55000000000000004">
      <c r="A59" s="61">
        <v>29</v>
      </c>
      <c r="B59" s="462" t="str">
        <f>INDEX(Site_Data_Table,MATCH($A59,'Site Data'!$A$5:$A$37,0),MATCH(B$30,Site_Data_Column_Names,0))</f>
        <v>Sutter County Superior Courthouse</v>
      </c>
      <c r="C59" s="463" t="e">
        <f>INDEX(Site_Data_Table,MATCH($A59,'Site Data'!$A$5:$A$37,0),MATCH(C$30,Site_Data_Column_Names,0))</f>
        <v>#N/A</v>
      </c>
      <c r="D59" s="199" t="str">
        <f>INDEX(Site_Data_Table,MATCH($A59,'Site Data'!$A$5:$A$37,0),MATCH(D$30,Site_Data_Column_Names,0))</f>
        <v>51-C1</v>
      </c>
      <c r="E59" s="176">
        <f>INDEX(Prod_Yr_1,MATCH($A59,'System Specification'!$B$15:$B$46,0))</f>
        <v>0</v>
      </c>
      <c r="F59" s="179" t="str">
        <f>_xlfn.TEXTJOIN(" / ",1,INDEX('System Specification'!$L$15:$L$46,MATCH($A59,'System Specification'!$B$15:$B$46,0)),INDEX('System Specification'!$M$15:$M$46,MATCH($A59,'System Specification'!$B$15:$B$46,0)))</f>
        <v/>
      </c>
      <c r="G59" s="179" t="str">
        <f>INDEX(Site_Data_Table,MATCH($A59,'Site Data'!$A$5:$A$37,0),MATCH(G$30,Site_Data_Column_Names,0))</f>
        <v>PG&amp;E</v>
      </c>
      <c r="H59" s="218" t="s">
        <v>329</v>
      </c>
      <c r="I59" s="261">
        <f>INDEX(Site_Data_Table,MATCH($A59,'Site Data'!$A$5:$A$37,0),MATCH(I$30,Site_Data_Column_Names,0))</f>
        <v>20</v>
      </c>
      <c r="J59" s="246"/>
      <c r="K59" s="126"/>
      <c r="L59" s="537"/>
      <c r="M59" s="538"/>
      <c r="N59" s="539"/>
      <c r="O59" s="181"/>
      <c r="P59" s="265"/>
      <c r="Q59" s="265"/>
      <c r="R59" s="132" t="str">
        <f>IF(O59=0,"",IFERROR(O59*$I59*12/#REF!/1000,""))</f>
        <v/>
      </c>
      <c r="S59" s="331" t="str">
        <f>_xlfn.LET(_xlpm.val,INDEX('System Specification'!$H$15:$H$47,MATCH($A59,'System Specification'!$B$15:$B$47,0)),
IF(_xlpm.val="","",_xlpm.val))</f>
        <v>No</v>
      </c>
      <c r="T59" s="241">
        <f>IF($S59="No",0,INDEX(Site_Data_Table,MATCH($A59,'Site Data'!$A$5:$A$37,0),MATCH(T$30,Site_Data_Column_Names,0)))</f>
        <v>0</v>
      </c>
      <c r="U59" s="242">
        <f t="shared" si="0"/>
        <v>0</v>
      </c>
      <c r="V59" s="181"/>
      <c r="W59" s="287">
        <v>15000</v>
      </c>
      <c r="X59" s="174">
        <f t="shared" si="1"/>
        <v>15000</v>
      </c>
    </row>
    <row r="60" spans="1:24" ht="15.3" x14ac:dyDescent="0.55000000000000004">
      <c r="A60" s="61">
        <v>30</v>
      </c>
      <c r="B60" s="462" t="str">
        <f>INDEX(Site_Data_Table,MATCH($A60,'Site Data'!$A$5:$A$37,0),MATCH(B$30,Site_Data_Column_Names,0))</f>
        <v>Tehama County Courthouse</v>
      </c>
      <c r="C60" s="463" t="e">
        <f>INDEX(Site_Data_Table,MATCH($A60,'Site Data'!$A$5:$A$37,0),MATCH(C$30,Site_Data_Column_Names,0))</f>
        <v>#N/A</v>
      </c>
      <c r="D60" s="199" t="str">
        <f>INDEX(Site_Data_Table,MATCH($A60,'Site Data'!$A$5:$A$37,0),MATCH(D$30,Site_Data_Column_Names,0))</f>
        <v>52-E1</v>
      </c>
      <c r="E60" s="176">
        <f>INDEX(Prod_Yr_1,MATCH($A60,'System Specification'!$B$15:$B$46,0))</f>
        <v>0</v>
      </c>
      <c r="F60" s="179" t="str">
        <f>_xlfn.TEXTJOIN(" / ",1,INDEX('System Specification'!$L$15:$L$46,MATCH($A60,'System Specification'!$B$15:$B$46,0)),INDEX('System Specification'!$M$15:$M$46,MATCH($A60,'System Specification'!$B$15:$B$46,0)))</f>
        <v/>
      </c>
      <c r="G60" s="179" t="str">
        <f>INDEX(Site_Data_Table,MATCH($A60,'Site Data'!$A$5:$A$37,0),MATCH(G$30,Site_Data_Column_Names,0))</f>
        <v>PG&amp;E</v>
      </c>
      <c r="H60" s="218" t="s">
        <v>329</v>
      </c>
      <c r="I60" s="261">
        <f>INDEX(Site_Data_Table,MATCH($A60,'Site Data'!$A$5:$A$37,0),MATCH(I$30,Site_Data_Column_Names,0))</f>
        <v>20</v>
      </c>
      <c r="J60" s="246"/>
      <c r="K60" s="126"/>
      <c r="L60" s="537"/>
      <c r="M60" s="538"/>
      <c r="N60" s="539"/>
      <c r="O60" s="181"/>
      <c r="P60" s="265"/>
      <c r="Q60" s="265"/>
      <c r="R60" s="132" t="str">
        <f>IF(O60=0,"",IFERROR(O60*$I60*12/#REF!/1000,""))</f>
        <v/>
      </c>
      <c r="S60" s="331" t="str">
        <f>_xlfn.LET(_xlpm.val,INDEX('System Specification'!$H$15:$H$47,MATCH($A60,'System Specification'!$B$15:$B$47,0)),
IF(_xlpm.val="","",_xlpm.val))</f>
        <v/>
      </c>
      <c r="T60" s="241">
        <f>IF($S60="No",0,INDEX(Site_Data_Table,MATCH($A60,'Site Data'!$A$5:$A$37,0),MATCH(T$30,Site_Data_Column_Names,0)))</f>
        <v>0</v>
      </c>
      <c r="U60" s="242">
        <f t="shared" si="0"/>
        <v>0</v>
      </c>
      <c r="V60" s="181"/>
      <c r="W60" s="287">
        <v>15000</v>
      </c>
      <c r="X60" s="174">
        <f t="shared" si="1"/>
        <v>15000</v>
      </c>
    </row>
    <row r="61" spans="1:24" ht="15.3" x14ac:dyDescent="0.55000000000000004">
      <c r="A61" s="61">
        <v>31</v>
      </c>
      <c r="B61" s="462" t="str">
        <f>INDEX(Site_Data_Table,MATCH($A61,'Site Data'!$A$5:$A$37,0),MATCH(B$30,Site_Data_Column_Names,0))</f>
        <v>South County Justice Center</v>
      </c>
      <c r="C61" s="463" t="e">
        <f>INDEX(Site_Data_Table,MATCH($A61,'Site Data'!$A$5:$A$37,0),MATCH(C$30,Site_Data_Column_Names,0))</f>
        <v>#N/A</v>
      </c>
      <c r="D61" s="199" t="str">
        <f>INDEX(Site_Data_Table,MATCH($A61,'Site Data'!$A$5:$A$37,0),MATCH(D$30,Site_Data_Column_Names,0))</f>
        <v>54-I1</v>
      </c>
      <c r="E61" s="176">
        <f>INDEX(Prod_Yr_1,MATCH($A61,'System Specification'!$B$15:$B$46,0))</f>
        <v>0</v>
      </c>
      <c r="F61" s="179" t="str">
        <f>_xlfn.TEXTJOIN(" / ",1,INDEX('System Specification'!$L$15:$L$46,MATCH($A61,'System Specification'!$B$15:$B$46,0)),INDEX('System Specification'!$M$15:$M$46,MATCH($A61,'System Specification'!$B$15:$B$46,0)))</f>
        <v/>
      </c>
      <c r="G61" s="179" t="str">
        <f>INDEX(Site_Data_Table,MATCH($A61,'Site Data'!$A$5:$A$37,0),MATCH(G$30,Site_Data_Column_Names,0))</f>
        <v>SCE</v>
      </c>
      <c r="H61" s="218" t="s">
        <v>329</v>
      </c>
      <c r="I61" s="261">
        <f>INDEX(Site_Data_Table,MATCH($A61,'Site Data'!$A$5:$A$37,0),MATCH(I$30,Site_Data_Column_Names,0))</f>
        <v>20</v>
      </c>
      <c r="J61" s="246"/>
      <c r="K61" s="126"/>
      <c r="L61" s="537"/>
      <c r="M61" s="538"/>
      <c r="N61" s="539"/>
      <c r="O61" s="181"/>
      <c r="P61" s="265"/>
      <c r="Q61" s="265"/>
      <c r="R61" s="132" t="str">
        <f>IF(O61=0,"",IFERROR(O61*$I61*12/#REF!/1000,""))</f>
        <v/>
      </c>
      <c r="S61" s="331" t="str">
        <f>_xlfn.LET(_xlpm.val,INDEX('System Specification'!$H$15:$H$47,MATCH($A61,'System Specification'!$B$15:$B$47,0)),
IF(_xlpm.val="","",_xlpm.val))</f>
        <v>No</v>
      </c>
      <c r="T61" s="241">
        <f>IF($S61="No",0,INDEX(Site_Data_Table,MATCH($A61,'Site Data'!$A$5:$A$37,0),MATCH(T$30,Site_Data_Column_Names,0)))</f>
        <v>0</v>
      </c>
      <c r="U61" s="242">
        <f t="shared" si="0"/>
        <v>0</v>
      </c>
      <c r="V61" s="181"/>
      <c r="W61" s="287">
        <v>15000</v>
      </c>
      <c r="X61" s="174">
        <f t="shared" si="1"/>
        <v>15000</v>
      </c>
    </row>
    <row r="62" spans="1:24" ht="15.6" customHeight="1" thickBot="1" x14ac:dyDescent="0.6">
      <c r="A62" s="62">
        <v>32</v>
      </c>
      <c r="B62" s="476" t="str">
        <f>INDEX(Site_Data_Table,MATCH($A62,'Site Data'!$A$5:$A$37,0),MATCH(B$30,Site_Data_Column_Names,0))</f>
        <v>Yolo Superior Court</v>
      </c>
      <c r="C62" s="477" t="e">
        <f>INDEX(Site_Data_Table,MATCH($A62,'Site Data'!$A$5:$A$37,0),MATCH(C$30,Site_Data_Column_Names,0))</f>
        <v>#N/A</v>
      </c>
      <c r="D62" s="200" t="str">
        <f>INDEX(Site_Data_Table,MATCH($A62,'Site Data'!$A$5:$A$37,0),MATCH(D$30,Site_Data_Column_Names,0))</f>
        <v>57-A10</v>
      </c>
      <c r="E62" s="197">
        <f>INDEX(Prod_Yr_1,MATCH($A62,'System Specification'!$B$15:$B$46,0))</f>
        <v>0</v>
      </c>
      <c r="F62" s="198" t="str">
        <f>_xlfn.TEXTJOIN(" / ",1,INDEX('System Specification'!$L$15:$L$46,MATCH($A62,'System Specification'!$B$15:$B$46,0)),INDEX('System Specification'!$M$15:$M$46,MATCH($A62,'System Specification'!$B$15:$B$46,0)))</f>
        <v/>
      </c>
      <c r="G62" s="198" t="str">
        <f>INDEX(Site_Data_Table,MATCH($A62,'Site Data'!$A$5:$A$37,0),MATCH(G$30,Site_Data_Column_Names,0))</f>
        <v>PG&amp;E / VCEA</v>
      </c>
      <c r="H62" s="312" t="s">
        <v>329</v>
      </c>
      <c r="I62" s="262">
        <f>INDEX(Site_Data_Table,MATCH($A62,'Site Data'!$A$5:$A$37,0),MATCH(I$30,Site_Data_Column_Names,0))</f>
        <v>20</v>
      </c>
      <c r="J62" s="248"/>
      <c r="K62" s="106"/>
      <c r="L62" s="543"/>
      <c r="M62" s="544"/>
      <c r="N62" s="545"/>
      <c r="O62" s="182"/>
      <c r="P62" s="266"/>
      <c r="Q62" s="266"/>
      <c r="R62" s="133" t="str">
        <f>IF(O62=0,"",IFERROR(O62*$I62*12/#REF!/1000,""))</f>
        <v/>
      </c>
      <c r="S62" s="332" t="str">
        <f>_xlfn.LET(_xlpm.val,INDEX('System Specification'!$H$15:$H$47,MATCH($A62,'System Specification'!$B$15:$B$47,0)),
IF(_xlpm.val="","",_xlpm.val))</f>
        <v/>
      </c>
      <c r="T62" s="243" t="str">
        <f>IF($S62="No",0,INDEX(Site_Data_Table,MATCH($A62,'Site Data'!$A$5:$A$37,0),MATCH(T$30,Site_Data_Column_Names,0)))</f>
        <v/>
      </c>
      <c r="U62" s="244" t="str">
        <f t="shared" si="0"/>
        <v/>
      </c>
      <c r="V62" s="202"/>
      <c r="W62" s="289">
        <v>15000</v>
      </c>
      <c r="X62" s="175">
        <f t="shared" si="1"/>
        <v>15000</v>
      </c>
    </row>
    <row r="63" spans="1:24" ht="15.6" thickBot="1" x14ac:dyDescent="0.6">
      <c r="A63" s="57"/>
      <c r="B63" s="57"/>
      <c r="C63" s="57"/>
      <c r="D63" s="57"/>
      <c r="E63" s="194">
        <f>SUM(E31:E62)</f>
        <v>0</v>
      </c>
      <c r="F63" s="195"/>
      <c r="G63" s="195"/>
      <c r="H63" s="195"/>
      <c r="I63" s="196"/>
      <c r="J63" s="249" t="e" cm="1">
        <f t="array" ref="J63">SUMPRODUCT($E$31:$E$62,J$31:J$62)/SUMPRODUCT($E$31:$E$62*(J$31:J$62&gt;0))</f>
        <v>#DIV/0!</v>
      </c>
      <c r="K63" s="127">
        <f>SUM(K31:K62)</f>
        <v>0</v>
      </c>
      <c r="L63" s="128">
        <f>SUM(L31:L62)</f>
        <v>0</v>
      </c>
      <c r="M63" s="302" t="e" cm="1">
        <f t="array" ref="M63">SUMPRODUCT($E$31:$E$62,M$31:M$62)/SUMPRODUCT($E$31:$E$62*(M$31:M$62&gt;0))</f>
        <v>#DIV/0!</v>
      </c>
      <c r="N63" s="303" t="e" cm="1">
        <f t="array" ref="N63">SUMPRODUCT($E$31:$E$62,N$31:N$62)/SUMPRODUCT($E$31:$E$62*(N$31:N$62&gt;0))</f>
        <v>#DIV/0!</v>
      </c>
      <c r="O63" s="128">
        <f>SUM(O31:O62)</f>
        <v>0</v>
      </c>
      <c r="P63" s="267" t="e" cm="1">
        <f t="array" ref="P63">SUMPRODUCT($E$31:$E$62,P$31:P$62)/SUMPRODUCT($E$31:$E$62*(P$31:P$62&gt;0))</f>
        <v>#DIV/0!</v>
      </c>
      <c r="Q63" s="267" t="e" cm="1">
        <f t="array" ref="Q63">SUMPRODUCT($E$31:$E$62,Q$31:Q$62)/SUMPRODUCT($E$31:$E$62*(Q$31:Q$62&gt;0))</f>
        <v>#DIV/0!</v>
      </c>
      <c r="R63" s="130"/>
      <c r="S63" s="330"/>
      <c r="T63" s="170">
        <f>SUM(T31:T62)</f>
        <v>52000</v>
      </c>
      <c r="U63" s="171">
        <f t="shared" ref="U63:X63" si="2">SUM(U31:U62)</f>
        <v>2080000</v>
      </c>
      <c r="V63" s="128">
        <f t="shared" si="2"/>
        <v>600000</v>
      </c>
      <c r="W63" s="128">
        <f t="shared" si="2"/>
        <v>480000</v>
      </c>
      <c r="X63" s="129">
        <f t="shared" si="2"/>
        <v>3160000</v>
      </c>
    </row>
    <row r="64" spans="1:24" ht="12.75" customHeight="1" x14ac:dyDescent="0.95">
      <c r="A64" s="71"/>
      <c r="K64" s="286"/>
    </row>
  </sheetData>
  <sheetProtection algorithmName="SHA-512" hashValue="IlIqs7m3IoPKVrmGnwjNqfG+FRz4VKMYy8E5FMDJoUVusNFzgDkzuQl2o3JK8rCQ84obebuyocSexTYm7gV8eQ==" saltValue="NK7dR9O7FNdGJY5JkZOEmg==" spinCount="100000" sheet="1" objects="1" scenarios="1"/>
  <mergeCells count="72">
    <mergeCell ref="A11:D11"/>
    <mergeCell ref="H11:O11"/>
    <mergeCell ref="A1:L1"/>
    <mergeCell ref="A6:B6"/>
    <mergeCell ref="C6:E6"/>
    <mergeCell ref="A10:D10"/>
    <mergeCell ref="H10:O10"/>
    <mergeCell ref="A12:D12"/>
    <mergeCell ref="H12:O12"/>
    <mergeCell ref="A13:D13"/>
    <mergeCell ref="H13:O13"/>
    <mergeCell ref="A14:D14"/>
    <mergeCell ref="H14:O14"/>
    <mergeCell ref="A15:D15"/>
    <mergeCell ref="H15:O15"/>
    <mergeCell ref="A16:D16"/>
    <mergeCell ref="H16:O16"/>
    <mergeCell ref="A17:D17"/>
    <mergeCell ref="H17:O17"/>
    <mergeCell ref="A18:D18"/>
    <mergeCell ref="H18:O18"/>
    <mergeCell ref="A19:D19"/>
    <mergeCell ref="H19:O19"/>
    <mergeCell ref="A20:D20"/>
    <mergeCell ref="H20:O20"/>
    <mergeCell ref="A21:D21"/>
    <mergeCell ref="H21:O21"/>
    <mergeCell ref="A22:D22"/>
    <mergeCell ref="H22:O22"/>
    <mergeCell ref="A23:D23"/>
    <mergeCell ref="H23:O23"/>
    <mergeCell ref="B36:C36"/>
    <mergeCell ref="B37:C37"/>
    <mergeCell ref="B38:C38"/>
    <mergeCell ref="B39:C39"/>
    <mergeCell ref="A24:D24"/>
    <mergeCell ref="B31:C31"/>
    <mergeCell ref="B32:C32"/>
    <mergeCell ref="B33:C33"/>
    <mergeCell ref="B34:C34"/>
    <mergeCell ref="B35:C35"/>
    <mergeCell ref="A29:I29"/>
    <mergeCell ref="H24:O24"/>
    <mergeCell ref="A25:D25"/>
    <mergeCell ref="H25:O25"/>
    <mergeCell ref="J29:N29"/>
    <mergeCell ref="S29:X29"/>
    <mergeCell ref="B52:C52"/>
    <mergeCell ref="B41:C41"/>
    <mergeCell ref="B42:C42"/>
    <mergeCell ref="B43:C43"/>
    <mergeCell ref="B44:C44"/>
    <mergeCell ref="B45:C45"/>
    <mergeCell ref="B46:C46"/>
    <mergeCell ref="B47:C47"/>
    <mergeCell ref="B48:C48"/>
    <mergeCell ref="B49:C49"/>
    <mergeCell ref="B50:C50"/>
    <mergeCell ref="B51:C51"/>
    <mergeCell ref="O29:R29"/>
    <mergeCell ref="B40:C40"/>
    <mergeCell ref="B30:C30"/>
    <mergeCell ref="B59:C59"/>
    <mergeCell ref="B60:C60"/>
    <mergeCell ref="B61:C61"/>
    <mergeCell ref="B62:C62"/>
    <mergeCell ref="B53:C53"/>
    <mergeCell ref="B54:C54"/>
    <mergeCell ref="B55:C55"/>
    <mergeCell ref="B56:C56"/>
    <mergeCell ref="B57:C57"/>
    <mergeCell ref="B58:C58"/>
  </mergeCells>
  <pageMargins left="0.5" right="0.5" top="0.5" bottom="0.75" header="0.3" footer="0.3"/>
  <pageSetup scale="40" orientation="portrait" r:id="rId1"/>
  <headerFooter>
    <oddFooter>&amp;L&amp;D&amp;R&amp;F | &amp;A |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BF04-B8BB-4091-B634-6E7691F5D96C}">
  <sheetPr>
    <tabColor rgb="FFFFFFA7"/>
  </sheetPr>
  <dimension ref="A1:W64"/>
  <sheetViews>
    <sheetView showGridLines="0" zoomScale="80" zoomScaleNormal="80" workbookViewId="0">
      <selection activeCell="E31" sqref="E31:E62"/>
    </sheetView>
  </sheetViews>
  <sheetFormatPr defaultColWidth="8.6796875" defaultRowHeight="15" x14ac:dyDescent="0.5"/>
  <cols>
    <col min="1" max="1" width="7.76953125" customWidth="1"/>
    <col min="2" max="2" width="11.6796875" customWidth="1"/>
    <col min="3" max="3" width="15.54296875" customWidth="1"/>
    <col min="4" max="4" width="5.76953125" bestFit="1" customWidth="1"/>
    <col min="5" max="6" width="13.2265625" customWidth="1"/>
    <col min="7" max="7" width="20.54296875" customWidth="1"/>
    <col min="8" max="8" width="10" bestFit="1" customWidth="1"/>
    <col min="9" max="9" width="15.54296875" customWidth="1"/>
    <col min="10" max="11" width="13.2265625" customWidth="1"/>
    <col min="12" max="12" width="11.6796875" customWidth="1"/>
    <col min="13" max="14" width="15.453125" customWidth="1"/>
    <col min="15" max="15" width="12.08984375" customWidth="1"/>
    <col min="16" max="17" width="17.2265625" customWidth="1"/>
    <col min="18" max="21" width="12.08984375" customWidth="1"/>
    <col min="22" max="23" width="13.2265625" customWidth="1"/>
    <col min="24" max="25" width="12.08984375" customWidth="1"/>
  </cols>
  <sheetData>
    <row r="1" spans="1:22" s="89" customFormat="1" ht="224.65" customHeight="1" x14ac:dyDescent="0.55000000000000004">
      <c r="A1" s="446" t="s">
        <v>347</v>
      </c>
      <c r="B1" s="446"/>
      <c r="C1" s="446"/>
      <c r="D1" s="446"/>
      <c r="E1" s="446"/>
      <c r="F1" s="446"/>
      <c r="G1" s="446"/>
      <c r="H1" s="446"/>
      <c r="I1" s="446"/>
      <c r="J1" s="446"/>
      <c r="K1" s="446"/>
      <c r="L1" s="292"/>
      <c r="M1" s="292"/>
      <c r="N1" s="292"/>
      <c r="O1" s="292"/>
      <c r="P1" s="292"/>
      <c r="Q1" s="292"/>
      <c r="R1" s="292"/>
      <c r="S1" s="327"/>
      <c r="T1" s="292"/>
      <c r="U1" s="292"/>
      <c r="V1" s="292"/>
    </row>
    <row r="2" spans="1:22" s="110" customFormat="1" ht="12.3" x14ac:dyDescent="0.4"/>
    <row r="3" spans="1:22" s="57" customFormat="1" ht="28.2" x14ac:dyDescent="1.05">
      <c r="A3" s="111" t="str">
        <f ca="1">"Attachment C2, "&amp;MID(CELL("filename",A1),FIND("]",CELL("filename",A1))+1,256)</f>
        <v>Attachment C2, Solar-Only Proposal</v>
      </c>
      <c r="B3" s="58"/>
      <c r="C3" s="58"/>
      <c r="D3" s="58"/>
      <c r="E3" s="58"/>
      <c r="F3" s="58"/>
      <c r="G3" s="58"/>
      <c r="H3" s="58"/>
      <c r="I3" s="58"/>
      <c r="J3" s="58"/>
      <c r="K3" s="58"/>
      <c r="L3" s="58"/>
      <c r="M3" s="58"/>
      <c r="N3" s="58"/>
      <c r="O3" s="58"/>
      <c r="P3" s="58"/>
      <c r="Q3" s="58"/>
      <c r="R3" s="58"/>
      <c r="S3" s="58"/>
      <c r="T3" s="58"/>
    </row>
    <row r="4" spans="1:22" s="57" customFormat="1" ht="20.399999999999999" x14ac:dyDescent="0.75">
      <c r="A4" s="112" t="str">
        <f>'Summary &amp; Signature'!A4</f>
        <v>Judicial Council of California Proposed Price Quotation Form</v>
      </c>
      <c r="B4" s="58"/>
      <c r="C4" s="113"/>
      <c r="D4" s="113"/>
      <c r="E4" s="58"/>
      <c r="G4" s="58"/>
      <c r="H4" s="58"/>
      <c r="I4" s="58"/>
      <c r="J4" s="58"/>
      <c r="K4" s="58"/>
      <c r="L4" s="58"/>
      <c r="M4" s="58"/>
      <c r="N4" s="58"/>
      <c r="O4" s="58"/>
      <c r="P4" s="58"/>
      <c r="Q4" s="58"/>
      <c r="R4" s="58"/>
      <c r="S4" s="58"/>
      <c r="T4" s="58"/>
    </row>
    <row r="5" spans="1:22" s="59" customFormat="1" ht="15.6" x14ac:dyDescent="0.6">
      <c r="A5" s="114"/>
      <c r="B5" s="115"/>
      <c r="C5" s="115"/>
      <c r="D5" s="115"/>
      <c r="E5" s="115"/>
      <c r="G5" s="115"/>
      <c r="H5" s="115"/>
      <c r="I5" s="115"/>
      <c r="J5" s="115"/>
      <c r="K5" s="115"/>
      <c r="L5" s="115"/>
      <c r="M5" s="115"/>
      <c r="N5" s="115"/>
      <c r="O5" s="115"/>
      <c r="P5" s="115"/>
      <c r="Q5" s="115"/>
      <c r="R5" s="115"/>
      <c r="S5" s="115"/>
      <c r="T5" s="115"/>
      <c r="V5" s="57"/>
    </row>
    <row r="6" spans="1:22" s="57" customFormat="1" ht="18.75" customHeight="1" x14ac:dyDescent="0.7">
      <c r="A6" s="447" t="s">
        <v>182</v>
      </c>
      <c r="B6" s="447"/>
      <c r="C6" s="442">
        <f>Vendor_Name</f>
        <v>0</v>
      </c>
      <c r="D6" s="442"/>
      <c r="E6" s="442"/>
      <c r="F6" s="59"/>
      <c r="J6" s="58"/>
      <c r="K6" s="58"/>
      <c r="L6" s="58"/>
    </row>
    <row r="7" spans="1:22" s="57" customFormat="1" ht="18.3" x14ac:dyDescent="0.7">
      <c r="A7" s="116"/>
      <c r="B7" s="116"/>
    </row>
    <row r="8" spans="1:22" s="57" customFormat="1" ht="29.7" x14ac:dyDescent="0.95">
      <c r="A8" s="71" t="s">
        <v>204</v>
      </c>
      <c r="B8" s="116"/>
    </row>
    <row r="9" spans="1:22" s="57" customFormat="1" ht="18.3" x14ac:dyDescent="0.7">
      <c r="A9" s="116"/>
      <c r="B9" s="116"/>
    </row>
    <row r="10" spans="1:22" s="57" customFormat="1" ht="28.8" x14ac:dyDescent="0.7">
      <c r="A10" s="472" t="s">
        <v>205</v>
      </c>
      <c r="B10" s="473"/>
      <c r="C10" s="473"/>
      <c r="D10" s="474"/>
      <c r="E10" s="120" t="s">
        <v>206</v>
      </c>
      <c r="F10" s="121" t="s">
        <v>207</v>
      </c>
      <c r="G10" s="352" t="s">
        <v>208</v>
      </c>
      <c r="H10" s="470" t="s">
        <v>209</v>
      </c>
      <c r="I10" s="471"/>
      <c r="J10" s="471"/>
      <c r="K10" s="471"/>
      <c r="L10" s="471"/>
      <c r="M10" s="471"/>
      <c r="N10" s="471"/>
      <c r="O10" s="471"/>
      <c r="V10" s="113"/>
    </row>
    <row r="11" spans="1:22" s="118" customFormat="1" ht="26.65" customHeight="1" x14ac:dyDescent="0.5">
      <c r="A11" s="455" t="s">
        <v>210</v>
      </c>
      <c r="B11" s="456"/>
      <c r="C11" s="456"/>
      <c r="D11" s="457"/>
      <c r="E11" s="293" t="s">
        <v>211</v>
      </c>
      <c r="F11" s="294" t="s">
        <v>212</v>
      </c>
      <c r="G11" s="351" t="s">
        <v>2</v>
      </c>
      <c r="H11" s="469" t="s">
        <v>355</v>
      </c>
      <c r="I11" s="469"/>
      <c r="J11" s="469"/>
      <c r="K11" s="469"/>
      <c r="L11" s="469"/>
      <c r="M11" s="469"/>
      <c r="N11" s="469"/>
      <c r="O11" s="469"/>
    </row>
    <row r="12" spans="1:22" s="118" customFormat="1" ht="26.5" customHeight="1" x14ac:dyDescent="0.5">
      <c r="A12" s="455" t="s">
        <v>358</v>
      </c>
      <c r="B12" s="456"/>
      <c r="C12" s="456"/>
      <c r="D12" s="457"/>
      <c r="E12" s="293" t="s">
        <v>219</v>
      </c>
      <c r="F12" s="294" t="s">
        <v>212</v>
      </c>
      <c r="G12" s="351" t="s">
        <v>2</v>
      </c>
      <c r="H12" s="469" t="s">
        <v>366</v>
      </c>
      <c r="I12" s="469"/>
      <c r="J12" s="469"/>
      <c r="K12" s="469"/>
      <c r="L12" s="469"/>
      <c r="M12" s="469"/>
      <c r="N12" s="469"/>
      <c r="O12" s="469"/>
    </row>
    <row r="13" spans="1:22" s="118" customFormat="1" ht="13.15" customHeight="1" x14ac:dyDescent="0.5">
      <c r="A13" s="455" t="s">
        <v>213</v>
      </c>
      <c r="B13" s="456"/>
      <c r="C13" s="456"/>
      <c r="D13" s="457"/>
      <c r="E13" s="293" t="s">
        <v>219</v>
      </c>
      <c r="F13" s="294" t="s">
        <v>212</v>
      </c>
      <c r="G13" s="351" t="s">
        <v>2</v>
      </c>
      <c r="H13" s="469" t="s">
        <v>365</v>
      </c>
      <c r="I13" s="469"/>
      <c r="J13" s="469"/>
      <c r="K13" s="469"/>
      <c r="L13" s="469"/>
      <c r="M13" s="469"/>
      <c r="N13" s="469"/>
      <c r="O13" s="469"/>
    </row>
    <row r="14" spans="1:22" s="118" customFormat="1" ht="13.15" customHeight="1" x14ac:dyDescent="0.5">
      <c r="A14" s="455" t="s">
        <v>214</v>
      </c>
      <c r="B14" s="456"/>
      <c r="C14" s="456"/>
      <c r="D14" s="457"/>
      <c r="E14" s="293" t="s">
        <v>219</v>
      </c>
      <c r="F14" s="294" t="s">
        <v>212</v>
      </c>
      <c r="G14" s="351" t="s">
        <v>2</v>
      </c>
      <c r="H14" s="469" t="s">
        <v>365</v>
      </c>
      <c r="I14" s="469"/>
      <c r="J14" s="469"/>
      <c r="K14" s="469"/>
      <c r="L14" s="469"/>
      <c r="M14" s="469"/>
      <c r="N14" s="469"/>
      <c r="O14" s="469"/>
    </row>
    <row r="15" spans="1:22" s="118" customFormat="1" ht="13.15" customHeight="1" x14ac:dyDescent="0.5">
      <c r="A15" s="455" t="s">
        <v>215</v>
      </c>
      <c r="B15" s="456"/>
      <c r="C15" s="456"/>
      <c r="D15" s="457"/>
      <c r="E15" s="293" t="s">
        <v>211</v>
      </c>
      <c r="F15" s="295" t="s">
        <v>216</v>
      </c>
      <c r="G15" s="351" t="s">
        <v>2</v>
      </c>
      <c r="H15" s="469" t="s">
        <v>217</v>
      </c>
      <c r="I15" s="469"/>
      <c r="J15" s="469"/>
      <c r="K15" s="469"/>
      <c r="L15" s="469"/>
      <c r="M15" s="469"/>
      <c r="N15" s="469"/>
      <c r="O15" s="469"/>
    </row>
    <row r="16" spans="1:22" s="118" customFormat="1" ht="13.15" customHeight="1" x14ac:dyDescent="0.5">
      <c r="A16" s="455" t="s">
        <v>218</v>
      </c>
      <c r="B16" s="456"/>
      <c r="C16" s="456"/>
      <c r="D16" s="457"/>
      <c r="E16" s="293" t="s">
        <v>219</v>
      </c>
      <c r="F16" s="295" t="s">
        <v>220</v>
      </c>
      <c r="G16" s="351" t="s">
        <v>4</v>
      </c>
      <c r="H16" s="469" t="s">
        <v>221</v>
      </c>
      <c r="I16" s="469"/>
      <c r="J16" s="469"/>
      <c r="K16" s="469"/>
      <c r="L16" s="469"/>
      <c r="M16" s="469"/>
      <c r="N16" s="469"/>
      <c r="O16" s="469"/>
    </row>
    <row r="17" spans="1:23" s="118" customFormat="1" ht="13.15" customHeight="1" x14ac:dyDescent="0.5">
      <c r="A17" s="455" t="s">
        <v>222</v>
      </c>
      <c r="B17" s="456"/>
      <c r="C17" s="456"/>
      <c r="D17" s="457"/>
      <c r="E17" s="293" t="s">
        <v>211</v>
      </c>
      <c r="F17" s="295" t="s">
        <v>216</v>
      </c>
      <c r="G17" s="351" t="s">
        <v>2</v>
      </c>
      <c r="H17" s="469" t="s">
        <v>223</v>
      </c>
      <c r="I17" s="469"/>
      <c r="J17" s="469"/>
      <c r="K17" s="469"/>
      <c r="L17" s="469"/>
      <c r="M17" s="469"/>
      <c r="N17" s="469"/>
      <c r="O17" s="469"/>
    </row>
    <row r="18" spans="1:23" s="118" customFormat="1" ht="27.75" customHeight="1" x14ac:dyDescent="0.5">
      <c r="A18" s="455" t="s">
        <v>224</v>
      </c>
      <c r="B18" s="456"/>
      <c r="C18" s="456"/>
      <c r="D18" s="457"/>
      <c r="E18" s="293" t="s">
        <v>211</v>
      </c>
      <c r="F18" s="294" t="s">
        <v>212</v>
      </c>
      <c r="G18" s="351" t="s">
        <v>2</v>
      </c>
      <c r="H18" s="469" t="s">
        <v>323</v>
      </c>
      <c r="I18" s="469"/>
      <c r="J18" s="469"/>
      <c r="K18" s="469"/>
      <c r="L18" s="469"/>
      <c r="M18" s="469"/>
      <c r="N18" s="469"/>
      <c r="O18" s="469"/>
    </row>
    <row r="19" spans="1:23" s="118" customFormat="1" ht="13.15" customHeight="1" x14ac:dyDescent="0.5">
      <c r="A19" s="455" t="s">
        <v>225</v>
      </c>
      <c r="B19" s="456"/>
      <c r="C19" s="456"/>
      <c r="D19" s="457"/>
      <c r="E19" s="293" t="s">
        <v>219</v>
      </c>
      <c r="F19" s="295" t="s">
        <v>220</v>
      </c>
      <c r="G19" s="351" t="s">
        <v>4</v>
      </c>
      <c r="H19" s="469" t="s">
        <v>356</v>
      </c>
      <c r="I19" s="469"/>
      <c r="J19" s="469"/>
      <c r="K19" s="469"/>
      <c r="L19" s="469"/>
      <c r="M19" s="469"/>
      <c r="N19" s="469"/>
      <c r="O19" s="469"/>
    </row>
    <row r="20" spans="1:23" s="119" customFormat="1" ht="13" customHeight="1" x14ac:dyDescent="0.5">
      <c r="A20" s="455" t="s">
        <v>226</v>
      </c>
      <c r="B20" s="456"/>
      <c r="C20" s="456"/>
      <c r="D20" s="457"/>
      <c r="E20" s="293" t="s">
        <v>211</v>
      </c>
      <c r="F20" s="293" t="s">
        <v>216</v>
      </c>
      <c r="G20" s="349" t="s">
        <v>2</v>
      </c>
      <c r="H20" s="475" t="s">
        <v>227</v>
      </c>
      <c r="I20" s="475"/>
      <c r="J20" s="475"/>
      <c r="K20" s="475"/>
      <c r="L20" s="475"/>
      <c r="M20" s="475"/>
      <c r="N20" s="475"/>
      <c r="O20" s="475"/>
    </row>
    <row r="21" spans="1:23" s="119" customFormat="1" ht="13.9" customHeight="1" x14ac:dyDescent="0.5">
      <c r="A21" s="455" t="s">
        <v>228</v>
      </c>
      <c r="B21" s="456"/>
      <c r="C21" s="456"/>
      <c r="D21" s="457"/>
      <c r="E21" s="293" t="s">
        <v>211</v>
      </c>
      <c r="F21" s="293" t="s">
        <v>216</v>
      </c>
      <c r="G21" s="349" t="s">
        <v>2</v>
      </c>
      <c r="H21" s="454" t="s">
        <v>229</v>
      </c>
      <c r="I21" s="454"/>
      <c r="J21" s="454"/>
      <c r="K21" s="454"/>
      <c r="L21" s="454"/>
      <c r="M21" s="454"/>
      <c r="N21" s="454"/>
      <c r="O21" s="454"/>
    </row>
    <row r="22" spans="1:23" s="118" customFormat="1" ht="15" customHeight="1" x14ac:dyDescent="0.5">
      <c r="A22" s="455" t="s">
        <v>230</v>
      </c>
      <c r="B22" s="456"/>
      <c r="C22" s="456"/>
      <c r="D22" s="457"/>
      <c r="E22" s="293" t="s">
        <v>211</v>
      </c>
      <c r="F22" s="293" t="s">
        <v>216</v>
      </c>
      <c r="G22" s="349" t="s">
        <v>2</v>
      </c>
      <c r="H22" s="454" t="s">
        <v>231</v>
      </c>
      <c r="I22" s="454"/>
      <c r="J22" s="454"/>
      <c r="K22" s="454"/>
      <c r="L22" s="454"/>
      <c r="M22" s="454"/>
      <c r="N22" s="454"/>
      <c r="O22" s="454"/>
    </row>
    <row r="23" spans="1:23" s="118" customFormat="1" ht="15" customHeight="1" x14ac:dyDescent="0.5">
      <c r="A23" s="455" t="s">
        <v>232</v>
      </c>
      <c r="B23" s="456"/>
      <c r="C23" s="456"/>
      <c r="D23" s="457"/>
      <c r="E23" s="293" t="s">
        <v>211</v>
      </c>
      <c r="F23" s="294" t="s">
        <v>212</v>
      </c>
      <c r="G23" s="349" t="s">
        <v>2</v>
      </c>
      <c r="H23" s="454" t="s">
        <v>357</v>
      </c>
      <c r="I23" s="454"/>
      <c r="J23" s="454"/>
      <c r="K23" s="454"/>
      <c r="L23" s="454"/>
      <c r="M23" s="454"/>
      <c r="N23" s="454"/>
      <c r="O23" s="454"/>
    </row>
    <row r="24" spans="1:23" s="118" customFormat="1" ht="15" customHeight="1" x14ac:dyDescent="0.5">
      <c r="A24" s="455" t="s">
        <v>234</v>
      </c>
      <c r="B24" s="456"/>
      <c r="C24" s="456"/>
      <c r="D24" s="457"/>
      <c r="E24" s="293" t="s">
        <v>211</v>
      </c>
      <c r="F24" s="293" t="s">
        <v>216</v>
      </c>
      <c r="G24" s="349" t="s">
        <v>2</v>
      </c>
      <c r="H24" s="454" t="s">
        <v>233</v>
      </c>
      <c r="I24" s="454"/>
      <c r="J24" s="454"/>
      <c r="K24" s="454"/>
      <c r="L24" s="454"/>
      <c r="M24" s="454"/>
      <c r="N24" s="454"/>
      <c r="O24" s="454"/>
    </row>
    <row r="25" spans="1:23" s="57" customFormat="1" ht="27.75" customHeight="1" x14ac:dyDescent="0.7">
      <c r="A25" s="466" t="s">
        <v>235</v>
      </c>
      <c r="B25" s="467"/>
      <c r="C25" s="467"/>
      <c r="D25" s="468"/>
      <c r="E25" s="117"/>
      <c r="F25" s="122"/>
      <c r="G25" s="350"/>
      <c r="H25" s="458" t="s">
        <v>339</v>
      </c>
      <c r="I25" s="458"/>
      <c r="J25" s="458"/>
      <c r="K25" s="458"/>
      <c r="L25" s="458"/>
      <c r="M25" s="458"/>
      <c r="N25" s="458"/>
      <c r="O25" s="458"/>
      <c r="V25" s="113"/>
    </row>
    <row r="27" spans="1:23" ht="29.7" x14ac:dyDescent="0.95">
      <c r="A27" s="71" t="s">
        <v>349</v>
      </c>
    </row>
    <row r="28" spans="1:23" ht="15" customHeight="1" thickBot="1" x14ac:dyDescent="1">
      <c r="A28" s="71"/>
    </row>
    <row r="29" spans="1:23" ht="20.7" thickBot="1" x14ac:dyDescent="0.55000000000000004">
      <c r="A29" s="459" t="s">
        <v>200</v>
      </c>
      <c r="B29" s="460"/>
      <c r="C29" s="460"/>
      <c r="D29" s="460"/>
      <c r="E29" s="460"/>
      <c r="F29" s="460"/>
      <c r="G29" s="460"/>
      <c r="H29" s="461"/>
      <c r="I29" s="451" t="s">
        <v>236</v>
      </c>
      <c r="J29" s="452"/>
      <c r="K29" s="452"/>
      <c r="L29" s="452"/>
      <c r="M29" s="453"/>
      <c r="N29" s="452" t="s">
        <v>341</v>
      </c>
      <c r="O29" s="452"/>
      <c r="P29" s="452"/>
      <c r="Q29" s="453"/>
      <c r="R29" s="451" t="s">
        <v>237</v>
      </c>
      <c r="S29" s="452"/>
      <c r="T29" s="452"/>
      <c r="U29" s="452"/>
      <c r="V29" s="452"/>
      <c r="W29" s="453"/>
    </row>
    <row r="30" spans="1:23" ht="129.9" thickBot="1" x14ac:dyDescent="0.55000000000000004">
      <c r="A30" s="60" t="str">
        <f>'Site Data'!A5</f>
        <v>Site Number</v>
      </c>
      <c r="B30" s="439" t="str">
        <f>'Site Data'!B5</f>
        <v>Site Name</v>
      </c>
      <c r="C30" s="439"/>
      <c r="D30" s="291" t="str">
        <f>'Site Data'!C5</f>
        <v>Site ID</v>
      </c>
      <c r="E30" s="291" t="s">
        <v>238</v>
      </c>
      <c r="F30" s="290" t="str">
        <f>'Site Data'!$E$5</f>
        <v>Service Provider</v>
      </c>
      <c r="G30" s="307" t="s">
        <v>337</v>
      </c>
      <c r="H30" s="70" t="str">
        <f>'Site Data'!$S$5</f>
        <v>PPA/SEL Term (yrs)</v>
      </c>
      <c r="I30" s="107" t="s">
        <v>240</v>
      </c>
      <c r="J30" s="124" t="s">
        <v>241</v>
      </c>
      <c r="K30" s="124" t="s">
        <v>242</v>
      </c>
      <c r="L30" s="124" t="s">
        <v>243</v>
      </c>
      <c r="M30" s="64" t="s">
        <v>244</v>
      </c>
      <c r="N30" s="124" t="s">
        <v>342</v>
      </c>
      <c r="O30" s="263" t="s">
        <v>343</v>
      </c>
      <c r="P30" s="263" t="s">
        <v>344</v>
      </c>
      <c r="Q30" s="64" t="s">
        <v>245</v>
      </c>
      <c r="R30" s="108" t="str">
        <f>'System Specification'!H14</f>
        <v>Design includes Rooftop arrays?</v>
      </c>
      <c r="S30" s="107" t="str">
        <f>'Site Data'!$P$5</f>
        <v>Roof Area to be Replaced (if Rooftop array included in design) (sqft)</v>
      </c>
      <c r="T30" s="123" t="s">
        <v>246</v>
      </c>
      <c r="U30" s="124" t="s">
        <v>224</v>
      </c>
      <c r="V30" s="263" t="s">
        <v>247</v>
      </c>
      <c r="W30" s="64" t="s">
        <v>248</v>
      </c>
    </row>
    <row r="31" spans="1:23" ht="15.3" x14ac:dyDescent="0.55000000000000004">
      <c r="A31" s="105">
        <v>1</v>
      </c>
      <c r="B31" s="464" t="str">
        <f>INDEX(Site_Data_Table,MATCH($A31,'Site Data'!$A$5:$A$37,0),MATCH(B$30,Site_Data_Column_Names,0))</f>
        <v>Fremont Hall of Justice</v>
      </c>
      <c r="C31" s="465" t="e">
        <f>INDEX(Site_Data_Table,MATCH($A31,'Site Data'!$A$5:$A$37,0),MATCH(C$30,Site_Data_Column_Names,0))</f>
        <v>#N/A</v>
      </c>
      <c r="D31" s="216" t="str">
        <f>INDEX(Site_Data_Table,MATCH($A31,'Site Data'!$A$5:$A$37,0),MATCH(D$30,Site_Data_Column_Names,0))</f>
        <v>01-H1</v>
      </c>
      <c r="E31" s="217">
        <f>INDEX(Prod_Yr_1,MATCH($A31,'System Specification'!$B$15:$B$46,0))</f>
        <v>0</v>
      </c>
      <c r="F31" s="218" t="str">
        <f>INDEX(Site_Data_Table,MATCH($A31,'Site Data'!$A$5:$A$37,0),MATCH(F$30,Site_Data_Column_Names,0))</f>
        <v>PG&amp;E / EBCE</v>
      </c>
      <c r="G31" s="218" t="s">
        <v>329</v>
      </c>
      <c r="H31" s="260">
        <f>INDEX(Site_Data_Table,MATCH($A31,'Site Data'!$A$5:$A$37,0),MATCH(H$30,Site_Data_Column_Names,0))</f>
        <v>20</v>
      </c>
      <c r="I31" s="245"/>
      <c r="J31" s="125"/>
      <c r="K31" s="534"/>
      <c r="L31" s="535"/>
      <c r="M31" s="536"/>
      <c r="N31" s="180"/>
      <c r="O31" s="264"/>
      <c r="P31" s="264"/>
      <c r="Q31" s="131" t="str">
        <f>IF(N31=0,"",IFERROR(N31*$H31*12/#REF!/1000,""))</f>
        <v/>
      </c>
      <c r="R31" s="365" t="str">
        <f>_xlfn.LET(_xlpm.val,INDEX('System Specification'!$H$15:$H$47,MATCH($A31,'System Specification'!$B$15:$B$47,0)),
IF(_xlpm.val="","",_xlpm.val))</f>
        <v/>
      </c>
      <c r="S31" s="169">
        <f>IF($R31="No",0,INDEX(Site_Data_Table,MATCH($A31,'Site Data'!$A$5:$A$37,0),MATCH(S$30,Site_Data_Column_Names,0)))</f>
        <v>52000</v>
      </c>
      <c r="T31" s="168">
        <f>IF(S31="","",40*S31)</f>
        <v>2080000</v>
      </c>
      <c r="U31" s="201"/>
      <c r="V31" s="288">
        <v>15000</v>
      </c>
      <c r="W31" s="172">
        <f>SUM(T31:V31)</f>
        <v>2095000</v>
      </c>
    </row>
    <row r="32" spans="1:23" ht="15.3" x14ac:dyDescent="0.55000000000000004">
      <c r="A32" s="61">
        <v>2</v>
      </c>
      <c r="B32" s="462" t="str">
        <f>INDEX(Site_Data_Table,MATCH($A32,'Site Data'!$A$5:$A$37,0),MATCH(B$30,Site_Data_Column_Names,0))</f>
        <v>Amador Superior Court</v>
      </c>
      <c r="C32" s="463" t="e">
        <f>INDEX(Site_Data_Table,MATCH($A32,'Site Data'!$A$5:$A$37,0),MATCH(C$30,Site_Data_Column_Names,0))</f>
        <v>#N/A</v>
      </c>
      <c r="D32" s="199" t="str">
        <f>INDEX(Site_Data_Table,MATCH($A32,'Site Data'!$A$5:$A$37,0),MATCH(D$30,Site_Data_Column_Names,0))</f>
        <v>03-C1</v>
      </c>
      <c r="E32" s="176">
        <f>INDEX(Prod_Yr_1,MATCH($A32,'System Specification'!$B$15:$B$46,0))</f>
        <v>0</v>
      </c>
      <c r="F32" s="179" t="str">
        <f>INDEX(Site_Data_Table,MATCH($A32,'Site Data'!$A$5:$A$37,0),MATCH(F$30,Site_Data_Column_Names,0))</f>
        <v>PG&amp;E</v>
      </c>
      <c r="G32" s="218" t="s">
        <v>329</v>
      </c>
      <c r="H32" s="261">
        <f>INDEX(Site_Data_Table,MATCH($A32,'Site Data'!$A$5:$A$37,0),MATCH(H$30,Site_Data_Column_Names,0))</f>
        <v>20</v>
      </c>
      <c r="I32" s="246"/>
      <c r="J32" s="126"/>
      <c r="K32" s="537"/>
      <c r="L32" s="538"/>
      <c r="M32" s="539"/>
      <c r="N32" s="181"/>
      <c r="O32" s="265"/>
      <c r="P32" s="265"/>
      <c r="Q32" s="132" t="str">
        <f>IF(N32=0,"",IFERROR(N32*$H32*12/#REF!/1000,""))</f>
        <v/>
      </c>
      <c r="R32" s="331" t="str">
        <f>_xlfn.LET(_xlpm.val,INDEX('System Specification'!$H$15:$H$47,MATCH($A32,'System Specification'!$B$15:$B$47,0)),
IF(_xlpm.val="","",_xlpm.val))</f>
        <v>No</v>
      </c>
      <c r="S32" s="241">
        <f>IF($R32="No",0,INDEX(Site_Data_Table,MATCH($A32,'Site Data'!$A$5:$A$37,0),MATCH(S$30,Site_Data_Column_Names,0)))</f>
        <v>0</v>
      </c>
      <c r="T32" s="242">
        <f t="shared" ref="T32:T62" si="0">IF(S32="","",40*S32)</f>
        <v>0</v>
      </c>
      <c r="U32" s="181"/>
      <c r="V32" s="287">
        <v>15000</v>
      </c>
      <c r="W32" s="174">
        <f t="shared" ref="W32:W62" si="1">SUM(T32:V32)</f>
        <v>15000</v>
      </c>
    </row>
    <row r="33" spans="1:23" ht="15.3" x14ac:dyDescent="0.55000000000000004">
      <c r="A33" s="61">
        <v>3</v>
      </c>
      <c r="B33" s="462" t="str">
        <f>INDEX(Site_Data_Table,MATCH($A33,'Site Data'!$A$5:$A$37,0),MATCH(B$30,Site_Data_Column_Names,0))</f>
        <v>North Butte County Courthouse</v>
      </c>
      <c r="C33" s="463" t="e">
        <f>INDEX(Site_Data_Table,MATCH($A33,'Site Data'!$A$5:$A$37,0),MATCH(C$30,Site_Data_Column_Names,0))</f>
        <v>#N/A</v>
      </c>
      <c r="D33" s="199" t="str">
        <f>INDEX(Site_Data_Table,MATCH($A33,'Site Data'!$A$5:$A$37,0),MATCH(D$30,Site_Data_Column_Names,0))</f>
        <v>04-F1</v>
      </c>
      <c r="E33" s="176">
        <f>INDEX(Prod_Yr_1,MATCH($A33,'System Specification'!$B$15:$B$46,0))</f>
        <v>0</v>
      </c>
      <c r="F33" s="179" t="str">
        <f>INDEX(Site_Data_Table,MATCH($A33,'Site Data'!$A$5:$A$37,0),MATCH(F$30,Site_Data_Column_Names,0))</f>
        <v>PG&amp;E</v>
      </c>
      <c r="G33" s="218" t="s">
        <v>329</v>
      </c>
      <c r="H33" s="261">
        <f>INDEX(Site_Data_Table,MATCH($A33,'Site Data'!$A$5:$A$37,0),MATCH(H$30,Site_Data_Column_Names,0))</f>
        <v>20</v>
      </c>
      <c r="I33" s="246"/>
      <c r="J33" s="126"/>
      <c r="K33" s="537"/>
      <c r="L33" s="538"/>
      <c r="M33" s="539"/>
      <c r="N33" s="181"/>
      <c r="O33" s="265"/>
      <c r="P33" s="265"/>
      <c r="Q33" s="132" t="str">
        <f>IF(N33=0,"",IFERROR(N33*$H33*12/#REF!/1000,""))</f>
        <v/>
      </c>
      <c r="R33" s="331" t="str">
        <f>_xlfn.LET(_xlpm.val,INDEX('System Specification'!$H$15:$H$47,MATCH($A33,'System Specification'!$B$15:$B$47,0)),
IF(_xlpm.val="","",_xlpm.val))</f>
        <v>No</v>
      </c>
      <c r="S33" s="241">
        <f>IF($R33="No",0,INDEX(Site_Data_Table,MATCH($A33,'Site Data'!$A$5:$A$37,0),MATCH(S$30,Site_Data_Column_Names,0)))</f>
        <v>0</v>
      </c>
      <c r="T33" s="242">
        <f t="shared" si="0"/>
        <v>0</v>
      </c>
      <c r="U33" s="181"/>
      <c r="V33" s="287">
        <v>15000</v>
      </c>
      <c r="W33" s="174">
        <f t="shared" si="1"/>
        <v>15000</v>
      </c>
    </row>
    <row r="34" spans="1:23" ht="15.3" x14ac:dyDescent="0.55000000000000004">
      <c r="A34" s="61">
        <v>4</v>
      </c>
      <c r="B34" s="462" t="str">
        <f>INDEX(Site_Data_Table,MATCH($A34,'Site Data'!$A$5:$A$37,0),MATCH(B$30,Site_Data_Column_Names,0))</f>
        <v>Bray Courts</v>
      </c>
      <c r="C34" s="463" t="e">
        <f>INDEX(Site_Data_Table,MATCH($A34,'Site Data'!$A$5:$A$37,0),MATCH(C$30,Site_Data_Column_Names,0))</f>
        <v>#N/A</v>
      </c>
      <c r="D34" s="199" t="str">
        <f>INDEX(Site_Data_Table,MATCH($A34,'Site Data'!$A$5:$A$37,0),MATCH(D$30,Site_Data_Column_Names,0))</f>
        <v>07-A3</v>
      </c>
      <c r="E34" s="176">
        <f>INDEX(Prod_Yr_1,MATCH($A34,'System Specification'!$B$15:$B$46,0))</f>
        <v>0</v>
      </c>
      <c r="F34" s="179" t="str">
        <f>INDEX(Site_Data_Table,MATCH($A34,'Site Data'!$A$5:$A$37,0),MATCH(F$30,Site_Data_Column_Names,0))</f>
        <v>PG&amp;E</v>
      </c>
      <c r="G34" s="218" t="s">
        <v>329</v>
      </c>
      <c r="H34" s="261">
        <f>INDEX(Site_Data_Table,MATCH($A34,'Site Data'!$A$5:$A$37,0),MATCH(H$30,Site_Data_Column_Names,0))</f>
        <v>18</v>
      </c>
      <c r="I34" s="246"/>
      <c r="J34" s="126"/>
      <c r="K34" s="537"/>
      <c r="L34" s="538"/>
      <c r="M34" s="539"/>
      <c r="N34" s="181"/>
      <c r="O34" s="265"/>
      <c r="P34" s="265"/>
      <c r="Q34" s="132" t="str">
        <f>IF(N34=0,"",IFERROR(N34*$H34*12/#REF!/1000,""))</f>
        <v/>
      </c>
      <c r="R34" s="331" t="str">
        <f>_xlfn.LET(_xlpm.val,INDEX('System Specification'!$H$15:$H$47,MATCH($A34,'System Specification'!$B$15:$B$47,0)),
IF(_xlpm.val="","",_xlpm.val))</f>
        <v/>
      </c>
      <c r="S34" s="241">
        <f>IF($R34="No",0,INDEX(Site_Data_Table,MATCH($A34,'Site Data'!$A$5:$A$37,0),MATCH(S$30,Site_Data_Column_Names,0)))</f>
        <v>0</v>
      </c>
      <c r="T34" s="242">
        <f t="shared" si="0"/>
        <v>0</v>
      </c>
      <c r="U34" s="181"/>
      <c r="V34" s="287">
        <v>15000</v>
      </c>
      <c r="W34" s="174">
        <f t="shared" si="1"/>
        <v>15000</v>
      </c>
    </row>
    <row r="35" spans="1:23" ht="15.3" x14ac:dyDescent="0.55000000000000004">
      <c r="A35" s="61">
        <v>5</v>
      </c>
      <c r="B35" s="462" t="str">
        <f>INDEX(Site_Data_Table,MATCH($A35,'Site Data'!$A$5:$A$37,0),MATCH(B$30,Site_Data_Column_Names,0))</f>
        <v>Richard E. Arnason Justice Center</v>
      </c>
      <c r="C35" s="463" t="e">
        <f>INDEX(Site_Data_Table,MATCH($A35,'Site Data'!$A$5:$A$37,0),MATCH(C$30,Site_Data_Column_Names,0))</f>
        <v>#N/A</v>
      </c>
      <c r="D35" s="199" t="str">
        <f>INDEX(Site_Data_Table,MATCH($A35,'Site Data'!$A$5:$A$37,0),MATCH(D$30,Site_Data_Column_Names,0))</f>
        <v>07-E3</v>
      </c>
      <c r="E35" s="176">
        <f>INDEX(Prod_Yr_1,MATCH($A35,'System Specification'!$B$15:$B$46,0))</f>
        <v>0</v>
      </c>
      <c r="F35" s="179" t="str">
        <f>INDEX(Site_Data_Table,MATCH($A35,'Site Data'!$A$5:$A$37,0),MATCH(F$30,Site_Data_Column_Names,0))</f>
        <v>PG&amp;E / MCE</v>
      </c>
      <c r="G35" s="218" t="s">
        <v>329</v>
      </c>
      <c r="H35" s="261">
        <f>INDEX(Site_Data_Table,MATCH($A35,'Site Data'!$A$5:$A$37,0),MATCH(H$30,Site_Data_Column_Names,0))</f>
        <v>20</v>
      </c>
      <c r="I35" s="246"/>
      <c r="J35" s="126"/>
      <c r="K35" s="537"/>
      <c r="L35" s="538"/>
      <c r="M35" s="539"/>
      <c r="N35" s="181"/>
      <c r="O35" s="265"/>
      <c r="P35" s="265"/>
      <c r="Q35" s="132" t="str">
        <f>IF(N35=0,"",IFERROR(N35*$H35*12/#REF!/1000,""))</f>
        <v/>
      </c>
      <c r="R35" s="331" t="str">
        <f>_xlfn.LET(_xlpm.val,INDEX('System Specification'!$H$15:$H$47,MATCH($A35,'System Specification'!$B$15:$B$47,0)),
IF(_xlpm.val="","",_xlpm.val))</f>
        <v>No</v>
      </c>
      <c r="S35" s="241">
        <f>IF($R35="No",0,INDEX(Site_Data_Table,MATCH($A35,'Site Data'!$A$5:$A$37,0),MATCH(S$30,Site_Data_Column_Names,0)))</f>
        <v>0</v>
      </c>
      <c r="T35" s="242">
        <f t="shared" si="0"/>
        <v>0</v>
      </c>
      <c r="U35" s="181"/>
      <c r="V35" s="287">
        <v>15000</v>
      </c>
      <c r="W35" s="174">
        <f t="shared" si="1"/>
        <v>15000</v>
      </c>
    </row>
    <row r="36" spans="1:23" ht="15.3" x14ac:dyDescent="0.55000000000000004">
      <c r="A36" s="61">
        <v>6</v>
      </c>
      <c r="B36" s="462" t="str">
        <f>INDEX(Site_Data_Table,MATCH($A36,'Site Data'!$A$5:$A$37,0),MATCH(B$30,Site_Data_Column_Names,0))</f>
        <v>Walnut Creek Courthouse</v>
      </c>
      <c r="C36" s="463" t="e">
        <f>INDEX(Site_Data_Table,MATCH($A36,'Site Data'!$A$5:$A$37,0),MATCH(C$30,Site_Data_Column_Names,0))</f>
        <v>#N/A</v>
      </c>
      <c r="D36" s="199" t="str">
        <f>INDEX(Site_Data_Table,MATCH($A36,'Site Data'!$A$5:$A$37,0),MATCH(D$30,Site_Data_Column_Names,0))</f>
        <v>07-C1</v>
      </c>
      <c r="E36" s="176">
        <f>INDEX(Prod_Yr_1,MATCH($A36,'System Specification'!$B$15:$B$46,0))</f>
        <v>0</v>
      </c>
      <c r="F36" s="179" t="str">
        <f>INDEX(Site_Data_Table,MATCH($A36,'Site Data'!$A$5:$A$37,0),MATCH(F$30,Site_Data_Column_Names,0))</f>
        <v>PG&amp;E / MCE</v>
      </c>
      <c r="G36" s="218" t="s">
        <v>329</v>
      </c>
      <c r="H36" s="261">
        <f>INDEX(Site_Data_Table,MATCH($A36,'Site Data'!$A$5:$A$37,0),MATCH(H$30,Site_Data_Column_Names,0))</f>
        <v>20</v>
      </c>
      <c r="I36" s="246"/>
      <c r="J36" s="126"/>
      <c r="K36" s="537"/>
      <c r="L36" s="538"/>
      <c r="M36" s="539"/>
      <c r="N36" s="181"/>
      <c r="O36" s="265"/>
      <c r="P36" s="265"/>
      <c r="Q36" s="132" t="str">
        <f>IF(N36=0,"",IFERROR(N36*$H36*12/#REF!/1000,""))</f>
        <v/>
      </c>
      <c r="R36" s="331" t="str">
        <f>_xlfn.LET(_xlpm.val,INDEX('System Specification'!$H$15:$H$47,MATCH($A36,'System Specification'!$B$15:$B$47,0)),
IF(_xlpm.val="","",_xlpm.val))</f>
        <v>No</v>
      </c>
      <c r="S36" s="241">
        <f>IF($R36="No",0,INDEX(Site_Data_Table,MATCH($A36,'Site Data'!$A$5:$A$37,0),MATCH(S$30,Site_Data_Column_Names,0)))</f>
        <v>0</v>
      </c>
      <c r="T36" s="242">
        <f t="shared" si="0"/>
        <v>0</v>
      </c>
      <c r="U36" s="181"/>
      <c r="V36" s="287">
        <v>15000</v>
      </c>
      <c r="W36" s="174">
        <f t="shared" si="1"/>
        <v>15000</v>
      </c>
    </row>
    <row r="37" spans="1:23" ht="15.3" x14ac:dyDescent="0.55000000000000004">
      <c r="A37" s="61">
        <v>7</v>
      </c>
      <c r="B37" s="462" t="str">
        <f>INDEX(Site_Data_Table,MATCH($A37,'Site Data'!$A$5:$A$37,0),MATCH(B$30,Site_Data_Column_Names,0))</f>
        <v>B. F. Sisk Courthouse</v>
      </c>
      <c r="C37" s="463" t="e">
        <f>INDEX(Site_Data_Table,MATCH($A37,'Site Data'!$A$5:$A$37,0),MATCH(C$30,Site_Data_Column_Names,0))</f>
        <v>#N/A</v>
      </c>
      <c r="D37" s="199" t="str">
        <f>INDEX(Site_Data_Table,MATCH($A37,'Site Data'!$A$5:$A$37,0),MATCH(D$30,Site_Data_Column_Names,0))</f>
        <v>10-O1</v>
      </c>
      <c r="E37" s="176">
        <f>INDEX(Prod_Yr_1,MATCH($A37,'System Specification'!$B$15:$B$46,0))</f>
        <v>0</v>
      </c>
      <c r="F37" s="179" t="str">
        <f>INDEX(Site_Data_Table,MATCH($A37,'Site Data'!$A$5:$A$37,0),MATCH(F$30,Site_Data_Column_Names,0))</f>
        <v>PG&amp;E</v>
      </c>
      <c r="G37" s="218" t="s">
        <v>329</v>
      </c>
      <c r="H37" s="261">
        <f>INDEX(Site_Data_Table,MATCH($A37,'Site Data'!$A$5:$A$37,0),MATCH(H$30,Site_Data_Column_Names,0))</f>
        <v>20</v>
      </c>
      <c r="I37" s="246"/>
      <c r="J37" s="126"/>
      <c r="K37" s="537"/>
      <c r="L37" s="538"/>
      <c r="M37" s="539"/>
      <c r="N37" s="181"/>
      <c r="O37" s="265"/>
      <c r="P37" s="265"/>
      <c r="Q37" s="132" t="str">
        <f>IF(N37=0,"",IFERROR(N37*$H37*12/#REF!/1000,""))</f>
        <v/>
      </c>
      <c r="R37" s="331" t="str">
        <f>_xlfn.LET(_xlpm.val,INDEX('System Specification'!$H$15:$H$47,MATCH($A37,'System Specification'!$B$15:$B$47,0)),
IF(_xlpm.val="","",_xlpm.val))</f>
        <v/>
      </c>
      <c r="S37" s="241" t="str">
        <f>IF($R37="No",0,INDEX(Site_Data_Table,MATCH($A37,'Site Data'!$A$5:$A$37,0),MATCH(S$30,Site_Data_Column_Names,0)))</f>
        <v/>
      </c>
      <c r="T37" s="242" t="str">
        <f t="shared" si="0"/>
        <v/>
      </c>
      <c r="U37" s="181"/>
      <c r="V37" s="287">
        <v>15000</v>
      </c>
      <c r="W37" s="174">
        <f t="shared" si="1"/>
        <v>15000</v>
      </c>
    </row>
    <row r="38" spans="1:23" ht="15.3" x14ac:dyDescent="0.55000000000000004">
      <c r="A38" s="61">
        <v>8</v>
      </c>
      <c r="B38" s="462" t="str">
        <f>INDEX(Site_Data_Table,MATCH($A38,'Site Data'!$A$5:$A$37,0),MATCH(B$30,Site_Data_Column_Names,0))</f>
        <v>Imperial County Courthouse</v>
      </c>
      <c r="C38" s="463" t="e">
        <f>INDEX(Site_Data_Table,MATCH($A38,'Site Data'!$A$5:$A$37,0),MATCH(C$30,Site_Data_Column_Names,0))</f>
        <v>#N/A</v>
      </c>
      <c r="D38" s="199" t="str">
        <f>INDEX(Site_Data_Table,MATCH($A38,'Site Data'!$A$5:$A$37,0),MATCH(D$30,Site_Data_Column_Names,0))</f>
        <v>13-A1</v>
      </c>
      <c r="E38" s="176">
        <f>INDEX(Prod_Yr_1,MATCH($A38,'System Specification'!$B$15:$B$46,0))</f>
        <v>0</v>
      </c>
      <c r="F38" s="179" t="str">
        <f>INDEX(Site_Data_Table,MATCH($A38,'Site Data'!$A$5:$A$37,0),MATCH(F$30,Site_Data_Column_Names,0))</f>
        <v>IID</v>
      </c>
      <c r="G38" s="218" t="s">
        <v>329</v>
      </c>
      <c r="H38" s="261">
        <f>INDEX(Site_Data_Table,MATCH($A38,'Site Data'!$A$5:$A$37,0),MATCH(H$30,Site_Data_Column_Names,0))</f>
        <v>20</v>
      </c>
      <c r="I38" s="246"/>
      <c r="J38" s="126"/>
      <c r="K38" s="537"/>
      <c r="L38" s="538"/>
      <c r="M38" s="539"/>
      <c r="N38" s="181"/>
      <c r="O38" s="265"/>
      <c r="P38" s="265"/>
      <c r="Q38" s="132" t="str">
        <f>IF(N38=0,"",IFERROR(N38*$H38*12/#REF!/1000,""))</f>
        <v/>
      </c>
      <c r="R38" s="331" t="str">
        <f>_xlfn.LET(_xlpm.val,INDEX('System Specification'!$H$15:$H$47,MATCH($A38,'System Specification'!$B$15:$B$47,0)),
IF(_xlpm.val="","",_xlpm.val))</f>
        <v>No</v>
      </c>
      <c r="S38" s="241">
        <f>IF($R38="No",0,INDEX(Site_Data_Table,MATCH($A38,'Site Data'!$A$5:$A$37,0),MATCH(S$30,Site_Data_Column_Names,0)))</f>
        <v>0</v>
      </c>
      <c r="T38" s="242">
        <f t="shared" si="0"/>
        <v>0</v>
      </c>
      <c r="U38" s="181"/>
      <c r="V38" s="287">
        <v>15000</v>
      </c>
      <c r="W38" s="174">
        <f t="shared" si="1"/>
        <v>15000</v>
      </c>
    </row>
    <row r="39" spans="1:23" ht="15.3" x14ac:dyDescent="0.55000000000000004">
      <c r="A39" s="61">
        <v>9</v>
      </c>
      <c r="B39" s="462" t="str">
        <f>INDEX(Site_Data_Table,MATCH($A39,'Site Data'!$A$5:$A$37,0),MATCH(B$30,Site_Data_Column_Names,0))</f>
        <v>Delano/North Kern Court</v>
      </c>
      <c r="C39" s="463" t="e">
        <f>INDEX(Site_Data_Table,MATCH($A39,'Site Data'!$A$5:$A$37,0),MATCH(C$30,Site_Data_Column_Names,0))</f>
        <v>#N/A</v>
      </c>
      <c r="D39" s="199" t="str">
        <f>INDEX(Site_Data_Table,MATCH($A39,'Site Data'!$A$5:$A$37,0),MATCH(D$30,Site_Data_Column_Names,0))</f>
        <v>15-D1</v>
      </c>
      <c r="E39" s="176">
        <f>INDEX(Prod_Yr_1,MATCH($A39,'System Specification'!$B$15:$B$46,0))</f>
        <v>0</v>
      </c>
      <c r="F39" s="179" t="str">
        <f>INDEX(Site_Data_Table,MATCH($A39,'Site Data'!$A$5:$A$37,0),MATCH(F$30,Site_Data_Column_Names,0))</f>
        <v>SCE</v>
      </c>
      <c r="G39" s="218" t="s">
        <v>329</v>
      </c>
      <c r="H39" s="261">
        <f>INDEX(Site_Data_Table,MATCH($A39,'Site Data'!$A$5:$A$37,0),MATCH(H$30,Site_Data_Column_Names,0))</f>
        <v>20</v>
      </c>
      <c r="I39" s="246"/>
      <c r="J39" s="126"/>
      <c r="K39" s="537"/>
      <c r="L39" s="538"/>
      <c r="M39" s="539"/>
      <c r="N39" s="181"/>
      <c r="O39" s="265"/>
      <c r="P39" s="265"/>
      <c r="Q39" s="132" t="str">
        <f>IF(N39=0,"",IFERROR(N39*$H39*12/#REF!/1000,""))</f>
        <v/>
      </c>
      <c r="R39" s="331" t="str">
        <f>_xlfn.LET(_xlpm.val,INDEX('System Specification'!$H$15:$H$47,MATCH($A39,'System Specification'!$B$15:$B$47,0)),
IF(_xlpm.val="","",_xlpm.val))</f>
        <v/>
      </c>
      <c r="S39" s="241" t="str">
        <f>IF($R39="No",0,INDEX(Site_Data_Table,MATCH($A39,'Site Data'!$A$5:$A$37,0),MATCH(S$30,Site_Data_Column_Names,0)))</f>
        <v/>
      </c>
      <c r="T39" s="242" t="str">
        <f t="shared" si="0"/>
        <v/>
      </c>
      <c r="U39" s="181"/>
      <c r="V39" s="287">
        <v>15000</v>
      </c>
      <c r="W39" s="174">
        <f t="shared" si="1"/>
        <v>15000</v>
      </c>
    </row>
    <row r="40" spans="1:23" ht="15.3" x14ac:dyDescent="0.55000000000000004">
      <c r="A40" s="61">
        <v>10</v>
      </c>
      <c r="B40" s="462" t="str">
        <f>INDEX(Site_Data_Table,MATCH($A40,'Site Data'!$A$5:$A$37,0),MATCH(B$30,Site_Data_Column_Names,0))</f>
        <v>Kings Superior Court</v>
      </c>
      <c r="C40" s="463" t="e">
        <f>INDEX(Site_Data_Table,MATCH($A40,'Site Data'!$A$5:$A$37,0),MATCH(C$30,Site_Data_Column_Names,0))</f>
        <v>#N/A</v>
      </c>
      <c r="D40" s="199" t="str">
        <f>INDEX(Site_Data_Table,MATCH($A40,'Site Data'!$A$5:$A$37,0),MATCH(D$30,Site_Data_Column_Names,0))</f>
        <v>16-A5</v>
      </c>
      <c r="E40" s="176">
        <f>INDEX(Prod_Yr_1,MATCH($A40,'System Specification'!$B$15:$B$46,0))</f>
        <v>0</v>
      </c>
      <c r="F40" s="179" t="str">
        <f>INDEX(Site_Data_Table,MATCH($A40,'Site Data'!$A$5:$A$37,0),MATCH(F$30,Site_Data_Column_Names,0))</f>
        <v>SCE</v>
      </c>
      <c r="G40" s="218" t="s">
        <v>329</v>
      </c>
      <c r="H40" s="261">
        <f>INDEX(Site_Data_Table,MATCH($A40,'Site Data'!$A$5:$A$37,0),MATCH(H$30,Site_Data_Column_Names,0))</f>
        <v>20</v>
      </c>
      <c r="I40" s="246"/>
      <c r="J40" s="126"/>
      <c r="K40" s="537"/>
      <c r="L40" s="538"/>
      <c r="M40" s="539"/>
      <c r="N40" s="181"/>
      <c r="O40" s="265"/>
      <c r="P40" s="265"/>
      <c r="Q40" s="132" t="str">
        <f>IF(N40=0,"",IFERROR(N40*$H40*12/#REF!/1000,""))</f>
        <v/>
      </c>
      <c r="R40" s="331" t="str">
        <f>_xlfn.LET(_xlpm.val,INDEX('System Specification'!$H$15:$H$47,MATCH($A40,'System Specification'!$B$15:$B$47,0)),
IF(_xlpm.val="","",_xlpm.val))</f>
        <v>No</v>
      </c>
      <c r="S40" s="241">
        <f>IF($R40="No",0,INDEX(Site_Data_Table,MATCH($A40,'Site Data'!$A$5:$A$37,0),MATCH(S$30,Site_Data_Column_Names,0)))</f>
        <v>0</v>
      </c>
      <c r="T40" s="242">
        <f t="shared" si="0"/>
        <v>0</v>
      </c>
      <c r="U40" s="181"/>
      <c r="V40" s="287">
        <v>15000</v>
      </c>
      <c r="W40" s="174">
        <f t="shared" si="1"/>
        <v>15000</v>
      </c>
    </row>
    <row r="41" spans="1:23" ht="15.3" x14ac:dyDescent="0.55000000000000004">
      <c r="A41" s="61">
        <v>11</v>
      </c>
      <c r="B41" s="462" t="str">
        <f>INDEX(Site_Data_Table,MATCH($A41,'Site Data'!$A$5:$A$37,0),MATCH(B$30,Site_Data_Column_Names,0))</f>
        <v>Whittier Courthouse</v>
      </c>
      <c r="C41" s="463" t="e">
        <f>INDEX(Site_Data_Table,MATCH($A41,'Site Data'!$A$5:$A$37,0),MATCH(C$30,Site_Data_Column_Names,0))</f>
        <v>#N/A</v>
      </c>
      <c r="D41" s="199" t="str">
        <f>INDEX(Site_Data_Table,MATCH($A41,'Site Data'!$A$5:$A$37,0),MATCH(D$30,Site_Data_Column_Names,0))</f>
        <v>19-AO1</v>
      </c>
      <c r="E41" s="176">
        <f>INDEX(Prod_Yr_1,MATCH($A41,'System Specification'!$B$15:$B$46,0))</f>
        <v>0</v>
      </c>
      <c r="F41" s="179" t="str">
        <f>INDEX(Site_Data_Table,MATCH($A41,'Site Data'!$A$5:$A$37,0),MATCH(F$30,Site_Data_Column_Names,0))</f>
        <v>SCE / Clean Power Alliance</v>
      </c>
      <c r="G41" s="218" t="s">
        <v>329</v>
      </c>
      <c r="H41" s="261">
        <f>INDEX(Site_Data_Table,MATCH($A41,'Site Data'!$A$5:$A$37,0),MATCH(H$30,Site_Data_Column_Names,0))</f>
        <v>20</v>
      </c>
      <c r="I41" s="246"/>
      <c r="J41" s="126"/>
      <c r="K41" s="537"/>
      <c r="L41" s="538"/>
      <c r="M41" s="539"/>
      <c r="N41" s="181"/>
      <c r="O41" s="265"/>
      <c r="P41" s="265"/>
      <c r="Q41" s="132" t="str">
        <f>IF(N41=0,"",IFERROR(N41*$H41*12/#REF!/1000,""))</f>
        <v/>
      </c>
      <c r="R41" s="331" t="str">
        <f>_xlfn.LET(_xlpm.val,INDEX('System Specification'!$H$15:$H$47,MATCH($A41,'System Specification'!$B$15:$B$47,0)),
IF(_xlpm.val="","",_xlpm.val))</f>
        <v>No</v>
      </c>
      <c r="S41" s="241">
        <f>IF($R41="No",0,INDEX(Site_Data_Table,MATCH($A41,'Site Data'!$A$5:$A$37,0),MATCH(S$30,Site_Data_Column_Names,0)))</f>
        <v>0</v>
      </c>
      <c r="T41" s="242">
        <f t="shared" si="0"/>
        <v>0</v>
      </c>
      <c r="U41" s="181"/>
      <c r="V41" s="287">
        <v>15000</v>
      </c>
      <c r="W41" s="174">
        <f t="shared" si="1"/>
        <v>15000</v>
      </c>
    </row>
    <row r="42" spans="1:23" ht="15.3" x14ac:dyDescent="0.55000000000000004">
      <c r="A42" s="61">
        <v>12</v>
      </c>
      <c r="B42" s="462" t="str">
        <f>INDEX(Site_Data_Table,MATCH($A42,'Site Data'!$A$5:$A$37,0),MATCH(B$30,Site_Data_Column_Names,0))</f>
        <v>Santa Monica Courthouse</v>
      </c>
      <c r="C42" s="463" t="e">
        <f>INDEX(Site_Data_Table,MATCH($A42,'Site Data'!$A$5:$A$37,0),MATCH(C$30,Site_Data_Column_Names,0))</f>
        <v>#N/A</v>
      </c>
      <c r="D42" s="199" t="str">
        <f>INDEX(Site_Data_Table,MATCH($A42,'Site Data'!$A$5:$A$37,0),MATCH(D$30,Site_Data_Column_Names,0))</f>
        <v>19-AP1</v>
      </c>
      <c r="E42" s="176">
        <f>INDEX(Prod_Yr_1,MATCH($A42,'System Specification'!$B$15:$B$46,0))</f>
        <v>0</v>
      </c>
      <c r="F42" s="179" t="str">
        <f>INDEX(Site_Data_Table,MATCH($A42,'Site Data'!$A$5:$A$37,0),MATCH(F$30,Site_Data_Column_Names,0))</f>
        <v>SCE / Clean Power Alliance</v>
      </c>
      <c r="G42" s="218" t="s">
        <v>329</v>
      </c>
      <c r="H42" s="261">
        <f>INDEX(Site_Data_Table,MATCH($A42,'Site Data'!$A$5:$A$37,0),MATCH(H$30,Site_Data_Column_Names,0))</f>
        <v>18</v>
      </c>
      <c r="I42" s="246"/>
      <c r="J42" s="126"/>
      <c r="K42" s="537"/>
      <c r="L42" s="538"/>
      <c r="M42" s="539"/>
      <c r="N42" s="181"/>
      <c r="O42" s="265"/>
      <c r="P42" s="265"/>
      <c r="Q42" s="132" t="str">
        <f>IF(N42=0,"",IFERROR(N42*$H42*12/#REF!/1000,""))</f>
        <v/>
      </c>
      <c r="R42" s="331" t="str">
        <f>_xlfn.LET(_xlpm.val,INDEX('System Specification'!$H$15:$H$47,MATCH($A42,'System Specification'!$B$15:$B$47,0)),
IF(_xlpm.val="","",_xlpm.val))</f>
        <v/>
      </c>
      <c r="S42" s="241">
        <f>IF($R42="No",0,INDEX(Site_Data_Table,MATCH($A42,'Site Data'!$A$5:$A$37,0),MATCH(S$30,Site_Data_Column_Names,0)))</f>
        <v>0</v>
      </c>
      <c r="T42" s="242">
        <f t="shared" si="0"/>
        <v>0</v>
      </c>
      <c r="U42" s="181"/>
      <c r="V42" s="287">
        <v>15000</v>
      </c>
      <c r="W42" s="174">
        <f t="shared" si="1"/>
        <v>15000</v>
      </c>
    </row>
    <row r="43" spans="1:23" ht="15.3" x14ac:dyDescent="0.55000000000000004">
      <c r="A43" s="61">
        <v>13</v>
      </c>
      <c r="B43" s="462" t="str">
        <f>INDEX(Site_Data_Table,MATCH($A43,'Site Data'!$A$5:$A$37,0),MATCH(B$30,Site_Data_Column_Names,0))</f>
        <v>Van Nuys Courthouse East</v>
      </c>
      <c r="C43" s="463" t="e">
        <f>INDEX(Site_Data_Table,MATCH($A43,'Site Data'!$A$5:$A$37,0),MATCH(C$30,Site_Data_Column_Names,0))</f>
        <v>#N/A</v>
      </c>
      <c r="D43" s="199" t="str">
        <f>INDEX(Site_Data_Table,MATCH($A43,'Site Data'!$A$5:$A$37,0),MATCH(D$30,Site_Data_Column_Names,0))</f>
        <v>19-AX1</v>
      </c>
      <c r="E43" s="176">
        <f>INDEX(Prod_Yr_1,MATCH($A43,'System Specification'!$B$15:$B$46,0))</f>
        <v>0</v>
      </c>
      <c r="F43" s="179" t="str">
        <f>INDEX(Site_Data_Table,MATCH($A43,'Site Data'!$A$5:$A$37,0),MATCH(F$30,Site_Data_Column_Names,0))</f>
        <v>LADWP</v>
      </c>
      <c r="G43" s="179" t="s">
        <v>338</v>
      </c>
      <c r="H43" s="261">
        <f>INDEX(Site_Data_Table,MATCH($A43,'Site Data'!$A$5:$A$37,0),MATCH(H$30,Site_Data_Column_Names,0))</f>
        <v>20</v>
      </c>
      <c r="I43" s="247"/>
      <c r="J43" s="183"/>
      <c r="K43" s="540"/>
      <c r="L43" s="541"/>
      <c r="M43" s="542"/>
      <c r="N43" s="537"/>
      <c r="O43" s="546"/>
      <c r="P43" s="546"/>
      <c r="Q43" s="132" t="str">
        <f>IF(N43=0,"",IFERROR(N43*$H43*12/#REF!/1000,""))</f>
        <v/>
      </c>
      <c r="R43" s="331" t="str">
        <f>_xlfn.LET(_xlpm.val,INDEX('System Specification'!$H$15:$H$47,MATCH($A43,'System Specification'!$B$15:$B$47,0)),
IF(_xlpm.val="","",_xlpm.val))</f>
        <v>No</v>
      </c>
      <c r="S43" s="241">
        <f>IF($R43="No",0,INDEX(Site_Data_Table,MATCH($A43,'Site Data'!$A$5:$A$37,0),MATCH(S$30,Site_Data_Column_Names,0)))</f>
        <v>0</v>
      </c>
      <c r="T43" s="242">
        <f t="shared" si="0"/>
        <v>0</v>
      </c>
      <c r="U43" s="181"/>
      <c r="V43" s="287">
        <v>15000</v>
      </c>
      <c r="W43" s="174">
        <f t="shared" si="1"/>
        <v>15000</v>
      </c>
    </row>
    <row r="44" spans="1:23" ht="15.3" x14ac:dyDescent="0.55000000000000004">
      <c r="A44" s="61">
        <v>14</v>
      </c>
      <c r="B44" s="462" t="str">
        <f>INDEX(Site_Data_Table,MATCH($A44,'Site Data'!$A$5:$A$37,0),MATCH(B$30,Site_Data_Column_Names,0))</f>
        <v>Torrance Courthouse</v>
      </c>
      <c r="C44" s="463" t="e">
        <f>INDEX(Site_Data_Table,MATCH($A44,'Site Data'!$A$5:$A$37,0),MATCH(C$30,Site_Data_Column_Names,0))</f>
        <v>#N/A</v>
      </c>
      <c r="D44" s="199" t="str">
        <f>INDEX(Site_Data_Table,MATCH($A44,'Site Data'!$A$5:$A$37,0),MATCH(D$30,Site_Data_Column_Names,0))</f>
        <v>19-C1</v>
      </c>
      <c r="E44" s="176">
        <f>INDEX(Prod_Yr_1,MATCH($A44,'System Specification'!$B$15:$B$46,0))</f>
        <v>0</v>
      </c>
      <c r="F44" s="179" t="str">
        <f>INDEX(Site_Data_Table,MATCH($A44,'Site Data'!$A$5:$A$37,0),MATCH(F$30,Site_Data_Column_Names,0))</f>
        <v>SCE</v>
      </c>
      <c r="G44" s="218" t="s">
        <v>329</v>
      </c>
      <c r="H44" s="261">
        <f>INDEX(Site_Data_Table,MATCH($A44,'Site Data'!$A$5:$A$37,0),MATCH(H$30,Site_Data_Column_Names,0))</f>
        <v>20</v>
      </c>
      <c r="I44" s="246"/>
      <c r="J44" s="126"/>
      <c r="K44" s="537"/>
      <c r="L44" s="538"/>
      <c r="M44" s="539"/>
      <c r="N44" s="181"/>
      <c r="O44" s="265"/>
      <c r="P44" s="265"/>
      <c r="Q44" s="132" t="str">
        <f>IF(N44=0,"",IFERROR(N44*$H44*12/#REF!/1000,""))</f>
        <v/>
      </c>
      <c r="R44" s="331" t="str">
        <f>_xlfn.LET(_xlpm.val,INDEX('System Specification'!$H$15:$H$47,MATCH($A44,'System Specification'!$B$15:$B$47,0)),
IF(_xlpm.val="","",_xlpm.val))</f>
        <v>No</v>
      </c>
      <c r="S44" s="241">
        <f>IF($R44="No",0,INDEX(Site_Data_Table,MATCH($A44,'Site Data'!$A$5:$A$37,0),MATCH(S$30,Site_Data_Column_Names,0)))</f>
        <v>0</v>
      </c>
      <c r="T44" s="242">
        <f t="shared" si="0"/>
        <v>0</v>
      </c>
      <c r="U44" s="173">
        <v>600000</v>
      </c>
      <c r="V44" s="287">
        <v>15000</v>
      </c>
      <c r="W44" s="174">
        <f t="shared" si="1"/>
        <v>615000</v>
      </c>
    </row>
    <row r="45" spans="1:23" ht="15.3" x14ac:dyDescent="0.55000000000000004">
      <c r="A45" s="61">
        <v>15</v>
      </c>
      <c r="B45" s="462" t="str">
        <f>INDEX(Site_Data_Table,MATCH($A45,'Site Data'!$A$5:$A$37,0),MATCH(B$30,Site_Data_Column_Names,0))</f>
        <v>Glendale Courthouse</v>
      </c>
      <c r="C45" s="463" t="e">
        <f>INDEX(Site_Data_Table,MATCH($A45,'Site Data'!$A$5:$A$37,0),MATCH(C$30,Site_Data_Column_Names,0))</f>
        <v>#N/A</v>
      </c>
      <c r="D45" s="199" t="str">
        <f>INDEX(Site_Data_Table,MATCH($A45,'Site Data'!$A$5:$A$37,0),MATCH(D$30,Site_Data_Column_Names,0))</f>
        <v>19-H1</v>
      </c>
      <c r="E45" s="176">
        <f>INDEX(Prod_Yr_1,MATCH($A45,'System Specification'!$B$15:$B$46,0))</f>
        <v>0</v>
      </c>
      <c r="F45" s="179" t="str">
        <f>INDEX(Site_Data_Table,MATCH($A45,'Site Data'!$A$5:$A$37,0),MATCH(F$30,Site_Data_Column_Names,0))</f>
        <v>Glendale Water &amp; Power</v>
      </c>
      <c r="G45" s="179" t="s">
        <v>338</v>
      </c>
      <c r="H45" s="261">
        <f>INDEX(Site_Data_Table,MATCH($A45,'Site Data'!$A$5:$A$37,0),MATCH(H$30,Site_Data_Column_Names,0))</f>
        <v>20</v>
      </c>
      <c r="I45" s="247"/>
      <c r="J45" s="183"/>
      <c r="K45" s="540"/>
      <c r="L45" s="541"/>
      <c r="M45" s="542"/>
      <c r="N45" s="537"/>
      <c r="O45" s="546"/>
      <c r="P45" s="546"/>
      <c r="Q45" s="132" t="str">
        <f>IF(N45=0,"",IFERROR(N45*$H45*12/#REF!/1000,""))</f>
        <v/>
      </c>
      <c r="R45" s="331" t="str">
        <f>_xlfn.LET(_xlpm.val,INDEX('System Specification'!$H$15:$H$47,MATCH($A45,'System Specification'!$B$15:$B$47,0)),
IF(_xlpm.val="","",_xlpm.val))</f>
        <v>No</v>
      </c>
      <c r="S45" s="241">
        <f>IF($R45="No",0,INDEX(Site_Data_Table,MATCH($A45,'Site Data'!$A$5:$A$37,0),MATCH(S$30,Site_Data_Column_Names,0)))</f>
        <v>0</v>
      </c>
      <c r="T45" s="242">
        <f t="shared" si="0"/>
        <v>0</v>
      </c>
      <c r="U45" s="181"/>
      <c r="V45" s="287">
        <v>15000</v>
      </c>
      <c r="W45" s="174">
        <f t="shared" si="1"/>
        <v>15000</v>
      </c>
    </row>
    <row r="46" spans="1:23" ht="15.3" x14ac:dyDescent="0.55000000000000004">
      <c r="A46" s="61">
        <v>16</v>
      </c>
      <c r="B46" s="462" t="str">
        <f>INDEX(Site_Data_Table,MATCH($A46,'Site Data'!$A$5:$A$37,0),MATCH(B$30,Site_Data_Column_Names,0))</f>
        <v>Monrovia Training Center</v>
      </c>
      <c r="C46" s="463" t="e">
        <f>INDEX(Site_Data_Table,MATCH($A46,'Site Data'!$A$5:$A$37,0),MATCH(C$30,Site_Data_Column_Names,0))</f>
        <v>#N/A</v>
      </c>
      <c r="D46" s="199" t="str">
        <f>INDEX(Site_Data_Table,MATCH($A46,'Site Data'!$A$5:$A$37,0),MATCH(D$30,Site_Data_Column_Names,0))</f>
        <v>19-N1</v>
      </c>
      <c r="E46" s="176">
        <f>INDEX(Prod_Yr_1,MATCH($A46,'System Specification'!$B$15:$B$46,0))</f>
        <v>0</v>
      </c>
      <c r="F46" s="179" t="str">
        <f>INDEX(Site_Data_Table,MATCH($A46,'Site Data'!$A$5:$A$37,0),MATCH(F$30,Site_Data_Column_Names,0))</f>
        <v>SCE</v>
      </c>
      <c r="G46" s="218" t="s">
        <v>329</v>
      </c>
      <c r="H46" s="261">
        <f>INDEX(Site_Data_Table,MATCH($A46,'Site Data'!$A$5:$A$37,0),MATCH(H$30,Site_Data_Column_Names,0))</f>
        <v>20</v>
      </c>
      <c r="I46" s="246"/>
      <c r="J46" s="126"/>
      <c r="K46" s="537"/>
      <c r="L46" s="538"/>
      <c r="M46" s="539"/>
      <c r="N46" s="181"/>
      <c r="O46" s="265"/>
      <c r="P46" s="265"/>
      <c r="Q46" s="132" t="str">
        <f>IF(N46=0,"",IFERROR(N46*$H46*12/#REF!/1000,""))</f>
        <v/>
      </c>
      <c r="R46" s="331" t="str">
        <f>_xlfn.LET(_xlpm.val,INDEX('System Specification'!$H$15:$H$47,MATCH($A46,'System Specification'!$B$15:$B$47,0)),
IF(_xlpm.val="","",_xlpm.val))</f>
        <v/>
      </c>
      <c r="S46" s="241">
        <f>IF($R46="No",0,INDEX(Site_Data_Table,MATCH($A46,'Site Data'!$A$5:$A$37,0),MATCH(S$30,Site_Data_Column_Names,0)))</f>
        <v>0</v>
      </c>
      <c r="T46" s="242">
        <f t="shared" si="0"/>
        <v>0</v>
      </c>
      <c r="U46" s="181"/>
      <c r="V46" s="287">
        <v>15000</v>
      </c>
      <c r="W46" s="174">
        <f t="shared" si="1"/>
        <v>15000</v>
      </c>
    </row>
    <row r="47" spans="1:23" ht="15.3" x14ac:dyDescent="0.55000000000000004">
      <c r="A47" s="61">
        <v>17</v>
      </c>
      <c r="B47" s="462" t="str">
        <f>INDEX(Site_Data_Table,MATCH($A47,'Site Data'!$A$5:$A$37,0),MATCH(B$30,Site_Data_Column_Names,0))</f>
        <v>Edmund D. Edelman Children's Court</v>
      </c>
      <c r="C47" s="463" t="e">
        <f>INDEX(Site_Data_Table,MATCH($A47,'Site Data'!$A$5:$A$37,0),MATCH(C$30,Site_Data_Column_Names,0))</f>
        <v>#N/A</v>
      </c>
      <c r="D47" s="199" t="str">
        <f>INDEX(Site_Data_Table,MATCH($A47,'Site Data'!$A$5:$A$37,0),MATCH(D$30,Site_Data_Column_Names,0))</f>
        <v>19-Q1</v>
      </c>
      <c r="E47" s="176">
        <f>INDEX(Prod_Yr_1,MATCH($A47,'System Specification'!$B$15:$B$46,0))</f>
        <v>0</v>
      </c>
      <c r="F47" s="179" t="str">
        <f>INDEX(Site_Data_Table,MATCH($A47,'Site Data'!$A$5:$A$37,0),MATCH(F$30,Site_Data_Column_Names,0))</f>
        <v>SCE</v>
      </c>
      <c r="G47" s="218" t="s">
        <v>329</v>
      </c>
      <c r="H47" s="261">
        <f>INDEX(Site_Data_Table,MATCH($A47,'Site Data'!$A$5:$A$37,0),MATCH(H$30,Site_Data_Column_Names,0))</f>
        <v>20</v>
      </c>
      <c r="I47" s="246"/>
      <c r="J47" s="126"/>
      <c r="K47" s="537"/>
      <c r="L47" s="538"/>
      <c r="M47" s="539"/>
      <c r="N47" s="181"/>
      <c r="O47" s="265"/>
      <c r="P47" s="265"/>
      <c r="Q47" s="132" t="str">
        <f>IF(N47=0,"",IFERROR(N47*$H47*12/#REF!/1000,""))</f>
        <v/>
      </c>
      <c r="R47" s="331" t="str">
        <f>_xlfn.LET(_xlpm.val,INDEX('System Specification'!$H$15:$H$47,MATCH($A47,'System Specification'!$B$15:$B$47,0)),
IF(_xlpm.val="","",_xlpm.val))</f>
        <v>No</v>
      </c>
      <c r="S47" s="241">
        <f>IF($R47="No",0,INDEX(Site_Data_Table,MATCH($A47,'Site Data'!$A$5:$A$37,0),MATCH(S$30,Site_Data_Column_Names,0)))</f>
        <v>0</v>
      </c>
      <c r="T47" s="242">
        <f t="shared" si="0"/>
        <v>0</v>
      </c>
      <c r="U47" s="181"/>
      <c r="V47" s="287">
        <v>15000</v>
      </c>
      <c r="W47" s="174">
        <f t="shared" si="1"/>
        <v>15000</v>
      </c>
    </row>
    <row r="48" spans="1:23" ht="15.3" x14ac:dyDescent="0.55000000000000004">
      <c r="A48" s="61">
        <v>18</v>
      </c>
      <c r="B48" s="462" t="str">
        <f>INDEX(Site_Data_Table,MATCH($A48,'Site Data'!$A$5:$A$37,0),MATCH(B$30,Site_Data_Column_Names,0))</f>
        <v>Hollywood Courthouse</v>
      </c>
      <c r="C48" s="463" t="e">
        <f>INDEX(Site_Data_Table,MATCH($A48,'Site Data'!$A$5:$A$37,0),MATCH(C$30,Site_Data_Column_Names,0))</f>
        <v>#N/A</v>
      </c>
      <c r="D48" s="199" t="str">
        <f>INDEX(Site_Data_Table,MATCH($A48,'Site Data'!$A$5:$A$37,0),MATCH(D$30,Site_Data_Column_Names,0))</f>
        <v>19-S1</v>
      </c>
      <c r="E48" s="176">
        <f>INDEX(Prod_Yr_1,MATCH($A48,'System Specification'!$B$15:$B$46,0))</f>
        <v>0</v>
      </c>
      <c r="F48" s="179" t="str">
        <f>INDEX(Site_Data_Table,MATCH($A48,'Site Data'!$A$5:$A$37,0),MATCH(F$30,Site_Data_Column_Names,0))</f>
        <v>LADWP</v>
      </c>
      <c r="G48" s="179" t="s">
        <v>338</v>
      </c>
      <c r="H48" s="261">
        <f>INDEX(Site_Data_Table,MATCH($A48,'Site Data'!$A$5:$A$37,0),MATCH(H$30,Site_Data_Column_Names,0))</f>
        <v>20</v>
      </c>
      <c r="I48" s="247"/>
      <c r="J48" s="183"/>
      <c r="K48" s="540"/>
      <c r="L48" s="541"/>
      <c r="M48" s="542"/>
      <c r="N48" s="537"/>
      <c r="O48" s="546"/>
      <c r="P48" s="546"/>
      <c r="Q48" s="132" t="str">
        <f>IF(N48=0,"",IFERROR(N48*$H48*12/#REF!/1000,""))</f>
        <v/>
      </c>
      <c r="R48" s="331" t="str">
        <f>_xlfn.LET(_xlpm.val,INDEX('System Specification'!$H$15:$H$47,MATCH($A48,'System Specification'!$B$15:$B$47,0)),
IF(_xlpm.val="","",_xlpm.val))</f>
        <v>No</v>
      </c>
      <c r="S48" s="241">
        <f>IF($R48="No",0,INDEX(Site_Data_Table,MATCH($A48,'Site Data'!$A$5:$A$37,0),MATCH(S$30,Site_Data_Column_Names,0)))</f>
        <v>0</v>
      </c>
      <c r="T48" s="242">
        <f t="shared" si="0"/>
        <v>0</v>
      </c>
      <c r="U48" s="181"/>
      <c r="V48" s="287">
        <v>15000</v>
      </c>
      <c r="W48" s="174">
        <f t="shared" si="1"/>
        <v>15000</v>
      </c>
    </row>
    <row r="49" spans="1:23" ht="15.3" x14ac:dyDescent="0.55000000000000004">
      <c r="A49" s="61">
        <v>19</v>
      </c>
      <c r="B49" s="462" t="str">
        <f>INDEX(Site_Data_Table,MATCH($A49,'Site Data'!$A$5:$A$37,0),MATCH(B$30,Site_Data_Column_Names,0))</f>
        <v>Pomona Courthouse South</v>
      </c>
      <c r="C49" s="463" t="e">
        <f>INDEX(Site_Data_Table,MATCH($A49,'Site Data'!$A$5:$A$37,0),MATCH(C$30,Site_Data_Column_Names,0))</f>
        <v>#N/A</v>
      </c>
      <c r="D49" s="199" t="str">
        <f>INDEX(Site_Data_Table,MATCH($A49,'Site Data'!$A$5:$A$37,0),MATCH(D$30,Site_Data_Column_Names,0))</f>
        <v>19-W1</v>
      </c>
      <c r="E49" s="176">
        <f>INDEX(Prod_Yr_1,MATCH($A49,'System Specification'!$B$15:$B$46,0))</f>
        <v>0</v>
      </c>
      <c r="F49" s="179" t="str">
        <f>INDEX(Site_Data_Table,MATCH($A49,'Site Data'!$A$5:$A$37,0),MATCH(F$30,Site_Data_Column_Names,0))</f>
        <v>SCE</v>
      </c>
      <c r="G49" s="218" t="s">
        <v>329</v>
      </c>
      <c r="H49" s="261">
        <f>INDEX(Site_Data_Table,MATCH($A49,'Site Data'!$A$5:$A$37,0),MATCH(H$30,Site_Data_Column_Names,0))</f>
        <v>20</v>
      </c>
      <c r="I49" s="246"/>
      <c r="J49" s="126"/>
      <c r="K49" s="537"/>
      <c r="L49" s="538"/>
      <c r="M49" s="539"/>
      <c r="N49" s="181"/>
      <c r="O49" s="265"/>
      <c r="P49" s="265"/>
      <c r="Q49" s="132" t="str">
        <f>IF(N49=0,"",IFERROR(N49*$H49*12/#REF!/1000,""))</f>
        <v/>
      </c>
      <c r="R49" s="331" t="str">
        <f>_xlfn.LET(_xlpm.val,INDEX('System Specification'!$H$15:$H$47,MATCH($A49,'System Specification'!$B$15:$B$47,0)),
IF(_xlpm.val="","",_xlpm.val))</f>
        <v>No</v>
      </c>
      <c r="S49" s="241">
        <f>IF($R49="No",0,INDEX(Site_Data_Table,MATCH($A49,'Site Data'!$A$5:$A$37,0),MATCH(S$30,Site_Data_Column_Names,0)))</f>
        <v>0</v>
      </c>
      <c r="T49" s="242">
        <f t="shared" si="0"/>
        <v>0</v>
      </c>
      <c r="U49" s="181"/>
      <c r="V49" s="287">
        <v>15000</v>
      </c>
      <c r="W49" s="174">
        <f t="shared" si="1"/>
        <v>15000</v>
      </c>
    </row>
    <row r="50" spans="1:23" ht="15.3" x14ac:dyDescent="0.55000000000000004">
      <c r="A50" s="61">
        <v>20</v>
      </c>
      <c r="B50" s="462" t="str">
        <f>INDEX(Site_Data_Table,MATCH($A50,'Site Data'!$A$5:$A$37,0),MATCH(B$30,Site_Data_Column_Names,0))</f>
        <v>The Robert M. Falasco Justice Center</v>
      </c>
      <c r="C50" s="463" t="e">
        <f>INDEX(Site_Data_Table,MATCH($A50,'Site Data'!$A$5:$A$37,0),MATCH(C$30,Site_Data_Column_Names,0))</f>
        <v>#N/A</v>
      </c>
      <c r="D50" s="199" t="str">
        <f>INDEX(Site_Data_Table,MATCH($A50,'Site Data'!$A$5:$A$37,0),MATCH(D$30,Site_Data_Column_Names,0))</f>
        <v>24-G1</v>
      </c>
      <c r="E50" s="176">
        <f>INDEX(Prod_Yr_1,MATCH($A50,'System Specification'!$B$15:$B$46,0))</f>
        <v>0</v>
      </c>
      <c r="F50" s="179" t="str">
        <f>INDEX(Site_Data_Table,MATCH($A50,'Site Data'!$A$5:$A$37,0),MATCH(F$30,Site_Data_Column_Names,0))</f>
        <v>PG&amp;E</v>
      </c>
      <c r="G50" s="218" t="s">
        <v>329</v>
      </c>
      <c r="H50" s="261">
        <f>INDEX(Site_Data_Table,MATCH($A50,'Site Data'!$A$5:$A$37,0),MATCH(H$30,Site_Data_Column_Names,0))</f>
        <v>20</v>
      </c>
      <c r="I50" s="246"/>
      <c r="J50" s="126"/>
      <c r="K50" s="537"/>
      <c r="L50" s="538"/>
      <c r="M50" s="539"/>
      <c r="N50" s="181"/>
      <c r="O50" s="265"/>
      <c r="P50" s="265"/>
      <c r="Q50" s="132" t="str">
        <f>IF(N50=0,"",IFERROR(N50*$H50*12/#REF!/1000,""))</f>
        <v/>
      </c>
      <c r="R50" s="331" t="str">
        <f>_xlfn.LET(_xlpm.val,INDEX('System Specification'!$H$15:$H$47,MATCH($A50,'System Specification'!$B$15:$B$47,0)),
IF(_xlpm.val="","",_xlpm.val))</f>
        <v>No</v>
      </c>
      <c r="S50" s="241">
        <f>IF($R50="No",0,INDEX(Site_Data_Table,MATCH($A50,'Site Data'!$A$5:$A$37,0),MATCH(S$30,Site_Data_Column_Names,0)))</f>
        <v>0</v>
      </c>
      <c r="T50" s="242">
        <f t="shared" si="0"/>
        <v>0</v>
      </c>
      <c r="U50" s="181"/>
      <c r="V50" s="287">
        <v>15000</v>
      </c>
      <c r="W50" s="174">
        <f t="shared" si="1"/>
        <v>15000</v>
      </c>
    </row>
    <row r="51" spans="1:23" ht="15.3" x14ac:dyDescent="0.55000000000000004">
      <c r="A51" s="61">
        <v>21</v>
      </c>
      <c r="B51" s="462" t="str">
        <f>INDEX(Site_Data_Table,MATCH($A51,'Site Data'!$A$5:$A$37,0),MATCH(B$30,Site_Data_Column_Names,0))</f>
        <v>Mammoth Lakes Courthouse</v>
      </c>
      <c r="C51" s="463" t="e">
        <f>INDEX(Site_Data_Table,MATCH($A51,'Site Data'!$A$5:$A$37,0),MATCH(C$30,Site_Data_Column_Names,0))</f>
        <v>#N/A</v>
      </c>
      <c r="D51" s="199" t="str">
        <f>INDEX(Site_Data_Table,MATCH($A51,'Site Data'!$A$5:$A$37,0),MATCH(D$30,Site_Data_Column_Names,0))</f>
        <v>26-B2</v>
      </c>
      <c r="E51" s="176">
        <f>INDEX(Prod_Yr_1,MATCH($A51,'System Specification'!$B$15:$B$46,0))</f>
        <v>0</v>
      </c>
      <c r="F51" s="179" t="str">
        <f>INDEX(Site_Data_Table,MATCH($A51,'Site Data'!$A$5:$A$37,0),MATCH(F$30,Site_Data_Column_Names,0))</f>
        <v>SCE</v>
      </c>
      <c r="G51" s="218" t="s">
        <v>329</v>
      </c>
      <c r="H51" s="261">
        <f>INDEX(Site_Data_Table,MATCH($A51,'Site Data'!$A$5:$A$37,0),MATCH(H$30,Site_Data_Column_Names,0))</f>
        <v>20</v>
      </c>
      <c r="I51" s="246"/>
      <c r="J51" s="126"/>
      <c r="K51" s="537"/>
      <c r="L51" s="538"/>
      <c r="M51" s="539"/>
      <c r="N51" s="181"/>
      <c r="O51" s="265"/>
      <c r="P51" s="265"/>
      <c r="Q51" s="132" t="str">
        <f>IF(N51=0,"",IFERROR(N51*$H51*12/#REF!/1000,""))</f>
        <v/>
      </c>
      <c r="R51" s="331" t="str">
        <f>_xlfn.LET(_xlpm.val,INDEX('System Specification'!$H$15:$H$47,MATCH($A51,'System Specification'!$B$15:$B$47,0)),
IF(_xlpm.val="","",_xlpm.val))</f>
        <v>No</v>
      </c>
      <c r="S51" s="241">
        <f>IF($R51="No",0,INDEX(Site_Data_Table,MATCH($A51,'Site Data'!$A$5:$A$37,0),MATCH(S$30,Site_Data_Column_Names,0)))</f>
        <v>0</v>
      </c>
      <c r="T51" s="242">
        <f t="shared" si="0"/>
        <v>0</v>
      </c>
      <c r="U51" s="181"/>
      <c r="V51" s="287">
        <v>15000</v>
      </c>
      <c r="W51" s="174">
        <f t="shared" si="1"/>
        <v>15000</v>
      </c>
    </row>
    <row r="52" spans="1:23" ht="15.3" x14ac:dyDescent="0.55000000000000004">
      <c r="A52" s="61">
        <v>22</v>
      </c>
      <c r="B52" s="462" t="str">
        <f>INDEX(Site_Data_Table,MATCH($A52,'Site Data'!$A$5:$A$37,0),MATCH(B$30,Site_Data_Column_Names,0))</f>
        <v>Banning Justice Center</v>
      </c>
      <c r="C52" s="463" t="e">
        <f>INDEX(Site_Data_Table,MATCH($A52,'Site Data'!$A$5:$A$37,0),MATCH(C$30,Site_Data_Column_Names,0))</f>
        <v>#N/A</v>
      </c>
      <c r="D52" s="199" t="str">
        <f>INDEX(Site_Data_Table,MATCH($A52,'Site Data'!$A$5:$A$37,0),MATCH(D$30,Site_Data_Column_Names,0))</f>
        <v>33-G4</v>
      </c>
      <c r="E52" s="176">
        <f>INDEX(Prod_Yr_1,MATCH($A52,'System Specification'!$B$15:$B$46,0))</f>
        <v>0</v>
      </c>
      <c r="F52" s="179" t="str">
        <f>INDEX(Site_Data_Table,MATCH($A52,'Site Data'!$A$5:$A$37,0),MATCH(F$30,Site_Data_Column_Names,0))</f>
        <v>City of Banning</v>
      </c>
      <c r="G52" s="179" t="s">
        <v>338</v>
      </c>
      <c r="H52" s="261">
        <f>INDEX(Site_Data_Table,MATCH($A52,'Site Data'!$A$5:$A$37,0),MATCH(H$30,Site_Data_Column_Names,0))</f>
        <v>20</v>
      </c>
      <c r="I52" s="247"/>
      <c r="J52" s="183"/>
      <c r="K52" s="540"/>
      <c r="L52" s="541"/>
      <c r="M52" s="542"/>
      <c r="N52" s="537"/>
      <c r="O52" s="546"/>
      <c r="P52" s="546"/>
      <c r="Q52" s="132" t="str">
        <f>IF(N52=0,"",IFERROR(N52*$H52*12/#REF!/1000,""))</f>
        <v/>
      </c>
      <c r="R52" s="331" t="str">
        <f>_xlfn.LET(_xlpm.val,INDEX('System Specification'!$H$15:$H$47,MATCH($A52,'System Specification'!$B$15:$B$47,0)),
IF(_xlpm.val="","",_xlpm.val))</f>
        <v>No</v>
      </c>
      <c r="S52" s="241">
        <f>IF($R52="No",0,INDEX(Site_Data_Table,MATCH($A52,'Site Data'!$A$5:$A$37,0),MATCH(S$30,Site_Data_Column_Names,0)))</f>
        <v>0</v>
      </c>
      <c r="T52" s="242">
        <f t="shared" si="0"/>
        <v>0</v>
      </c>
      <c r="U52" s="181"/>
      <c r="V52" s="287">
        <v>15000</v>
      </c>
      <c r="W52" s="174">
        <f t="shared" si="1"/>
        <v>15000</v>
      </c>
    </row>
    <row r="53" spans="1:23" ht="15.3" x14ac:dyDescent="0.55000000000000004">
      <c r="A53" s="61">
        <v>23</v>
      </c>
      <c r="B53" s="462" t="str">
        <f>INDEX(Site_Data_Table,MATCH($A53,'Site Data'!$A$5:$A$37,0),MATCH(B$30,Site_Data_Column_Names,0))</f>
        <v>San Benito County Superior Court</v>
      </c>
      <c r="C53" s="463" t="e">
        <f>INDEX(Site_Data_Table,MATCH($A53,'Site Data'!$A$5:$A$37,0),MATCH(C$30,Site_Data_Column_Names,0))</f>
        <v>#N/A</v>
      </c>
      <c r="D53" s="199" t="str">
        <f>INDEX(Site_Data_Table,MATCH($A53,'Site Data'!$A$5:$A$37,0),MATCH(D$30,Site_Data_Column_Names,0))</f>
        <v>35-C1</v>
      </c>
      <c r="E53" s="176">
        <f>INDEX(Prod_Yr_1,MATCH($A53,'System Specification'!$B$15:$B$46,0))</f>
        <v>0</v>
      </c>
      <c r="F53" s="179" t="str">
        <f>INDEX(Site_Data_Table,MATCH($A53,'Site Data'!$A$5:$A$37,0),MATCH(F$30,Site_Data_Column_Names,0))</f>
        <v>PG&amp;E / CCCE</v>
      </c>
      <c r="G53" s="218" t="s">
        <v>329</v>
      </c>
      <c r="H53" s="261">
        <f>INDEX(Site_Data_Table,MATCH($A53,'Site Data'!$A$5:$A$37,0),MATCH(H$30,Site_Data_Column_Names,0))</f>
        <v>20</v>
      </c>
      <c r="I53" s="246"/>
      <c r="J53" s="126"/>
      <c r="K53" s="537"/>
      <c r="L53" s="538"/>
      <c r="M53" s="539"/>
      <c r="N53" s="181"/>
      <c r="O53" s="265"/>
      <c r="P53" s="265"/>
      <c r="Q53" s="132" t="str">
        <f>IF(N53=0,"",IFERROR(N53*$H53*12/#REF!/1000,""))</f>
        <v/>
      </c>
      <c r="R53" s="331" t="str">
        <f>_xlfn.LET(_xlpm.val,INDEX('System Specification'!$H$15:$H$47,MATCH($A53,'System Specification'!$B$15:$B$47,0)),
IF(_xlpm.val="","",_xlpm.val))</f>
        <v>No</v>
      </c>
      <c r="S53" s="241">
        <f>IF($R53="No",0,INDEX(Site_Data_Table,MATCH($A53,'Site Data'!$A$5:$A$37,0),MATCH(S$30,Site_Data_Column_Names,0)))</f>
        <v>0</v>
      </c>
      <c r="T53" s="242">
        <f t="shared" si="0"/>
        <v>0</v>
      </c>
      <c r="U53" s="181"/>
      <c r="V53" s="287">
        <v>15000</v>
      </c>
      <c r="W53" s="174">
        <f t="shared" si="1"/>
        <v>15000</v>
      </c>
    </row>
    <row r="54" spans="1:23" ht="15.3" x14ac:dyDescent="0.55000000000000004">
      <c r="A54" s="61">
        <v>24</v>
      </c>
      <c r="B54" s="462" t="str">
        <f>INDEX(Site_Data_Table,MATCH($A54,'Site Data'!$A$5:$A$37,0),MATCH(B$30,Site_Data_Column_Names,0))</f>
        <v>San Bernardino Justice Center</v>
      </c>
      <c r="C54" s="463" t="e">
        <f>INDEX(Site_Data_Table,MATCH($A54,'Site Data'!$A$5:$A$37,0),MATCH(C$30,Site_Data_Column_Names,0))</f>
        <v>#N/A</v>
      </c>
      <c r="D54" s="199" t="str">
        <f>INDEX(Site_Data_Table,MATCH($A54,'Site Data'!$A$5:$A$37,0),MATCH(D$30,Site_Data_Column_Names,0))</f>
        <v>36-R1</v>
      </c>
      <c r="E54" s="176">
        <f>INDEX(Prod_Yr_1,MATCH($A54,'System Specification'!$B$15:$B$46,0))</f>
        <v>0</v>
      </c>
      <c r="F54" s="179" t="str">
        <f>INDEX(Site_Data_Table,MATCH($A54,'Site Data'!$A$5:$A$37,0),MATCH(F$30,Site_Data_Column_Names,0))</f>
        <v>SCE</v>
      </c>
      <c r="G54" s="218" t="s">
        <v>329</v>
      </c>
      <c r="H54" s="261">
        <f>INDEX(Site_Data_Table,MATCH($A54,'Site Data'!$A$5:$A$37,0),MATCH(H$30,Site_Data_Column_Names,0))</f>
        <v>20</v>
      </c>
      <c r="I54" s="246"/>
      <c r="J54" s="126"/>
      <c r="K54" s="537"/>
      <c r="L54" s="538"/>
      <c r="M54" s="539"/>
      <c r="N54" s="181"/>
      <c r="O54" s="265"/>
      <c r="P54" s="265"/>
      <c r="Q54" s="132" t="str">
        <f>IF(N54=0,"",IFERROR(N54*$H54*12/#REF!/1000,""))</f>
        <v/>
      </c>
      <c r="R54" s="331" t="str">
        <f>_xlfn.LET(_xlpm.val,INDEX('System Specification'!$H$15:$H$47,MATCH($A54,'System Specification'!$B$15:$B$47,0)),
IF(_xlpm.val="","",_xlpm.val))</f>
        <v>No</v>
      </c>
      <c r="S54" s="241">
        <f>IF($R54="No",0,INDEX(Site_Data_Table,MATCH($A54,'Site Data'!$A$5:$A$37,0),MATCH(S$30,Site_Data_Column_Names,0)))</f>
        <v>0</v>
      </c>
      <c r="T54" s="242">
        <f t="shared" si="0"/>
        <v>0</v>
      </c>
      <c r="U54" s="181"/>
      <c r="V54" s="287">
        <v>15000</v>
      </c>
      <c r="W54" s="174">
        <f t="shared" si="1"/>
        <v>15000</v>
      </c>
    </row>
    <row r="55" spans="1:23" ht="15.3" x14ac:dyDescent="0.55000000000000004">
      <c r="A55" s="61">
        <v>25</v>
      </c>
      <c r="B55" s="462" t="str">
        <f>INDEX(Site_Data_Table,MATCH($A55,'Site Data'!$A$5:$A$37,0),MATCH(B$30,Site_Data_Column_Names,0))</f>
        <v>Kearny Mesa Court</v>
      </c>
      <c r="C55" s="463" t="e">
        <f>INDEX(Site_Data_Table,MATCH($A55,'Site Data'!$A$5:$A$37,0),MATCH(C$30,Site_Data_Column_Names,0))</f>
        <v>#N/A</v>
      </c>
      <c r="D55" s="199" t="str">
        <f>INDEX(Site_Data_Table,MATCH($A55,'Site Data'!$A$5:$A$37,0),MATCH(D$30,Site_Data_Column_Names,0))</f>
        <v>37-C1</v>
      </c>
      <c r="E55" s="176">
        <f>INDEX(Prod_Yr_1,MATCH($A55,'System Specification'!$B$15:$B$46,0))</f>
        <v>0</v>
      </c>
      <c r="F55" s="179" t="str">
        <f>INDEX(Site_Data_Table,MATCH($A55,'Site Data'!$A$5:$A$37,0),MATCH(F$30,Site_Data_Column_Names,0))</f>
        <v>SDG&amp;E / SDCP</v>
      </c>
      <c r="G55" s="218" t="s">
        <v>329</v>
      </c>
      <c r="H55" s="261">
        <f>INDEX(Site_Data_Table,MATCH($A55,'Site Data'!$A$5:$A$37,0),MATCH(H$30,Site_Data_Column_Names,0))</f>
        <v>20</v>
      </c>
      <c r="I55" s="246"/>
      <c r="J55" s="126"/>
      <c r="K55" s="537"/>
      <c r="L55" s="538"/>
      <c r="M55" s="539"/>
      <c r="N55" s="181"/>
      <c r="O55" s="265"/>
      <c r="P55" s="265"/>
      <c r="Q55" s="132" t="str">
        <f>IF(N55=0,"",IFERROR(N55*$H55*12/#REF!/1000,""))</f>
        <v/>
      </c>
      <c r="R55" s="331" t="str">
        <f>_xlfn.LET(_xlpm.val,INDEX('System Specification'!$H$15:$H$47,MATCH($A55,'System Specification'!$B$15:$B$47,0)),
IF(_xlpm.val="","",_xlpm.val))</f>
        <v/>
      </c>
      <c r="S55" s="241" t="str">
        <f>IF($R55="No",0,INDEX(Site_Data_Table,MATCH($A55,'Site Data'!$A$5:$A$37,0),MATCH(S$30,Site_Data_Column_Names,0)))</f>
        <v/>
      </c>
      <c r="T55" s="242" t="str">
        <f t="shared" si="0"/>
        <v/>
      </c>
      <c r="U55" s="181"/>
      <c r="V55" s="287">
        <v>15000</v>
      </c>
      <c r="W55" s="174">
        <f t="shared" si="1"/>
        <v>15000</v>
      </c>
    </row>
    <row r="56" spans="1:23" ht="15.3" x14ac:dyDescent="0.55000000000000004">
      <c r="A56" s="61">
        <v>26</v>
      </c>
      <c r="B56" s="462" t="str">
        <f>INDEX(Site_Data_Table,MATCH($A56,'Site Data'!$A$5:$A$37,0),MATCH(B$30,Site_Data_Column_Names,0))</f>
        <v>East County Regional Center</v>
      </c>
      <c r="C56" s="463" t="e">
        <f>INDEX(Site_Data_Table,MATCH($A56,'Site Data'!$A$5:$A$37,0),MATCH(C$30,Site_Data_Column_Names,0))</f>
        <v>#N/A</v>
      </c>
      <c r="D56" s="199" t="str">
        <f>INDEX(Site_Data_Table,MATCH($A56,'Site Data'!$A$5:$A$37,0),MATCH(D$30,Site_Data_Column_Names,0))</f>
        <v>37-I1</v>
      </c>
      <c r="E56" s="176">
        <f>INDEX(Prod_Yr_1,MATCH($A56,'System Specification'!$B$15:$B$46,0))</f>
        <v>0</v>
      </c>
      <c r="F56" s="179" t="str">
        <f>INDEX(Site_Data_Table,MATCH($A56,'Site Data'!$A$5:$A$37,0),MATCH(F$30,Site_Data_Column_Names,0))</f>
        <v>SDG&amp;E</v>
      </c>
      <c r="G56" s="218" t="s">
        <v>329</v>
      </c>
      <c r="H56" s="261">
        <f>INDEX(Site_Data_Table,MATCH($A56,'Site Data'!$A$5:$A$37,0),MATCH(H$30,Site_Data_Column_Names,0))</f>
        <v>20</v>
      </c>
      <c r="I56" s="246"/>
      <c r="J56" s="126"/>
      <c r="K56" s="537"/>
      <c r="L56" s="538"/>
      <c r="M56" s="539"/>
      <c r="N56" s="181"/>
      <c r="O56" s="265"/>
      <c r="P56" s="265"/>
      <c r="Q56" s="132" t="str">
        <f>IF(N56=0,"",IFERROR(N56*$H56*12/#REF!/1000,""))</f>
        <v/>
      </c>
      <c r="R56" s="331" t="str">
        <f>_xlfn.LET(_xlpm.val,INDEX('System Specification'!$H$15:$H$47,MATCH($A56,'System Specification'!$B$15:$B$47,0)),
IF(_xlpm.val="","",_xlpm.val))</f>
        <v>No</v>
      </c>
      <c r="S56" s="241">
        <f>IF($R56="No",0,INDEX(Site_Data_Table,MATCH($A56,'Site Data'!$A$5:$A$37,0),MATCH(S$30,Site_Data_Column_Names,0)))</f>
        <v>0</v>
      </c>
      <c r="T56" s="242">
        <f t="shared" si="0"/>
        <v>0</v>
      </c>
      <c r="U56" s="181"/>
      <c r="V56" s="287">
        <v>15000</v>
      </c>
      <c r="W56" s="174">
        <f t="shared" si="1"/>
        <v>15000</v>
      </c>
    </row>
    <row r="57" spans="1:23" ht="15.3" x14ac:dyDescent="0.55000000000000004">
      <c r="A57" s="61">
        <v>27</v>
      </c>
      <c r="B57" s="462" t="str">
        <f>INDEX(Site_Data_Table,MATCH($A57,'Site Data'!$A$5:$A$37,0),MATCH(B$30,Site_Data_Column_Names,0))</f>
        <v>Northern Branch Courthouse</v>
      </c>
      <c r="C57" s="463" t="e">
        <f>INDEX(Site_Data_Table,MATCH($A57,'Site Data'!$A$5:$A$37,0),MATCH(C$30,Site_Data_Column_Names,0))</f>
        <v>#N/A</v>
      </c>
      <c r="D57" s="199" t="str">
        <f>INDEX(Site_Data_Table,MATCH($A57,'Site Data'!$A$5:$A$37,0),MATCH(D$30,Site_Data_Column_Names,0))</f>
        <v>41-C1</v>
      </c>
      <c r="E57" s="176">
        <f>INDEX(Prod_Yr_1,MATCH($A57,'System Specification'!$B$15:$B$46,0))</f>
        <v>0</v>
      </c>
      <c r="F57" s="179" t="str">
        <f>INDEX(Site_Data_Table,MATCH($A57,'Site Data'!$A$5:$A$37,0),MATCH(F$30,Site_Data_Column_Names,0))</f>
        <v>PG&amp;E / PCE</v>
      </c>
      <c r="G57" s="218" t="s">
        <v>329</v>
      </c>
      <c r="H57" s="261">
        <f>INDEX(Site_Data_Table,MATCH($A57,'Site Data'!$A$5:$A$37,0),MATCH(H$30,Site_Data_Column_Names,0))</f>
        <v>20</v>
      </c>
      <c r="I57" s="246"/>
      <c r="J57" s="126"/>
      <c r="K57" s="537"/>
      <c r="L57" s="538"/>
      <c r="M57" s="539"/>
      <c r="N57" s="181"/>
      <c r="O57" s="265"/>
      <c r="P57" s="265"/>
      <c r="Q57" s="132" t="str">
        <f>IF(N57=0,"",IFERROR(N57*$H57*12/#REF!/1000,""))</f>
        <v/>
      </c>
      <c r="R57" s="331" t="str">
        <f>_xlfn.LET(_xlpm.val,INDEX('System Specification'!$H$15:$H$47,MATCH($A57,'System Specification'!$B$15:$B$47,0)),
IF(_xlpm.val="","",_xlpm.val))</f>
        <v>No</v>
      </c>
      <c r="S57" s="241">
        <f>IF($R57="No",0,INDEX(Site_Data_Table,MATCH($A57,'Site Data'!$A$5:$A$37,0),MATCH(S$30,Site_Data_Column_Names,0)))</f>
        <v>0</v>
      </c>
      <c r="T57" s="242">
        <f t="shared" si="0"/>
        <v>0</v>
      </c>
      <c r="U57" s="181"/>
      <c r="V57" s="287">
        <v>15000</v>
      </c>
      <c r="W57" s="174">
        <f t="shared" si="1"/>
        <v>15000</v>
      </c>
    </row>
    <row r="58" spans="1:23" ht="15.3" x14ac:dyDescent="0.55000000000000004">
      <c r="A58" s="61">
        <v>28</v>
      </c>
      <c r="B58" s="462" t="str">
        <f>INDEX(Site_Data_Table,MATCH($A58,'Site Data'!$A$5:$A$37,0),MATCH(B$30,Site_Data_Column_Names,0))</f>
        <v>Downtown Superior Court</v>
      </c>
      <c r="C58" s="463" t="e">
        <f>INDEX(Site_Data_Table,MATCH($A58,'Site Data'!$A$5:$A$37,0),MATCH(C$30,Site_Data_Column_Names,0))</f>
        <v>#N/A</v>
      </c>
      <c r="D58" s="199" t="str">
        <f>INDEX(Site_Data_Table,MATCH($A58,'Site Data'!$A$5:$A$37,0),MATCH(D$30,Site_Data_Column_Names,0))</f>
        <v>43-B1</v>
      </c>
      <c r="E58" s="176">
        <f>INDEX(Prod_Yr_1,MATCH($A58,'System Specification'!$B$15:$B$46,0))</f>
        <v>0</v>
      </c>
      <c r="F58" s="179" t="str">
        <f>INDEX(Site_Data_Table,MATCH($A58,'Site Data'!$A$5:$A$37,0),MATCH(F$30,Site_Data_Column_Names,0))</f>
        <v>PG&amp;E / SJCE</v>
      </c>
      <c r="G58" s="218" t="s">
        <v>329</v>
      </c>
      <c r="H58" s="261">
        <f>INDEX(Site_Data_Table,MATCH($A58,'Site Data'!$A$5:$A$37,0),MATCH(H$30,Site_Data_Column_Names,0))</f>
        <v>20</v>
      </c>
      <c r="I58" s="246"/>
      <c r="J58" s="126"/>
      <c r="K58" s="537"/>
      <c r="L58" s="538"/>
      <c r="M58" s="539"/>
      <c r="N58" s="181"/>
      <c r="O58" s="265"/>
      <c r="P58" s="265"/>
      <c r="Q58" s="132" t="str">
        <f>IF(N58=0,"",IFERROR(N58*$H58*12/#REF!/1000,""))</f>
        <v/>
      </c>
      <c r="R58" s="331" t="str">
        <f>_xlfn.LET(_xlpm.val,INDEX('System Specification'!$H$15:$H$47,MATCH($A58,'System Specification'!$B$15:$B$47,0)),
IF(_xlpm.val="","",_xlpm.val))</f>
        <v>No</v>
      </c>
      <c r="S58" s="241">
        <f>IF($R58="No",0,INDEX(Site_Data_Table,MATCH($A58,'Site Data'!$A$5:$A$37,0),MATCH(S$30,Site_Data_Column_Names,0)))</f>
        <v>0</v>
      </c>
      <c r="T58" s="242">
        <f t="shared" si="0"/>
        <v>0</v>
      </c>
      <c r="U58" s="181"/>
      <c r="V58" s="287">
        <v>15000</v>
      </c>
      <c r="W58" s="174">
        <f t="shared" si="1"/>
        <v>15000</v>
      </c>
    </row>
    <row r="59" spans="1:23" ht="15.3" x14ac:dyDescent="0.55000000000000004">
      <c r="A59" s="61">
        <v>29</v>
      </c>
      <c r="B59" s="462" t="str">
        <f>INDEX(Site_Data_Table,MATCH($A59,'Site Data'!$A$5:$A$37,0),MATCH(B$30,Site_Data_Column_Names,0))</f>
        <v>Sutter County Superior Courthouse</v>
      </c>
      <c r="C59" s="463" t="e">
        <f>INDEX(Site_Data_Table,MATCH($A59,'Site Data'!$A$5:$A$37,0),MATCH(C$30,Site_Data_Column_Names,0))</f>
        <v>#N/A</v>
      </c>
      <c r="D59" s="199" t="str">
        <f>INDEX(Site_Data_Table,MATCH($A59,'Site Data'!$A$5:$A$37,0),MATCH(D$30,Site_Data_Column_Names,0))</f>
        <v>51-C1</v>
      </c>
      <c r="E59" s="176">
        <f>INDEX(Prod_Yr_1,MATCH($A59,'System Specification'!$B$15:$B$46,0))</f>
        <v>0</v>
      </c>
      <c r="F59" s="179" t="str">
        <f>INDEX(Site_Data_Table,MATCH($A59,'Site Data'!$A$5:$A$37,0),MATCH(F$30,Site_Data_Column_Names,0))</f>
        <v>PG&amp;E</v>
      </c>
      <c r="G59" s="218" t="s">
        <v>329</v>
      </c>
      <c r="H59" s="261">
        <f>INDEX(Site_Data_Table,MATCH($A59,'Site Data'!$A$5:$A$37,0),MATCH(H$30,Site_Data_Column_Names,0))</f>
        <v>20</v>
      </c>
      <c r="I59" s="246"/>
      <c r="J59" s="126"/>
      <c r="K59" s="537"/>
      <c r="L59" s="538"/>
      <c r="M59" s="539"/>
      <c r="N59" s="181"/>
      <c r="O59" s="265"/>
      <c r="P59" s="265"/>
      <c r="Q59" s="132" t="str">
        <f>IF(N59=0,"",IFERROR(N59*$H59*12/#REF!/1000,""))</f>
        <v/>
      </c>
      <c r="R59" s="331" t="str">
        <f>_xlfn.LET(_xlpm.val,INDEX('System Specification'!$H$15:$H$47,MATCH($A59,'System Specification'!$B$15:$B$47,0)),
IF(_xlpm.val="","",_xlpm.val))</f>
        <v>No</v>
      </c>
      <c r="S59" s="241">
        <f>IF($R59="No",0,INDEX(Site_Data_Table,MATCH($A59,'Site Data'!$A$5:$A$37,0),MATCH(S$30,Site_Data_Column_Names,0)))</f>
        <v>0</v>
      </c>
      <c r="T59" s="242">
        <f t="shared" si="0"/>
        <v>0</v>
      </c>
      <c r="U59" s="181"/>
      <c r="V59" s="287">
        <v>15000</v>
      </c>
      <c r="W59" s="174">
        <f t="shared" si="1"/>
        <v>15000</v>
      </c>
    </row>
    <row r="60" spans="1:23" ht="15.3" x14ac:dyDescent="0.55000000000000004">
      <c r="A60" s="61">
        <v>30</v>
      </c>
      <c r="B60" s="462" t="str">
        <f>INDEX(Site_Data_Table,MATCH($A60,'Site Data'!$A$5:$A$37,0),MATCH(B$30,Site_Data_Column_Names,0))</f>
        <v>Tehama County Courthouse</v>
      </c>
      <c r="C60" s="463" t="e">
        <f>INDEX(Site_Data_Table,MATCH($A60,'Site Data'!$A$5:$A$37,0),MATCH(C$30,Site_Data_Column_Names,0))</f>
        <v>#N/A</v>
      </c>
      <c r="D60" s="199" t="str">
        <f>INDEX(Site_Data_Table,MATCH($A60,'Site Data'!$A$5:$A$37,0),MATCH(D$30,Site_Data_Column_Names,0))</f>
        <v>52-E1</v>
      </c>
      <c r="E60" s="176">
        <f>INDEX(Prod_Yr_1,MATCH($A60,'System Specification'!$B$15:$B$46,0))</f>
        <v>0</v>
      </c>
      <c r="F60" s="179" t="str">
        <f>INDEX(Site_Data_Table,MATCH($A60,'Site Data'!$A$5:$A$37,0),MATCH(F$30,Site_Data_Column_Names,0))</f>
        <v>PG&amp;E</v>
      </c>
      <c r="G60" s="218" t="s">
        <v>329</v>
      </c>
      <c r="H60" s="261">
        <f>INDEX(Site_Data_Table,MATCH($A60,'Site Data'!$A$5:$A$37,0),MATCH(H$30,Site_Data_Column_Names,0))</f>
        <v>20</v>
      </c>
      <c r="I60" s="246"/>
      <c r="J60" s="126"/>
      <c r="K60" s="537"/>
      <c r="L60" s="538"/>
      <c r="M60" s="539"/>
      <c r="N60" s="181"/>
      <c r="O60" s="265"/>
      <c r="P60" s="265"/>
      <c r="Q60" s="132" t="str">
        <f>IF(N60=0,"",IFERROR(N60*$H60*12/#REF!/1000,""))</f>
        <v/>
      </c>
      <c r="R60" s="331" t="str">
        <f>_xlfn.LET(_xlpm.val,INDEX('System Specification'!$H$15:$H$47,MATCH($A60,'System Specification'!$B$15:$B$47,0)),
IF(_xlpm.val="","",_xlpm.val))</f>
        <v/>
      </c>
      <c r="S60" s="241">
        <f>IF($R60="No",0,INDEX(Site_Data_Table,MATCH($A60,'Site Data'!$A$5:$A$37,0),MATCH(S$30,Site_Data_Column_Names,0)))</f>
        <v>0</v>
      </c>
      <c r="T60" s="242">
        <f t="shared" si="0"/>
        <v>0</v>
      </c>
      <c r="U60" s="181"/>
      <c r="V60" s="287">
        <v>15000</v>
      </c>
      <c r="W60" s="174">
        <f t="shared" si="1"/>
        <v>15000</v>
      </c>
    </row>
    <row r="61" spans="1:23" ht="15.3" x14ac:dyDescent="0.55000000000000004">
      <c r="A61" s="61">
        <v>31</v>
      </c>
      <c r="B61" s="462" t="str">
        <f>INDEX(Site_Data_Table,MATCH($A61,'Site Data'!$A$5:$A$37,0),MATCH(B$30,Site_Data_Column_Names,0))</f>
        <v>South County Justice Center</v>
      </c>
      <c r="C61" s="463" t="e">
        <f>INDEX(Site_Data_Table,MATCH($A61,'Site Data'!$A$5:$A$37,0),MATCH(C$30,Site_Data_Column_Names,0))</f>
        <v>#N/A</v>
      </c>
      <c r="D61" s="199" t="str">
        <f>INDEX(Site_Data_Table,MATCH($A61,'Site Data'!$A$5:$A$37,0),MATCH(D$30,Site_Data_Column_Names,0))</f>
        <v>54-I1</v>
      </c>
      <c r="E61" s="176">
        <f>INDEX(Prod_Yr_1,MATCH($A61,'System Specification'!$B$15:$B$46,0))</f>
        <v>0</v>
      </c>
      <c r="F61" s="179" t="str">
        <f>INDEX(Site_Data_Table,MATCH($A61,'Site Data'!$A$5:$A$37,0),MATCH(F$30,Site_Data_Column_Names,0))</f>
        <v>SCE</v>
      </c>
      <c r="G61" s="218" t="s">
        <v>329</v>
      </c>
      <c r="H61" s="261">
        <f>INDEX(Site_Data_Table,MATCH($A61,'Site Data'!$A$5:$A$37,0),MATCH(H$30,Site_Data_Column_Names,0))</f>
        <v>20</v>
      </c>
      <c r="I61" s="246"/>
      <c r="J61" s="126"/>
      <c r="K61" s="537"/>
      <c r="L61" s="538"/>
      <c r="M61" s="539"/>
      <c r="N61" s="181"/>
      <c r="O61" s="265"/>
      <c r="P61" s="265"/>
      <c r="Q61" s="132" t="str">
        <f>IF(N61=0,"",IFERROR(N61*$H61*12/#REF!/1000,""))</f>
        <v/>
      </c>
      <c r="R61" s="331" t="str">
        <f>_xlfn.LET(_xlpm.val,INDEX('System Specification'!$H$15:$H$47,MATCH($A61,'System Specification'!$B$15:$B$47,0)),
IF(_xlpm.val="","",_xlpm.val))</f>
        <v>No</v>
      </c>
      <c r="S61" s="241">
        <f>IF($R61="No",0,INDEX(Site_Data_Table,MATCH($A61,'Site Data'!$A$5:$A$37,0),MATCH(S$30,Site_Data_Column_Names,0)))</f>
        <v>0</v>
      </c>
      <c r="T61" s="242">
        <f t="shared" si="0"/>
        <v>0</v>
      </c>
      <c r="U61" s="181"/>
      <c r="V61" s="287">
        <v>15000</v>
      </c>
      <c r="W61" s="174">
        <f t="shared" si="1"/>
        <v>15000</v>
      </c>
    </row>
    <row r="62" spans="1:23" ht="15.6" customHeight="1" thickBot="1" x14ac:dyDescent="0.6">
      <c r="A62" s="62">
        <v>32</v>
      </c>
      <c r="B62" s="476" t="str">
        <f>INDEX(Site_Data_Table,MATCH($A62,'Site Data'!$A$5:$A$37,0),MATCH(B$30,Site_Data_Column_Names,0))</f>
        <v>Yolo Superior Court</v>
      </c>
      <c r="C62" s="477" t="e">
        <f>INDEX(Site_Data_Table,MATCH($A62,'Site Data'!$A$5:$A$37,0),MATCH(C$30,Site_Data_Column_Names,0))</f>
        <v>#N/A</v>
      </c>
      <c r="D62" s="200" t="str">
        <f>INDEX(Site_Data_Table,MATCH($A62,'Site Data'!$A$5:$A$37,0),MATCH(D$30,Site_Data_Column_Names,0))</f>
        <v>57-A10</v>
      </c>
      <c r="E62" s="197">
        <f>INDEX(Prod_Yr_1,MATCH($A62,'System Specification'!$B$15:$B$46,0))</f>
        <v>0</v>
      </c>
      <c r="F62" s="198" t="str">
        <f>INDEX(Site_Data_Table,MATCH($A62,'Site Data'!$A$5:$A$37,0),MATCH(F$30,Site_Data_Column_Names,0))</f>
        <v>PG&amp;E / VCEA</v>
      </c>
      <c r="G62" s="312" t="s">
        <v>329</v>
      </c>
      <c r="H62" s="262">
        <f>INDEX(Site_Data_Table,MATCH($A62,'Site Data'!$A$5:$A$37,0),MATCH(H$30,Site_Data_Column_Names,0))</f>
        <v>20</v>
      </c>
      <c r="I62" s="248"/>
      <c r="J62" s="106"/>
      <c r="K62" s="543"/>
      <c r="L62" s="544"/>
      <c r="M62" s="545"/>
      <c r="N62" s="182"/>
      <c r="O62" s="266"/>
      <c r="P62" s="266"/>
      <c r="Q62" s="133" t="str">
        <f>IF(N62=0,"",IFERROR(N62*$H62*12/#REF!/1000,""))</f>
        <v/>
      </c>
      <c r="R62" s="332" t="str">
        <f>_xlfn.LET(_xlpm.val,INDEX('System Specification'!$H$15:$H$47,MATCH($A62,'System Specification'!$B$15:$B$47,0)),
IF(_xlpm.val="","",_xlpm.val))</f>
        <v/>
      </c>
      <c r="S62" s="243" t="str">
        <f>IF($R62="No",0,INDEX(Site_Data_Table,MATCH($A62,'Site Data'!$A$5:$A$37,0),MATCH(S$30,Site_Data_Column_Names,0)))</f>
        <v/>
      </c>
      <c r="T62" s="244" t="str">
        <f t="shared" si="0"/>
        <v/>
      </c>
      <c r="U62" s="202"/>
      <c r="V62" s="289">
        <v>15000</v>
      </c>
      <c r="W62" s="175">
        <f t="shared" si="1"/>
        <v>15000</v>
      </c>
    </row>
    <row r="63" spans="1:23" ht="15.6" thickBot="1" x14ac:dyDescent="0.6">
      <c r="A63" s="57"/>
      <c r="B63" s="57"/>
      <c r="C63" s="57"/>
      <c r="D63" s="57"/>
      <c r="E63" s="194">
        <f>SUM(E31:E62)</f>
        <v>0</v>
      </c>
      <c r="F63" s="195"/>
      <c r="G63" s="195"/>
      <c r="H63" s="196"/>
      <c r="I63" s="249" t="e" cm="1">
        <f t="array" ref="I63">SUMPRODUCT($E$31:$E$62,I$31:I$62)/SUMPRODUCT($E$31:$E$62*(I$31:I$62&gt;0))</f>
        <v>#DIV/0!</v>
      </c>
      <c r="J63" s="127">
        <f>SUM(J31:J62)</f>
        <v>0</v>
      </c>
      <c r="K63" s="128">
        <f>SUM(K31:K62)</f>
        <v>0</v>
      </c>
      <c r="L63" s="302" t="e" cm="1">
        <f t="array" ref="L63">SUMPRODUCT($E$31:$E$62,L$31:L$62)/SUMPRODUCT($E$31:$E$62*(L$31:L$62&gt;0))</f>
        <v>#DIV/0!</v>
      </c>
      <c r="M63" s="303" t="e" cm="1">
        <f t="array" ref="M63">SUMPRODUCT($E$31:$E$62,M$31:M$62)/SUMPRODUCT($E$31:$E$62*(M$31:M$62&gt;0))</f>
        <v>#DIV/0!</v>
      </c>
      <c r="N63" s="128">
        <f>SUM(N31:N62)</f>
        <v>0</v>
      </c>
      <c r="O63" s="267" t="e" cm="1">
        <f t="array" ref="O63">SUMPRODUCT($E$31:$E$62,O$31:O$62)/SUMPRODUCT($E$31:$E$62*(O$31:O$62&gt;0))</f>
        <v>#DIV/0!</v>
      </c>
      <c r="P63" s="267" t="e" cm="1">
        <f t="array" ref="P63">SUMPRODUCT($E$31:$E$62,P$31:P$62)/SUMPRODUCT($E$31:$E$62*(P$31:P$62&gt;0))</f>
        <v>#DIV/0!</v>
      </c>
      <c r="Q63" s="130"/>
      <c r="R63" s="330"/>
      <c r="S63" s="170">
        <f>SUM(S31:S62)</f>
        <v>52000</v>
      </c>
      <c r="T63" s="171">
        <f t="shared" ref="T63:W63" si="2">SUM(T31:T62)</f>
        <v>2080000</v>
      </c>
      <c r="U63" s="128">
        <f t="shared" si="2"/>
        <v>600000</v>
      </c>
      <c r="V63" s="128">
        <f t="shared" si="2"/>
        <v>480000</v>
      </c>
      <c r="W63" s="129">
        <f t="shared" si="2"/>
        <v>3160000</v>
      </c>
    </row>
    <row r="64" spans="1:23" ht="12.75" customHeight="1" x14ac:dyDescent="0.95">
      <c r="A64" s="71"/>
      <c r="K64" s="286"/>
    </row>
  </sheetData>
  <sheetProtection algorithmName="SHA-512" hashValue="x0UIuBH73q4OfVN2dra0ulFwy8exWt1qFVswzvKRLPDZ0ayh01NPHY4PKjMUfp23oT2DNB50Dyk6D/e7SCgI2A==" saltValue="yQzb+0RHGJJD0IEsgXQNyg==" spinCount="100000" sheet="1" objects="1" scenarios="1"/>
  <mergeCells count="72">
    <mergeCell ref="H17:O17"/>
    <mergeCell ref="H18:O18"/>
    <mergeCell ref="H19:O19"/>
    <mergeCell ref="H20:O20"/>
    <mergeCell ref="H21:O21"/>
    <mergeCell ref="H12:O12"/>
    <mergeCell ref="H13:O13"/>
    <mergeCell ref="H14:O14"/>
    <mergeCell ref="H15:O15"/>
    <mergeCell ref="H16:O16"/>
    <mergeCell ref="A11:D11"/>
    <mergeCell ref="A1:K1"/>
    <mergeCell ref="A6:B6"/>
    <mergeCell ref="C6:E6"/>
    <mergeCell ref="A10:D10"/>
    <mergeCell ref="H10:O10"/>
    <mergeCell ref="H11:O11"/>
    <mergeCell ref="A12:D12"/>
    <mergeCell ref="A13:D13"/>
    <mergeCell ref="A14:D14"/>
    <mergeCell ref="A15:D15"/>
    <mergeCell ref="A16:D16"/>
    <mergeCell ref="A17:D17"/>
    <mergeCell ref="A18:D18"/>
    <mergeCell ref="A19:D19"/>
    <mergeCell ref="A20:D20"/>
    <mergeCell ref="A21:D21"/>
    <mergeCell ref="I29:M29"/>
    <mergeCell ref="H22:O22"/>
    <mergeCell ref="H23:O23"/>
    <mergeCell ref="H24:O24"/>
    <mergeCell ref="H25:O25"/>
    <mergeCell ref="B36:C36"/>
    <mergeCell ref="B37:C37"/>
    <mergeCell ref="B38:C38"/>
    <mergeCell ref="B39:C39"/>
    <mergeCell ref="A22:D22"/>
    <mergeCell ref="A23:D23"/>
    <mergeCell ref="A24:D24"/>
    <mergeCell ref="A25:D25"/>
    <mergeCell ref="B31:C31"/>
    <mergeCell ref="B32:C32"/>
    <mergeCell ref="B33:C33"/>
    <mergeCell ref="B34:C34"/>
    <mergeCell ref="B35:C35"/>
    <mergeCell ref="A29:H29"/>
    <mergeCell ref="R29:W29"/>
    <mergeCell ref="B52:C52"/>
    <mergeCell ref="B41:C41"/>
    <mergeCell ref="B42:C42"/>
    <mergeCell ref="B43:C43"/>
    <mergeCell ref="B44:C44"/>
    <mergeCell ref="B45:C45"/>
    <mergeCell ref="B46:C46"/>
    <mergeCell ref="B47:C47"/>
    <mergeCell ref="B48:C48"/>
    <mergeCell ref="B49:C49"/>
    <mergeCell ref="B50:C50"/>
    <mergeCell ref="B51:C51"/>
    <mergeCell ref="N29:Q29"/>
    <mergeCell ref="B40:C40"/>
    <mergeCell ref="B30:C30"/>
    <mergeCell ref="B59:C59"/>
    <mergeCell ref="B60:C60"/>
    <mergeCell ref="B61:C61"/>
    <mergeCell ref="B62:C62"/>
    <mergeCell ref="B53:C53"/>
    <mergeCell ref="B54:C54"/>
    <mergeCell ref="B55:C55"/>
    <mergeCell ref="B56:C56"/>
    <mergeCell ref="B57:C57"/>
    <mergeCell ref="B58:C58"/>
  </mergeCells>
  <pageMargins left="0.5" right="0.5" top="0.5" bottom="0.75" header="0.3" footer="0.3"/>
  <pageSetup scale="40" orientation="portrait" r:id="rId1"/>
  <headerFooter>
    <oddFooter>&amp;L&amp;D&amp;R&amp;F | &amp;A | &amp;P</oddFooter>
  </headerFooter>
  <ignoredErrors>
    <ignoredError sqref="E31:E6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EC2F-97D1-489D-8A7D-ABD1A9EF8700}">
  <sheetPr codeName="Sheet15">
    <tabColor rgb="FFFFFFA7"/>
  </sheetPr>
  <dimension ref="A3:AH113"/>
  <sheetViews>
    <sheetView showGridLines="0" zoomScale="60" zoomScaleNormal="60" workbookViewId="0"/>
  </sheetViews>
  <sheetFormatPr defaultColWidth="8.76953125" defaultRowHeight="15" x14ac:dyDescent="0.5"/>
  <cols>
    <col min="1" max="1" width="7.86328125" style="72" customWidth="1"/>
    <col min="2" max="2" width="16.76953125" style="72" customWidth="1"/>
    <col min="3" max="4" width="8.76953125" style="72"/>
    <col min="5" max="5" width="16.76953125" style="72" customWidth="1"/>
    <col min="6" max="6" width="15.2265625" style="72" customWidth="1"/>
    <col min="7" max="7" width="14.08984375" style="72" customWidth="1"/>
    <col min="8" max="10" width="13.08984375" style="72" customWidth="1"/>
    <col min="11" max="12" width="22" style="72" customWidth="1"/>
    <col min="13" max="13" width="13.08984375" style="72" customWidth="1"/>
    <col min="14" max="15" width="21" style="72" customWidth="1"/>
    <col min="16" max="19" width="13.08984375" style="72" customWidth="1"/>
    <col min="20" max="21" width="22" style="72" customWidth="1"/>
    <col min="22" max="22" width="13.08984375" style="72" customWidth="1"/>
    <col min="23" max="24" width="21" style="72" customWidth="1"/>
    <col min="25" max="28" width="13.08984375" style="72" customWidth="1"/>
    <col min="29" max="30" width="22" style="72" customWidth="1"/>
    <col min="31" max="31" width="13.08984375" style="72" customWidth="1"/>
    <col min="32" max="33" width="21" style="72" customWidth="1"/>
    <col min="34" max="34" width="13.08984375" style="72" customWidth="1"/>
    <col min="35" max="16384" width="8.76953125" style="72"/>
  </cols>
  <sheetData>
    <row r="3" spans="1:34" ht="28.2" x14ac:dyDescent="1.05">
      <c r="A3" s="91" t="str">
        <f ca="1">"Attachment C2, "&amp;MID(CELL("filename",A1),FIND("]",CELL("filename",A1))+1,256)</f>
        <v>Attachment C2, Summary &amp; Signature</v>
      </c>
    </row>
    <row r="4" spans="1:34" ht="20.399999999999999" x14ac:dyDescent="0.75">
      <c r="A4" s="75" t="str">
        <f>Instructions!$B$7</f>
        <v>Judicial Council of California Proposed Price Quotation Form</v>
      </c>
    </row>
    <row r="6" spans="1:34" ht="15.6" x14ac:dyDescent="0.6">
      <c r="A6" s="59" t="s">
        <v>250</v>
      </c>
    </row>
    <row r="8" spans="1:34" ht="20.399999999999999" x14ac:dyDescent="0.75">
      <c r="A8" s="90" t="s">
        <v>251</v>
      </c>
      <c r="B8" s="90"/>
      <c r="C8" s="90"/>
      <c r="D8" s="90"/>
      <c r="E8" s="490"/>
      <c r="F8" s="490"/>
      <c r="G8" s="490"/>
      <c r="H8" s="490"/>
      <c r="I8" s="93"/>
    </row>
    <row r="9" spans="1:34" ht="95.25" customHeight="1" x14ac:dyDescent="0.5">
      <c r="A9" s="491" t="s">
        <v>252</v>
      </c>
      <c r="B9" s="491"/>
      <c r="C9" s="491"/>
      <c r="D9" s="491"/>
      <c r="E9" s="491"/>
      <c r="F9" s="491"/>
      <c r="G9" s="491"/>
      <c r="H9" s="491"/>
      <c r="I9" s="491"/>
    </row>
    <row r="10" spans="1:34" ht="25.2" thickBot="1" x14ac:dyDescent="0.85">
      <c r="A10" s="92" t="s">
        <v>350</v>
      </c>
    </row>
    <row r="11" spans="1:34" s="208" customFormat="1" ht="18.3" x14ac:dyDescent="0.7">
      <c r="A11" s="207"/>
      <c r="H11" s="493" t="s">
        <v>253</v>
      </c>
      <c r="I11" s="494"/>
      <c r="J11" s="494"/>
      <c r="K11" s="494"/>
      <c r="L11" s="494"/>
      <c r="M11" s="494"/>
      <c r="N11" s="495"/>
      <c r="O11" s="495"/>
      <c r="P11" s="496"/>
      <c r="Q11" s="493" t="s">
        <v>254</v>
      </c>
      <c r="R11" s="494"/>
      <c r="S11" s="494"/>
      <c r="T11" s="494"/>
      <c r="U11" s="494"/>
      <c r="V11" s="494"/>
      <c r="W11" s="494"/>
      <c r="X11" s="494"/>
      <c r="Y11" s="496"/>
      <c r="Z11" s="493" t="s">
        <v>255</v>
      </c>
      <c r="AA11" s="494"/>
      <c r="AB11" s="494"/>
      <c r="AC11" s="494"/>
      <c r="AD11" s="494"/>
      <c r="AE11" s="494"/>
      <c r="AF11" s="494"/>
      <c r="AG11" s="494"/>
      <c r="AH11" s="496"/>
    </row>
    <row r="12" spans="1:34" s="208" customFormat="1" ht="18.600000000000001" thickBot="1" x14ac:dyDescent="0.75">
      <c r="A12" s="207"/>
      <c r="H12" s="499" t="str">
        <f>'Microgrid Proposal'!J29</f>
        <v>PPA, 0% Escalation</v>
      </c>
      <c r="I12" s="500"/>
      <c r="J12" s="500"/>
      <c r="K12" s="500"/>
      <c r="L12" s="501"/>
      <c r="M12" s="502" t="str">
        <f>'Microgrid Proposal'!O29</f>
        <v>Solar Equipment Lease (SEL) Terms</v>
      </c>
      <c r="N12" s="500">
        <f>'Microgrid Proposal'!P29</f>
        <v>0</v>
      </c>
      <c r="O12" s="500">
        <f>'Microgrid Proposal'!Q29</f>
        <v>0</v>
      </c>
      <c r="P12" s="503">
        <f>'Microgrid Proposal'!R29</f>
        <v>0</v>
      </c>
      <c r="Q12" s="497" t="str">
        <f>'Solar+Storage Proposal'!J29</f>
        <v>PPA, 0% Escalation</v>
      </c>
      <c r="R12" s="498"/>
      <c r="S12" s="498"/>
      <c r="T12" s="498"/>
      <c r="U12" s="498"/>
      <c r="V12" s="502" t="str">
        <f>'Solar+Storage Proposal'!O29</f>
        <v>Solar Equipment Lease (SEL) Terms</v>
      </c>
      <c r="W12" s="500"/>
      <c r="X12" s="500"/>
      <c r="Y12" s="503"/>
      <c r="Z12" s="497" t="str">
        <f>'Solar-Only Proposal'!I29</f>
        <v>PPA, 0% Escalation</v>
      </c>
      <c r="AA12" s="498"/>
      <c r="AB12" s="498"/>
      <c r="AC12" s="498"/>
      <c r="AD12" s="498"/>
      <c r="AE12" s="502" t="str">
        <f>'Solar-Only Proposal'!N29</f>
        <v>Solar Equipment Lease (SEL) Terms</v>
      </c>
      <c r="AF12" s="500"/>
      <c r="AG12" s="500"/>
      <c r="AH12" s="503"/>
    </row>
    <row r="13" spans="1:34" ht="72.3" thickBot="1" x14ac:dyDescent="0.55000000000000004">
      <c r="A13" s="177" t="str">
        <f>'Site Data'!A5</f>
        <v>Site Number</v>
      </c>
      <c r="B13" s="492" t="str">
        <f>'Site Data'!B5</f>
        <v>Site Name</v>
      </c>
      <c r="C13" s="492"/>
      <c r="D13" s="178" t="str">
        <f>'Site Data'!C5</f>
        <v>Site ID</v>
      </c>
      <c r="E13" s="235" t="str">
        <f>'System Specification'!I14</f>
        <v>Yr-1 Expected Production (kWh), Inclusive of Yr-1 Production Degradation</v>
      </c>
      <c r="F13" s="234" t="str">
        <f>'System Specification'!K14</f>
        <v>Total Term Production (kWh)</v>
      </c>
      <c r="G13" s="70" t="s">
        <v>239</v>
      </c>
      <c r="H13" s="60" t="str">
        <f>'Microgrid Proposal'!J30</f>
        <v>PPA Price ($/kWh)</v>
      </c>
      <c r="I13" s="235" t="str">
        <f>'Microgrid Proposal'!K30</f>
        <v>Contract Early Termination Value, Year 1 ($)</v>
      </c>
      <c r="J13" s="235" t="str">
        <f>'Microgrid Proposal'!L30</f>
        <v>PPA Buyout Price, End of Term</v>
      </c>
      <c r="K13" s="235" t="str">
        <f>'Microgrid Proposal'!M30</f>
        <v>PPA Price Adjustment per $25k Change from Assumed Project Development Costs (ITC-Eligibile)</v>
      </c>
      <c r="L13" s="235" t="str">
        <f>'Microgrid Proposal'!N30</f>
        <v>PPA Price Adjustment per $25k Change from Assumed Project Development Costs (Non-ITC-Eligibile)</v>
      </c>
      <c r="M13" s="235" t="str">
        <f>'Microgrid Proposal'!O30</f>
        <v>Year-1 Monthly SEL Payment</v>
      </c>
      <c r="N13" s="235" t="str">
        <f>'Microgrid Proposal'!P30</f>
        <v>Monthly SEL Payment Adjustment per $25k Change from Assumed Project Development Costs (ITC-Eligible)</v>
      </c>
      <c r="O13" s="235" t="str">
        <f>'Microgrid Proposal'!Q30</f>
        <v>Monthly SEL Payment Adjustment per $25k Change from Assumed Project Development Costs (Non-ITC-Eligible)</v>
      </c>
      <c r="P13" s="70" t="str">
        <f>'Microgrid Proposal'!R30</f>
        <v>Unit Cost ($/W)</v>
      </c>
      <c r="Q13" s="60" t="str">
        <f>'Solar+Storage Proposal'!J30</f>
        <v>PPA Price ($/kWh)</v>
      </c>
      <c r="R13" s="235" t="str">
        <f>'Solar+Storage Proposal'!K30</f>
        <v>Contract Early Termination Value, Year 1 ($)</v>
      </c>
      <c r="S13" s="291" t="str">
        <f>'Solar+Storage Proposal'!L30</f>
        <v>PPA Buyout Price, End of Term</v>
      </c>
      <c r="T13" s="235" t="str">
        <f>'Solar+Storage Proposal'!M30</f>
        <v>PPA Price Adjustment per $25k Change from Assumed Project Development Costs (ITC-Eligibile)</v>
      </c>
      <c r="U13" s="235" t="str">
        <f>'Solar+Storage Proposal'!N30</f>
        <v>PPA Price Adjustment per $25k Change from Assumed Project Development Costs (Non-ITC-Eligibile)</v>
      </c>
      <c r="V13" s="291" t="str">
        <f>'Solar+Storage Proposal'!O30</f>
        <v>Year-1 Monthly SEL Payment</v>
      </c>
      <c r="W13" s="291" t="str">
        <f>'Solar+Storage Proposal'!P30</f>
        <v>Monthly SEL Payment Adjustment per $25k Change from Assumed Project Development Costs (ITC-Eligible)</v>
      </c>
      <c r="X13" s="235" t="str">
        <f>'Solar+Storage Proposal'!Q30</f>
        <v>Monthly SEL Payment Adjustment per $25k Change from Assumed Project Development Costs (Non-ITC-Eligible)</v>
      </c>
      <c r="Y13" s="70" t="str">
        <f>'Solar+Storage Proposal'!R30</f>
        <v>Unit Cost ($/W)</v>
      </c>
      <c r="Z13" s="60" t="str">
        <f>'Solar-Only Proposal'!I30</f>
        <v>PPA Price ($/kWh)</v>
      </c>
      <c r="AA13" s="235" t="str">
        <f>'Solar-Only Proposal'!J30</f>
        <v>Contract Early Termination Value, Year 1 ($)</v>
      </c>
      <c r="AB13" s="235" t="str">
        <f>'Solar-Only Proposal'!K30</f>
        <v>PPA Buyout Price, End of Term</v>
      </c>
      <c r="AC13" s="235" t="str">
        <f>'Solar-Only Proposal'!L30</f>
        <v>PPA Price Adjustment per $25k Change from Assumed Project Development Costs (ITC-Eligibile)</v>
      </c>
      <c r="AD13" s="235" t="str">
        <f>'Solar-Only Proposal'!M30</f>
        <v>PPA Price Adjustment per $25k Change from Assumed Project Development Costs (Non-ITC-Eligibile)</v>
      </c>
      <c r="AE13" s="291" t="str">
        <f>'Solar-Only Proposal'!N30</f>
        <v>Year-1 Monthly SEL Payment</v>
      </c>
      <c r="AF13" s="291" t="str">
        <f>'Solar-Only Proposal'!O30</f>
        <v>Monthly SEL Payment Adjustment per $25k Change from Assumed Project Development Costs (ITC-Eligible)</v>
      </c>
      <c r="AG13" s="235" t="str">
        <f>'Solar-Only Proposal'!P30</f>
        <v>Monthly SEL Payment Adjustment per $25k Change from Assumed Project Development Costs (Non-ITC-Eligible)</v>
      </c>
      <c r="AH13" s="70" t="str">
        <f>'Solar-Only Proposal'!Q30</f>
        <v>Unit Cost ($/W)</v>
      </c>
    </row>
    <row r="14" spans="1:34" ht="15.3" x14ac:dyDescent="0.55000000000000004">
      <c r="A14" s="203">
        <v>1</v>
      </c>
      <c r="B14" s="481" t="str">
        <f>INDEX(Site_Data_Table,MATCH($A14,'Site Data'!$A$5:$A$37,0),MATCH(B$13,Site_Data_Column_Names,0))</f>
        <v>Fremont Hall of Justice</v>
      </c>
      <c r="C14" s="482"/>
      <c r="D14" s="204" t="str">
        <f>INDEX(Site_Data_Table,MATCH($A14,'Site Data'!$A$5:$A$37,0),MATCH(D$13,Site_Data_Column_Names,0))</f>
        <v>01-H1</v>
      </c>
      <c r="E14" s="220">
        <f>INDEX(Prod_Yr_1,MATCH('Summary &amp; Signature'!$A14,'System Specification'!$B$15:$B$46,0))</f>
        <v>0</v>
      </c>
      <c r="F14" s="221">
        <f>INDEX('System Specification'!$K$15:$K$46,MATCH('Summary &amp; Signature'!$A14,'System Specification'!$B$15:$B$46,0))</f>
        <v>0</v>
      </c>
      <c r="G14" s="273" t="str">
        <f>_xlfn.TEXTJOIN(" / ",1,INDEX('System Specification'!$L$15:$L$46,MATCH($A14,'System Specification'!$B$15:$B$46,0)),INDEX('System Specification'!$M$15:$M$46,MATCH($A14,'System Specification'!$B$15:$B$46,0)))</f>
        <v/>
      </c>
      <c r="H14" s="283" t="str">
        <f>IF('Microgrid Proposal'!J31="","",'Microgrid Proposal'!J31)</f>
        <v/>
      </c>
      <c r="I14" s="284" t="str">
        <f>IF('Microgrid Proposal'!K31="","",'Microgrid Proposal'!K31)</f>
        <v/>
      </c>
      <c r="J14" s="284" t="str">
        <f>IF('Microgrid Proposal'!L31="","",'Microgrid Proposal'!L31)</f>
        <v/>
      </c>
      <c r="K14" s="285" t="str">
        <f>IF('Microgrid Proposal'!M31="","",'Microgrid Proposal'!M31)</f>
        <v/>
      </c>
      <c r="L14" s="285" t="str">
        <f>IF('Microgrid Proposal'!N31="","",'Microgrid Proposal'!N31)</f>
        <v/>
      </c>
      <c r="M14" s="296" t="str">
        <f>IF('Microgrid Proposal'!O31="","",'Microgrid Proposal'!O31)</f>
        <v/>
      </c>
      <c r="N14" s="296" t="str">
        <f>IF('Microgrid Proposal'!P31="","",'Microgrid Proposal'!P31)</f>
        <v/>
      </c>
      <c r="O14" s="296" t="str">
        <f>IF('Microgrid Proposal'!Q31="","",'Microgrid Proposal'!Q31)</f>
        <v/>
      </c>
      <c r="P14" s="297" t="str">
        <f>IF('Microgrid Proposal'!R31="","",'Microgrid Proposal'!R31)</f>
        <v/>
      </c>
      <c r="Q14" s="283" t="str">
        <f>IF('Solar+Storage Proposal'!J31="","",'Solar+Storage Proposal'!J31)</f>
        <v/>
      </c>
      <c r="R14" s="284" t="str">
        <f>IF('Solar+Storage Proposal'!K31="","",'Solar+Storage Proposal'!K31)</f>
        <v/>
      </c>
      <c r="S14" s="284" t="str">
        <f>IF('Solar+Storage Proposal'!L31="","",'Solar+Storage Proposal'!L31)</f>
        <v/>
      </c>
      <c r="T14" s="285" t="str">
        <f>IF('Solar+Storage Proposal'!M31="","",'Solar+Storage Proposal'!M31)</f>
        <v/>
      </c>
      <c r="U14" s="285" t="str">
        <f>IF('Solar+Storage Proposal'!N31="","",'Solar+Storage Proposal'!N31)</f>
        <v/>
      </c>
      <c r="V14" s="296" t="str">
        <f>IF('Solar+Storage Proposal'!O31="","",'Solar+Storage Proposal'!O31)</f>
        <v/>
      </c>
      <c r="W14" s="296" t="str">
        <f>IF('Solar+Storage Proposal'!P31="","",'Solar+Storage Proposal'!P31)</f>
        <v/>
      </c>
      <c r="X14" s="296" t="str">
        <f>IF('Solar+Storage Proposal'!Q31="","",'Solar+Storage Proposal'!Q31)</f>
        <v/>
      </c>
      <c r="Y14" s="297" t="str">
        <f>IF('Solar+Storage Proposal'!R31="","",'Solar+Storage Proposal'!R31)</f>
        <v/>
      </c>
      <c r="Z14" s="283" t="str">
        <f>IF('Solar-Only Proposal'!I31="","",'Solar-Only Proposal'!I31)</f>
        <v/>
      </c>
      <c r="AA14" s="284" t="str">
        <f>IF('Solar-Only Proposal'!J31="","",'Solar-Only Proposal'!J31)</f>
        <v/>
      </c>
      <c r="AB14" s="284" t="str">
        <f>IF('Solar-Only Proposal'!K31="","",'Solar-Only Proposal'!K31)</f>
        <v/>
      </c>
      <c r="AC14" s="285" t="str">
        <f>IF('Solar-Only Proposal'!L31="","",'Solar-Only Proposal'!L31)</f>
        <v/>
      </c>
      <c r="AD14" s="285" t="str">
        <f>IF('Solar-Only Proposal'!M31="","",'Solar-Only Proposal'!M31)</f>
        <v/>
      </c>
      <c r="AE14" s="296" t="str">
        <f>IF('Solar-Only Proposal'!N31="","",'Solar-Only Proposal'!N31)</f>
        <v/>
      </c>
      <c r="AF14" s="296" t="str">
        <f>IF('Solar-Only Proposal'!O31="","",'Solar-Only Proposal'!O31)</f>
        <v/>
      </c>
      <c r="AG14" s="296" t="str">
        <f>IF('Solar-Only Proposal'!P31="","",'Solar-Only Proposal'!P31)</f>
        <v/>
      </c>
      <c r="AH14" s="297" t="str">
        <f>IF('Solar-Only Proposal'!Q31="","",'Solar-Only Proposal'!Q31)</f>
        <v/>
      </c>
    </row>
    <row r="15" spans="1:34" ht="15.4" customHeight="1" x14ac:dyDescent="0.55000000000000004">
      <c r="A15" s="203">
        <v>2</v>
      </c>
      <c r="B15" s="481" t="str">
        <f>INDEX(Site_Data_Table,MATCH($A15,'Site Data'!$A$5:$A$37,0),MATCH(B$13,Site_Data_Column_Names,0))</f>
        <v>Amador Superior Court</v>
      </c>
      <c r="C15" s="482"/>
      <c r="D15" s="204" t="str">
        <f>INDEX(Site_Data_Table,MATCH($A15,'Site Data'!$A$5:$A$37,0),MATCH(D$13,Site_Data_Column_Names,0))</f>
        <v>03-C1</v>
      </c>
      <c r="E15" s="152">
        <f>INDEX(Prod_Yr_1,MATCH('Summary &amp; Signature'!$A15,'System Specification'!$B$15:$B$46,0))</f>
        <v>0</v>
      </c>
      <c r="F15" s="153">
        <f>INDEX('System Specification'!$K$15:$K$46,MATCH('Summary &amp; Signature'!$A15,'System Specification'!$B$15:$B$46,0))</f>
        <v>0</v>
      </c>
      <c r="G15" s="274" t="str">
        <f>_xlfn.TEXTJOIN(" / ",1,INDEX('System Specification'!$L$15:$L$46,MATCH($A15,'System Specification'!$B$15:$B$46,0)),INDEX('System Specification'!$M$15:$M$46,MATCH($A15,'System Specification'!$B$15:$B$46,0)))</f>
        <v/>
      </c>
      <c r="H15" s="280" t="str">
        <f>IF('Microgrid Proposal'!J32="","",'Microgrid Proposal'!J32)</f>
        <v/>
      </c>
      <c r="I15" s="209" t="str">
        <f>IF('Microgrid Proposal'!K32="","",'Microgrid Proposal'!K32)</f>
        <v/>
      </c>
      <c r="J15" s="209" t="str">
        <f>IF('Microgrid Proposal'!L32="","",'Microgrid Proposal'!L32)</f>
        <v/>
      </c>
      <c r="K15" s="276" t="str">
        <f>IF('Microgrid Proposal'!M32="","",'Microgrid Proposal'!M32)</f>
        <v/>
      </c>
      <c r="L15" s="276" t="str">
        <f>IF('Microgrid Proposal'!N32="","",'Microgrid Proposal'!N32)</f>
        <v/>
      </c>
      <c r="M15" s="298" t="str">
        <f>IF('Microgrid Proposal'!O32="","",'Microgrid Proposal'!O32)</f>
        <v/>
      </c>
      <c r="N15" s="298" t="str">
        <f>IF('Microgrid Proposal'!P32="","",'Microgrid Proposal'!P32)</f>
        <v/>
      </c>
      <c r="O15" s="298" t="str">
        <f>IF('Microgrid Proposal'!Q32="","",'Microgrid Proposal'!Q32)</f>
        <v/>
      </c>
      <c r="P15" s="299" t="str">
        <f>IF('Microgrid Proposal'!R32="","",'Microgrid Proposal'!R32)</f>
        <v/>
      </c>
      <c r="Q15" s="280" t="str">
        <f>IF('Solar+Storage Proposal'!J32="","",'Solar+Storage Proposal'!J32)</f>
        <v/>
      </c>
      <c r="R15" s="209" t="str">
        <f>IF('Solar+Storage Proposal'!K32="","",'Solar+Storage Proposal'!K32)</f>
        <v/>
      </c>
      <c r="S15" s="209" t="str">
        <f>IF('Solar+Storage Proposal'!L32="","",'Solar+Storage Proposal'!L32)</f>
        <v/>
      </c>
      <c r="T15" s="276" t="str">
        <f>IF('Solar+Storage Proposal'!M32="","",'Solar+Storage Proposal'!M32)</f>
        <v/>
      </c>
      <c r="U15" s="276" t="str">
        <f>IF('Solar+Storage Proposal'!N32="","",'Solar+Storage Proposal'!N32)</f>
        <v/>
      </c>
      <c r="V15" s="298" t="str">
        <f>IF('Solar+Storage Proposal'!O32="","",'Solar+Storage Proposal'!O32)</f>
        <v/>
      </c>
      <c r="W15" s="298" t="str">
        <f>IF('Solar+Storage Proposal'!P32="","",'Solar+Storage Proposal'!P32)</f>
        <v/>
      </c>
      <c r="X15" s="298" t="str">
        <f>IF('Solar+Storage Proposal'!Q32="","",'Solar+Storage Proposal'!Q32)</f>
        <v/>
      </c>
      <c r="Y15" s="299" t="str">
        <f>IF('Solar+Storage Proposal'!R32="","",'Solar+Storage Proposal'!R32)</f>
        <v/>
      </c>
      <c r="Z15" s="280" t="str">
        <f>IF('Solar-Only Proposal'!I32="","",'Solar-Only Proposal'!I32)</f>
        <v/>
      </c>
      <c r="AA15" s="209" t="str">
        <f>IF('Solar-Only Proposal'!J32="","",'Solar-Only Proposal'!J32)</f>
        <v/>
      </c>
      <c r="AB15" s="209" t="str">
        <f>IF('Solar-Only Proposal'!K32="","",'Solar-Only Proposal'!K32)</f>
        <v/>
      </c>
      <c r="AC15" s="276" t="str">
        <f>IF('Solar-Only Proposal'!L32="","",'Solar-Only Proposal'!L32)</f>
        <v/>
      </c>
      <c r="AD15" s="276" t="str">
        <f>IF('Solar-Only Proposal'!M32="","",'Solar-Only Proposal'!M32)</f>
        <v/>
      </c>
      <c r="AE15" s="298" t="str">
        <f>IF('Solar-Only Proposal'!N32="","",'Solar-Only Proposal'!N32)</f>
        <v/>
      </c>
      <c r="AF15" s="298" t="str">
        <f>IF('Solar-Only Proposal'!O32="","",'Solar-Only Proposal'!O32)</f>
        <v/>
      </c>
      <c r="AG15" s="298" t="str">
        <f>IF('Solar-Only Proposal'!P32="","",'Solar-Only Proposal'!P32)</f>
        <v/>
      </c>
      <c r="AH15" s="299" t="str">
        <f>IF('Solar-Only Proposal'!Q32="","",'Solar-Only Proposal'!Q32)</f>
        <v/>
      </c>
    </row>
    <row r="16" spans="1:34" ht="15.4" customHeight="1" x14ac:dyDescent="0.55000000000000004">
      <c r="A16" s="203">
        <v>3</v>
      </c>
      <c r="B16" s="481" t="str">
        <f>INDEX(Site_Data_Table,MATCH($A16,'Site Data'!$A$5:$A$37,0),MATCH(B$13,Site_Data_Column_Names,0))</f>
        <v>North Butte County Courthouse</v>
      </c>
      <c r="C16" s="482"/>
      <c r="D16" s="204" t="str">
        <f>INDEX(Site_Data_Table,MATCH($A16,'Site Data'!$A$5:$A$37,0),MATCH(D$13,Site_Data_Column_Names,0))</f>
        <v>04-F1</v>
      </c>
      <c r="E16" s="152">
        <f>INDEX(Prod_Yr_1,MATCH('Summary &amp; Signature'!$A16,'System Specification'!$B$15:$B$46,0))</f>
        <v>0</v>
      </c>
      <c r="F16" s="153">
        <f>INDEX('System Specification'!$K$15:$K$46,MATCH('Summary &amp; Signature'!$A16,'System Specification'!$B$15:$B$46,0))</f>
        <v>0</v>
      </c>
      <c r="G16" s="274" t="str">
        <f>_xlfn.TEXTJOIN(" / ",1,INDEX('System Specification'!$L$15:$L$46,MATCH($A16,'System Specification'!$B$15:$B$46,0)),INDEX('System Specification'!$M$15:$M$46,MATCH($A16,'System Specification'!$B$15:$B$46,0)))</f>
        <v/>
      </c>
      <c r="H16" s="280" t="str">
        <f>IF('Microgrid Proposal'!J33="","",'Microgrid Proposal'!J33)</f>
        <v/>
      </c>
      <c r="I16" s="209" t="str">
        <f>IF('Microgrid Proposal'!K33="","",'Microgrid Proposal'!K33)</f>
        <v/>
      </c>
      <c r="J16" s="209" t="str">
        <f>IF('Microgrid Proposal'!L33="","",'Microgrid Proposal'!L33)</f>
        <v/>
      </c>
      <c r="K16" s="276" t="str">
        <f>IF('Microgrid Proposal'!M33="","",'Microgrid Proposal'!M33)</f>
        <v/>
      </c>
      <c r="L16" s="276" t="str">
        <f>IF('Microgrid Proposal'!N33="","",'Microgrid Proposal'!N33)</f>
        <v/>
      </c>
      <c r="M16" s="298" t="str">
        <f>IF('Microgrid Proposal'!O33="","",'Microgrid Proposal'!O33)</f>
        <v/>
      </c>
      <c r="N16" s="298" t="str">
        <f>IF('Microgrid Proposal'!P33="","",'Microgrid Proposal'!P33)</f>
        <v/>
      </c>
      <c r="O16" s="298" t="str">
        <f>IF('Microgrid Proposal'!Q33="","",'Microgrid Proposal'!Q33)</f>
        <v/>
      </c>
      <c r="P16" s="299" t="str">
        <f>IF('Microgrid Proposal'!R33="","",'Microgrid Proposal'!R33)</f>
        <v/>
      </c>
      <c r="Q16" s="280" t="str">
        <f>IF('Solar+Storage Proposal'!J33="","",'Solar+Storage Proposal'!J33)</f>
        <v/>
      </c>
      <c r="R16" s="209" t="str">
        <f>IF('Solar+Storage Proposal'!K33="","",'Solar+Storage Proposal'!K33)</f>
        <v/>
      </c>
      <c r="S16" s="209" t="str">
        <f>IF('Solar+Storage Proposal'!L33="","",'Solar+Storage Proposal'!L33)</f>
        <v/>
      </c>
      <c r="T16" s="276" t="str">
        <f>IF('Solar+Storage Proposal'!M33="","",'Solar+Storage Proposal'!M33)</f>
        <v/>
      </c>
      <c r="U16" s="276" t="str">
        <f>IF('Solar+Storage Proposal'!N33="","",'Solar+Storage Proposal'!N33)</f>
        <v/>
      </c>
      <c r="V16" s="298" t="str">
        <f>IF('Solar+Storage Proposal'!O33="","",'Solar+Storage Proposal'!O33)</f>
        <v/>
      </c>
      <c r="W16" s="298" t="str">
        <f>IF('Solar+Storage Proposal'!P33="","",'Solar+Storage Proposal'!P33)</f>
        <v/>
      </c>
      <c r="X16" s="298" t="str">
        <f>IF('Solar+Storage Proposal'!Q33="","",'Solar+Storage Proposal'!Q33)</f>
        <v/>
      </c>
      <c r="Y16" s="299" t="str">
        <f>IF('Solar+Storage Proposal'!R33="","",'Solar+Storage Proposal'!R33)</f>
        <v/>
      </c>
      <c r="Z16" s="280" t="str">
        <f>IF('Solar-Only Proposal'!I33="","",'Solar-Only Proposal'!I33)</f>
        <v/>
      </c>
      <c r="AA16" s="209" t="str">
        <f>IF('Solar-Only Proposal'!J33="","",'Solar-Only Proposal'!J33)</f>
        <v/>
      </c>
      <c r="AB16" s="209" t="str">
        <f>IF('Solar-Only Proposal'!K33="","",'Solar-Only Proposal'!K33)</f>
        <v/>
      </c>
      <c r="AC16" s="276" t="str">
        <f>IF('Solar-Only Proposal'!L33="","",'Solar-Only Proposal'!L33)</f>
        <v/>
      </c>
      <c r="AD16" s="276" t="str">
        <f>IF('Solar-Only Proposal'!M33="","",'Solar-Only Proposal'!M33)</f>
        <v/>
      </c>
      <c r="AE16" s="298" t="str">
        <f>IF('Solar-Only Proposal'!N33="","",'Solar-Only Proposal'!N33)</f>
        <v/>
      </c>
      <c r="AF16" s="298" t="str">
        <f>IF('Solar-Only Proposal'!O33="","",'Solar-Only Proposal'!O33)</f>
        <v/>
      </c>
      <c r="AG16" s="298" t="str">
        <f>IF('Solar-Only Proposal'!P33="","",'Solar-Only Proposal'!P33)</f>
        <v/>
      </c>
      <c r="AH16" s="299" t="str">
        <f>IF('Solar-Only Proposal'!Q33="","",'Solar-Only Proposal'!Q33)</f>
        <v/>
      </c>
    </row>
    <row r="17" spans="1:34" ht="15.3" x14ac:dyDescent="0.55000000000000004">
      <c r="A17" s="203">
        <v>4</v>
      </c>
      <c r="B17" s="481" t="str">
        <f>INDEX(Site_Data_Table,MATCH($A17,'Site Data'!$A$5:$A$37,0),MATCH(B$13,Site_Data_Column_Names,0))</f>
        <v>Bray Courts</v>
      </c>
      <c r="C17" s="482"/>
      <c r="D17" s="204" t="str">
        <f>INDEX(Site_Data_Table,MATCH($A17,'Site Data'!$A$5:$A$37,0),MATCH(D$13,Site_Data_Column_Names,0))</f>
        <v>07-A3</v>
      </c>
      <c r="E17" s="152">
        <f>INDEX(Prod_Yr_1,MATCH('Summary &amp; Signature'!$A17,'System Specification'!$B$15:$B$46,0))</f>
        <v>0</v>
      </c>
      <c r="F17" s="153">
        <f>INDEX('System Specification'!$K$15:$K$46,MATCH('Summary &amp; Signature'!$A17,'System Specification'!$B$15:$B$46,0))</f>
        <v>0</v>
      </c>
      <c r="G17" s="274" t="str">
        <f>_xlfn.TEXTJOIN(" / ",1,INDEX('System Specification'!$L$15:$L$46,MATCH($A17,'System Specification'!$B$15:$B$46,0)),INDEX('System Specification'!$M$15:$M$46,MATCH($A17,'System Specification'!$B$15:$B$46,0)))</f>
        <v/>
      </c>
      <c r="H17" s="280" t="str">
        <f>IF('Microgrid Proposal'!J34="","",'Microgrid Proposal'!J34)</f>
        <v/>
      </c>
      <c r="I17" s="209" t="str">
        <f>IF('Microgrid Proposal'!K34="","",'Microgrid Proposal'!K34)</f>
        <v/>
      </c>
      <c r="J17" s="209" t="str">
        <f>IF('Microgrid Proposal'!L34="","",'Microgrid Proposal'!L34)</f>
        <v/>
      </c>
      <c r="K17" s="276" t="str">
        <f>IF('Microgrid Proposal'!M34="","",'Microgrid Proposal'!M34)</f>
        <v/>
      </c>
      <c r="L17" s="276" t="str">
        <f>IF('Microgrid Proposal'!N34="","",'Microgrid Proposal'!N34)</f>
        <v/>
      </c>
      <c r="M17" s="298" t="str">
        <f>IF('Microgrid Proposal'!O34="","",'Microgrid Proposal'!O34)</f>
        <v/>
      </c>
      <c r="N17" s="298" t="str">
        <f>IF('Microgrid Proposal'!P34="","",'Microgrid Proposal'!P34)</f>
        <v/>
      </c>
      <c r="O17" s="298" t="str">
        <f>IF('Microgrid Proposal'!Q34="","",'Microgrid Proposal'!Q34)</f>
        <v/>
      </c>
      <c r="P17" s="299" t="str">
        <f>IF('Microgrid Proposal'!R34="","",'Microgrid Proposal'!R34)</f>
        <v/>
      </c>
      <c r="Q17" s="280" t="str">
        <f>IF('Solar+Storage Proposal'!J34="","",'Solar+Storage Proposal'!J34)</f>
        <v/>
      </c>
      <c r="R17" s="209" t="str">
        <f>IF('Solar+Storage Proposal'!K34="","",'Solar+Storage Proposal'!K34)</f>
        <v/>
      </c>
      <c r="S17" s="209" t="str">
        <f>IF('Solar+Storage Proposal'!L34="","",'Solar+Storage Proposal'!L34)</f>
        <v/>
      </c>
      <c r="T17" s="276" t="str">
        <f>IF('Solar+Storage Proposal'!M34="","",'Solar+Storage Proposal'!M34)</f>
        <v/>
      </c>
      <c r="U17" s="276" t="str">
        <f>IF('Solar+Storage Proposal'!N34="","",'Solar+Storage Proposal'!N34)</f>
        <v/>
      </c>
      <c r="V17" s="298" t="str">
        <f>IF('Solar+Storage Proposal'!O34="","",'Solar+Storage Proposal'!O34)</f>
        <v/>
      </c>
      <c r="W17" s="298" t="str">
        <f>IF('Solar+Storage Proposal'!P34="","",'Solar+Storage Proposal'!P34)</f>
        <v/>
      </c>
      <c r="X17" s="298" t="str">
        <f>IF('Solar+Storage Proposal'!Q34="","",'Solar+Storage Proposal'!Q34)</f>
        <v/>
      </c>
      <c r="Y17" s="299" t="str">
        <f>IF('Solar+Storage Proposal'!R34="","",'Solar+Storage Proposal'!R34)</f>
        <v/>
      </c>
      <c r="Z17" s="280" t="str">
        <f>IF('Solar-Only Proposal'!I34="","",'Solar-Only Proposal'!I34)</f>
        <v/>
      </c>
      <c r="AA17" s="209" t="str">
        <f>IF('Solar-Only Proposal'!J34="","",'Solar-Only Proposal'!J34)</f>
        <v/>
      </c>
      <c r="AB17" s="209" t="str">
        <f>IF('Solar-Only Proposal'!K34="","",'Solar-Only Proposal'!K34)</f>
        <v/>
      </c>
      <c r="AC17" s="276" t="str">
        <f>IF('Solar-Only Proposal'!L34="","",'Solar-Only Proposal'!L34)</f>
        <v/>
      </c>
      <c r="AD17" s="276" t="str">
        <f>IF('Solar-Only Proposal'!M34="","",'Solar-Only Proposal'!M34)</f>
        <v/>
      </c>
      <c r="AE17" s="298" t="str">
        <f>IF('Solar-Only Proposal'!N34="","",'Solar-Only Proposal'!N34)</f>
        <v/>
      </c>
      <c r="AF17" s="298" t="str">
        <f>IF('Solar-Only Proposal'!O34="","",'Solar-Only Proposal'!O34)</f>
        <v/>
      </c>
      <c r="AG17" s="298" t="str">
        <f>IF('Solar-Only Proposal'!P34="","",'Solar-Only Proposal'!P34)</f>
        <v/>
      </c>
      <c r="AH17" s="299" t="str">
        <f>IF('Solar-Only Proposal'!Q34="","",'Solar-Only Proposal'!Q34)</f>
        <v/>
      </c>
    </row>
    <row r="18" spans="1:34" ht="15.4" customHeight="1" x14ac:dyDescent="0.55000000000000004">
      <c r="A18" s="203">
        <v>5</v>
      </c>
      <c r="B18" s="481" t="str">
        <f>INDEX(Site_Data_Table,MATCH($A18,'Site Data'!$A$5:$A$37,0),MATCH(B$13,Site_Data_Column_Names,0))</f>
        <v>Richard E. Arnason Justice Center</v>
      </c>
      <c r="C18" s="482"/>
      <c r="D18" s="204" t="str">
        <f>INDEX(Site_Data_Table,MATCH($A18,'Site Data'!$A$5:$A$37,0),MATCH(D$13,Site_Data_Column_Names,0))</f>
        <v>07-E3</v>
      </c>
      <c r="E18" s="152">
        <f>INDEX(Prod_Yr_1,MATCH('Summary &amp; Signature'!$A18,'System Specification'!$B$15:$B$46,0))</f>
        <v>0</v>
      </c>
      <c r="F18" s="153">
        <f>INDEX('System Specification'!$K$15:$K$46,MATCH('Summary &amp; Signature'!$A18,'System Specification'!$B$15:$B$46,0))</f>
        <v>0</v>
      </c>
      <c r="G18" s="274" t="str">
        <f>_xlfn.TEXTJOIN(" / ",1,INDEX('System Specification'!$L$15:$L$46,MATCH($A18,'System Specification'!$B$15:$B$46,0)),INDEX('System Specification'!$M$15:$M$46,MATCH($A18,'System Specification'!$B$15:$B$46,0)))</f>
        <v/>
      </c>
      <c r="H18" s="280" t="str">
        <f>IF('Microgrid Proposal'!J35="","",'Microgrid Proposal'!J35)</f>
        <v/>
      </c>
      <c r="I18" s="209" t="str">
        <f>IF('Microgrid Proposal'!K35="","",'Microgrid Proposal'!K35)</f>
        <v/>
      </c>
      <c r="J18" s="209" t="str">
        <f>IF('Microgrid Proposal'!L35="","",'Microgrid Proposal'!L35)</f>
        <v/>
      </c>
      <c r="K18" s="276" t="str">
        <f>IF('Microgrid Proposal'!M35="","",'Microgrid Proposal'!M35)</f>
        <v/>
      </c>
      <c r="L18" s="276" t="str">
        <f>IF('Microgrid Proposal'!N35="","",'Microgrid Proposal'!N35)</f>
        <v/>
      </c>
      <c r="M18" s="298" t="str">
        <f>IF('Microgrid Proposal'!O35="","",'Microgrid Proposal'!O35)</f>
        <v/>
      </c>
      <c r="N18" s="298" t="str">
        <f>IF('Microgrid Proposal'!P35="","",'Microgrid Proposal'!P35)</f>
        <v/>
      </c>
      <c r="O18" s="298" t="str">
        <f>IF('Microgrid Proposal'!Q35="","",'Microgrid Proposal'!Q35)</f>
        <v/>
      </c>
      <c r="P18" s="299" t="str">
        <f>IF('Microgrid Proposal'!R35="","",'Microgrid Proposal'!R35)</f>
        <v/>
      </c>
      <c r="Q18" s="280" t="str">
        <f>IF('Solar+Storage Proposal'!J35="","",'Solar+Storage Proposal'!J35)</f>
        <v/>
      </c>
      <c r="R18" s="209" t="str">
        <f>IF('Solar+Storage Proposal'!K35="","",'Solar+Storage Proposal'!K35)</f>
        <v/>
      </c>
      <c r="S18" s="209" t="str">
        <f>IF('Solar+Storage Proposal'!L35="","",'Solar+Storage Proposal'!L35)</f>
        <v/>
      </c>
      <c r="T18" s="276" t="str">
        <f>IF('Solar+Storage Proposal'!M35="","",'Solar+Storage Proposal'!M35)</f>
        <v/>
      </c>
      <c r="U18" s="276" t="str">
        <f>IF('Solar+Storage Proposal'!N35="","",'Solar+Storage Proposal'!N35)</f>
        <v/>
      </c>
      <c r="V18" s="298" t="str">
        <f>IF('Solar+Storage Proposal'!O35="","",'Solar+Storage Proposal'!O35)</f>
        <v/>
      </c>
      <c r="W18" s="298" t="str">
        <f>IF('Solar+Storage Proposal'!P35="","",'Solar+Storage Proposal'!P35)</f>
        <v/>
      </c>
      <c r="X18" s="298" t="str">
        <f>IF('Solar+Storage Proposal'!Q35="","",'Solar+Storage Proposal'!Q35)</f>
        <v/>
      </c>
      <c r="Y18" s="299" t="str">
        <f>IF('Solar+Storage Proposal'!R35="","",'Solar+Storage Proposal'!R35)</f>
        <v/>
      </c>
      <c r="Z18" s="280" t="str">
        <f>IF('Solar-Only Proposal'!I35="","",'Solar-Only Proposal'!I35)</f>
        <v/>
      </c>
      <c r="AA18" s="209" t="str">
        <f>IF('Solar-Only Proposal'!J35="","",'Solar-Only Proposal'!J35)</f>
        <v/>
      </c>
      <c r="AB18" s="209" t="str">
        <f>IF('Solar-Only Proposal'!K35="","",'Solar-Only Proposal'!K35)</f>
        <v/>
      </c>
      <c r="AC18" s="276" t="str">
        <f>IF('Solar-Only Proposal'!L35="","",'Solar-Only Proposal'!L35)</f>
        <v/>
      </c>
      <c r="AD18" s="276" t="str">
        <f>IF('Solar-Only Proposal'!M35="","",'Solar-Only Proposal'!M35)</f>
        <v/>
      </c>
      <c r="AE18" s="298" t="str">
        <f>IF('Solar-Only Proposal'!N35="","",'Solar-Only Proposal'!N35)</f>
        <v/>
      </c>
      <c r="AF18" s="298" t="str">
        <f>IF('Solar-Only Proposal'!O35="","",'Solar-Only Proposal'!O35)</f>
        <v/>
      </c>
      <c r="AG18" s="298" t="str">
        <f>IF('Solar-Only Proposal'!P35="","",'Solar-Only Proposal'!P35)</f>
        <v/>
      </c>
      <c r="AH18" s="299" t="str">
        <f>IF('Solar-Only Proposal'!Q35="","",'Solar-Only Proposal'!Q35)</f>
        <v/>
      </c>
    </row>
    <row r="19" spans="1:34" ht="15.4" customHeight="1" x14ac:dyDescent="0.55000000000000004">
      <c r="A19" s="203">
        <v>6</v>
      </c>
      <c r="B19" s="481" t="str">
        <f>INDEX(Site_Data_Table,MATCH($A19,'Site Data'!$A$5:$A$37,0),MATCH(B$13,Site_Data_Column_Names,0))</f>
        <v>Walnut Creek Courthouse</v>
      </c>
      <c r="C19" s="482"/>
      <c r="D19" s="204" t="str">
        <f>INDEX(Site_Data_Table,MATCH($A19,'Site Data'!$A$5:$A$37,0),MATCH(D$13,Site_Data_Column_Names,0))</f>
        <v>07-C1</v>
      </c>
      <c r="E19" s="152">
        <f>INDEX(Prod_Yr_1,MATCH('Summary &amp; Signature'!$A19,'System Specification'!$B$15:$B$46,0))</f>
        <v>0</v>
      </c>
      <c r="F19" s="153">
        <f>INDEX('System Specification'!$K$15:$K$46,MATCH('Summary &amp; Signature'!$A19,'System Specification'!$B$15:$B$46,0))</f>
        <v>0</v>
      </c>
      <c r="G19" s="274" t="str">
        <f>_xlfn.TEXTJOIN(" / ",1,INDEX('System Specification'!$L$15:$L$46,MATCH($A19,'System Specification'!$B$15:$B$46,0)),INDEX('System Specification'!$M$15:$M$46,MATCH($A19,'System Specification'!$B$15:$B$46,0)))</f>
        <v/>
      </c>
      <c r="H19" s="280" t="str">
        <f>IF('Microgrid Proposal'!J36="","",'Microgrid Proposal'!J36)</f>
        <v/>
      </c>
      <c r="I19" s="209" t="str">
        <f>IF('Microgrid Proposal'!K36="","",'Microgrid Proposal'!K36)</f>
        <v/>
      </c>
      <c r="J19" s="209" t="str">
        <f>IF('Microgrid Proposal'!L36="","",'Microgrid Proposal'!L36)</f>
        <v/>
      </c>
      <c r="K19" s="276" t="str">
        <f>IF('Microgrid Proposal'!M36="","",'Microgrid Proposal'!M36)</f>
        <v/>
      </c>
      <c r="L19" s="276" t="str">
        <f>IF('Microgrid Proposal'!N36="","",'Microgrid Proposal'!N36)</f>
        <v/>
      </c>
      <c r="M19" s="298" t="str">
        <f>IF('Microgrid Proposal'!O36="","",'Microgrid Proposal'!O36)</f>
        <v/>
      </c>
      <c r="N19" s="298" t="str">
        <f>IF('Microgrid Proposal'!P36="","",'Microgrid Proposal'!P36)</f>
        <v/>
      </c>
      <c r="O19" s="298" t="str">
        <f>IF('Microgrid Proposal'!Q36="","",'Microgrid Proposal'!Q36)</f>
        <v/>
      </c>
      <c r="P19" s="299" t="str">
        <f>IF('Microgrid Proposal'!R36="","",'Microgrid Proposal'!R36)</f>
        <v/>
      </c>
      <c r="Q19" s="280" t="str">
        <f>IF('Solar+Storage Proposal'!J36="","",'Solar+Storage Proposal'!J36)</f>
        <v/>
      </c>
      <c r="R19" s="209" t="str">
        <f>IF('Solar+Storage Proposal'!K36="","",'Solar+Storage Proposal'!K36)</f>
        <v/>
      </c>
      <c r="S19" s="209" t="str">
        <f>IF('Solar+Storage Proposal'!L36="","",'Solar+Storage Proposal'!L36)</f>
        <v/>
      </c>
      <c r="T19" s="276" t="str">
        <f>IF('Solar+Storage Proposal'!M36="","",'Solar+Storage Proposal'!M36)</f>
        <v/>
      </c>
      <c r="U19" s="276" t="str">
        <f>IF('Solar+Storage Proposal'!N36="","",'Solar+Storage Proposal'!N36)</f>
        <v/>
      </c>
      <c r="V19" s="298" t="str">
        <f>IF('Solar+Storage Proposal'!O36="","",'Solar+Storage Proposal'!O36)</f>
        <v/>
      </c>
      <c r="W19" s="298" t="str">
        <f>IF('Solar+Storage Proposal'!P36="","",'Solar+Storage Proposal'!P36)</f>
        <v/>
      </c>
      <c r="X19" s="298" t="str">
        <f>IF('Solar+Storage Proposal'!Q36="","",'Solar+Storage Proposal'!Q36)</f>
        <v/>
      </c>
      <c r="Y19" s="299" t="str">
        <f>IF('Solar+Storage Proposal'!R36="","",'Solar+Storage Proposal'!R36)</f>
        <v/>
      </c>
      <c r="Z19" s="280" t="str">
        <f>IF('Solar-Only Proposal'!I36="","",'Solar-Only Proposal'!I36)</f>
        <v/>
      </c>
      <c r="AA19" s="209" t="str">
        <f>IF('Solar-Only Proposal'!J36="","",'Solar-Only Proposal'!J36)</f>
        <v/>
      </c>
      <c r="AB19" s="209" t="str">
        <f>IF('Solar-Only Proposal'!K36="","",'Solar-Only Proposal'!K36)</f>
        <v/>
      </c>
      <c r="AC19" s="276" t="str">
        <f>IF('Solar-Only Proposal'!L36="","",'Solar-Only Proposal'!L36)</f>
        <v/>
      </c>
      <c r="AD19" s="276" t="str">
        <f>IF('Solar-Only Proposal'!M36="","",'Solar-Only Proposal'!M36)</f>
        <v/>
      </c>
      <c r="AE19" s="298" t="str">
        <f>IF('Solar-Only Proposal'!N36="","",'Solar-Only Proposal'!N36)</f>
        <v/>
      </c>
      <c r="AF19" s="298" t="str">
        <f>IF('Solar-Only Proposal'!O36="","",'Solar-Only Proposal'!O36)</f>
        <v/>
      </c>
      <c r="AG19" s="298" t="str">
        <f>IF('Solar-Only Proposal'!P36="","",'Solar-Only Proposal'!P36)</f>
        <v/>
      </c>
      <c r="AH19" s="299" t="str">
        <f>IF('Solar-Only Proposal'!Q36="","",'Solar-Only Proposal'!Q36)</f>
        <v/>
      </c>
    </row>
    <row r="20" spans="1:34" ht="15.3" x14ac:dyDescent="0.55000000000000004">
      <c r="A20" s="203">
        <v>7</v>
      </c>
      <c r="B20" s="481" t="str">
        <f>INDEX(Site_Data_Table,MATCH($A20,'Site Data'!$A$5:$A$37,0),MATCH(B$13,Site_Data_Column_Names,0))</f>
        <v>B. F. Sisk Courthouse</v>
      </c>
      <c r="C20" s="482"/>
      <c r="D20" s="204" t="str">
        <f>INDEX(Site_Data_Table,MATCH($A20,'Site Data'!$A$5:$A$37,0),MATCH(D$13,Site_Data_Column_Names,0))</f>
        <v>10-O1</v>
      </c>
      <c r="E20" s="152">
        <f>INDEX(Prod_Yr_1,MATCH('Summary &amp; Signature'!$A20,'System Specification'!$B$15:$B$46,0))</f>
        <v>0</v>
      </c>
      <c r="F20" s="153">
        <f>INDEX('System Specification'!$K$15:$K$46,MATCH('Summary &amp; Signature'!$A20,'System Specification'!$B$15:$B$46,0))</f>
        <v>0</v>
      </c>
      <c r="G20" s="274" t="str">
        <f>_xlfn.TEXTJOIN(" / ",1,INDEX('System Specification'!$L$15:$L$46,MATCH($A20,'System Specification'!$B$15:$B$46,0)),INDEX('System Specification'!$M$15:$M$46,MATCH($A20,'System Specification'!$B$15:$B$46,0)))</f>
        <v/>
      </c>
      <c r="H20" s="280" t="str">
        <f>IF('Microgrid Proposal'!J37="","",'Microgrid Proposal'!J37)</f>
        <v/>
      </c>
      <c r="I20" s="209" t="str">
        <f>IF('Microgrid Proposal'!K37="","",'Microgrid Proposal'!K37)</f>
        <v/>
      </c>
      <c r="J20" s="209" t="str">
        <f>IF('Microgrid Proposal'!L37="","",'Microgrid Proposal'!L37)</f>
        <v/>
      </c>
      <c r="K20" s="276" t="str">
        <f>IF('Microgrid Proposal'!M37="","",'Microgrid Proposal'!M37)</f>
        <v/>
      </c>
      <c r="L20" s="276" t="str">
        <f>IF('Microgrid Proposal'!N37="","",'Microgrid Proposal'!N37)</f>
        <v/>
      </c>
      <c r="M20" s="298" t="str">
        <f>IF('Microgrid Proposal'!O37="","",'Microgrid Proposal'!O37)</f>
        <v/>
      </c>
      <c r="N20" s="298" t="str">
        <f>IF('Microgrid Proposal'!P37="","",'Microgrid Proposal'!P37)</f>
        <v/>
      </c>
      <c r="O20" s="298" t="str">
        <f>IF('Microgrid Proposal'!Q37="","",'Microgrid Proposal'!Q37)</f>
        <v/>
      </c>
      <c r="P20" s="299" t="str">
        <f>IF('Microgrid Proposal'!R37="","",'Microgrid Proposal'!R37)</f>
        <v/>
      </c>
      <c r="Q20" s="280" t="str">
        <f>IF('Solar+Storage Proposal'!J37="","",'Solar+Storage Proposal'!J37)</f>
        <v/>
      </c>
      <c r="R20" s="209" t="str">
        <f>IF('Solar+Storage Proposal'!K37="","",'Solar+Storage Proposal'!K37)</f>
        <v/>
      </c>
      <c r="S20" s="209" t="str">
        <f>IF('Solar+Storage Proposal'!L37="","",'Solar+Storage Proposal'!L37)</f>
        <v/>
      </c>
      <c r="T20" s="276" t="str">
        <f>IF('Solar+Storage Proposal'!M37="","",'Solar+Storage Proposal'!M37)</f>
        <v/>
      </c>
      <c r="U20" s="276" t="str">
        <f>IF('Solar+Storage Proposal'!N37="","",'Solar+Storage Proposal'!N37)</f>
        <v/>
      </c>
      <c r="V20" s="298" t="str">
        <f>IF('Solar+Storage Proposal'!O37="","",'Solar+Storage Proposal'!O37)</f>
        <v/>
      </c>
      <c r="W20" s="298" t="str">
        <f>IF('Solar+Storage Proposal'!P37="","",'Solar+Storage Proposal'!P37)</f>
        <v/>
      </c>
      <c r="X20" s="298" t="str">
        <f>IF('Solar+Storage Proposal'!Q37="","",'Solar+Storage Proposal'!Q37)</f>
        <v/>
      </c>
      <c r="Y20" s="299" t="str">
        <f>IF('Solar+Storage Proposal'!R37="","",'Solar+Storage Proposal'!R37)</f>
        <v/>
      </c>
      <c r="Z20" s="280" t="str">
        <f>IF('Solar-Only Proposal'!I37="","",'Solar-Only Proposal'!I37)</f>
        <v/>
      </c>
      <c r="AA20" s="209" t="str">
        <f>IF('Solar-Only Proposal'!J37="","",'Solar-Only Proposal'!J37)</f>
        <v/>
      </c>
      <c r="AB20" s="209" t="str">
        <f>IF('Solar-Only Proposal'!K37="","",'Solar-Only Proposal'!K37)</f>
        <v/>
      </c>
      <c r="AC20" s="276" t="str">
        <f>IF('Solar-Only Proposal'!L37="","",'Solar-Only Proposal'!L37)</f>
        <v/>
      </c>
      <c r="AD20" s="276" t="str">
        <f>IF('Solar-Only Proposal'!M37="","",'Solar-Only Proposal'!M37)</f>
        <v/>
      </c>
      <c r="AE20" s="298" t="str">
        <f>IF('Solar-Only Proposal'!N37="","",'Solar-Only Proposal'!N37)</f>
        <v/>
      </c>
      <c r="AF20" s="298" t="str">
        <f>IF('Solar-Only Proposal'!O37="","",'Solar-Only Proposal'!O37)</f>
        <v/>
      </c>
      <c r="AG20" s="298" t="str">
        <f>IF('Solar-Only Proposal'!P37="","",'Solar-Only Proposal'!P37)</f>
        <v/>
      </c>
      <c r="AH20" s="299" t="str">
        <f>IF('Solar-Only Proposal'!Q37="","",'Solar-Only Proposal'!Q37)</f>
        <v/>
      </c>
    </row>
    <row r="21" spans="1:34" ht="15.4" customHeight="1" x14ac:dyDescent="0.55000000000000004">
      <c r="A21" s="203">
        <v>8</v>
      </c>
      <c r="B21" s="481" t="str">
        <f>INDEX(Site_Data_Table,MATCH($A21,'Site Data'!$A$5:$A$37,0),MATCH(B$13,Site_Data_Column_Names,0))</f>
        <v>Imperial County Courthouse</v>
      </c>
      <c r="C21" s="482"/>
      <c r="D21" s="204" t="str">
        <f>INDEX(Site_Data_Table,MATCH($A21,'Site Data'!$A$5:$A$37,0),MATCH(D$13,Site_Data_Column_Names,0))</f>
        <v>13-A1</v>
      </c>
      <c r="E21" s="152">
        <f>INDEX(Prod_Yr_1,MATCH('Summary &amp; Signature'!$A21,'System Specification'!$B$15:$B$46,0))</f>
        <v>0</v>
      </c>
      <c r="F21" s="153">
        <f>INDEX('System Specification'!$K$15:$K$46,MATCH('Summary &amp; Signature'!$A21,'System Specification'!$B$15:$B$46,0))</f>
        <v>0</v>
      </c>
      <c r="G21" s="274" t="str">
        <f>_xlfn.TEXTJOIN(" / ",1,INDEX('System Specification'!$L$15:$L$46,MATCH($A21,'System Specification'!$B$15:$B$46,0)),INDEX('System Specification'!$M$15:$M$46,MATCH($A21,'System Specification'!$B$15:$B$46,0)))</f>
        <v/>
      </c>
      <c r="H21" s="280" t="str">
        <f>IF('Microgrid Proposal'!J38="","",'Microgrid Proposal'!J38)</f>
        <v/>
      </c>
      <c r="I21" s="209" t="str">
        <f>IF('Microgrid Proposal'!K38="","",'Microgrid Proposal'!K38)</f>
        <v/>
      </c>
      <c r="J21" s="209" t="str">
        <f>IF('Microgrid Proposal'!L38="","",'Microgrid Proposal'!L38)</f>
        <v/>
      </c>
      <c r="K21" s="276" t="str">
        <f>IF('Microgrid Proposal'!M38="","",'Microgrid Proposal'!M38)</f>
        <v/>
      </c>
      <c r="L21" s="276" t="str">
        <f>IF('Microgrid Proposal'!N38="","",'Microgrid Proposal'!N38)</f>
        <v/>
      </c>
      <c r="M21" s="298" t="str">
        <f>IF('Microgrid Proposal'!O38="","",'Microgrid Proposal'!O38)</f>
        <v/>
      </c>
      <c r="N21" s="298" t="str">
        <f>IF('Microgrid Proposal'!P38="","",'Microgrid Proposal'!P38)</f>
        <v/>
      </c>
      <c r="O21" s="298" t="str">
        <f>IF('Microgrid Proposal'!Q38="","",'Microgrid Proposal'!Q38)</f>
        <v/>
      </c>
      <c r="P21" s="299" t="str">
        <f>IF('Microgrid Proposal'!R38="","",'Microgrid Proposal'!R38)</f>
        <v/>
      </c>
      <c r="Q21" s="280" t="str">
        <f>IF('Solar+Storage Proposal'!J38="","",'Solar+Storage Proposal'!J38)</f>
        <v/>
      </c>
      <c r="R21" s="209" t="str">
        <f>IF('Solar+Storage Proposal'!K38="","",'Solar+Storage Proposal'!K38)</f>
        <v/>
      </c>
      <c r="S21" s="209" t="str">
        <f>IF('Solar+Storage Proposal'!L38="","",'Solar+Storage Proposal'!L38)</f>
        <v/>
      </c>
      <c r="T21" s="276" t="str">
        <f>IF('Solar+Storage Proposal'!M38="","",'Solar+Storage Proposal'!M38)</f>
        <v/>
      </c>
      <c r="U21" s="276" t="str">
        <f>IF('Solar+Storage Proposal'!N38="","",'Solar+Storage Proposal'!N38)</f>
        <v/>
      </c>
      <c r="V21" s="298" t="str">
        <f>IF('Solar+Storage Proposal'!O38="","",'Solar+Storage Proposal'!O38)</f>
        <v/>
      </c>
      <c r="W21" s="298" t="str">
        <f>IF('Solar+Storage Proposal'!P38="","",'Solar+Storage Proposal'!P38)</f>
        <v/>
      </c>
      <c r="X21" s="298" t="str">
        <f>IF('Solar+Storage Proposal'!Q38="","",'Solar+Storage Proposal'!Q38)</f>
        <v/>
      </c>
      <c r="Y21" s="299" t="str">
        <f>IF('Solar+Storage Proposal'!R38="","",'Solar+Storage Proposal'!R38)</f>
        <v/>
      </c>
      <c r="Z21" s="280" t="str">
        <f>IF('Solar-Only Proposal'!I38="","",'Solar-Only Proposal'!I38)</f>
        <v/>
      </c>
      <c r="AA21" s="209" t="str">
        <f>IF('Solar-Only Proposal'!J38="","",'Solar-Only Proposal'!J38)</f>
        <v/>
      </c>
      <c r="AB21" s="209" t="str">
        <f>IF('Solar-Only Proposal'!K38="","",'Solar-Only Proposal'!K38)</f>
        <v/>
      </c>
      <c r="AC21" s="276" t="str">
        <f>IF('Solar-Only Proposal'!L38="","",'Solar-Only Proposal'!L38)</f>
        <v/>
      </c>
      <c r="AD21" s="276" t="str">
        <f>IF('Solar-Only Proposal'!M38="","",'Solar-Only Proposal'!M38)</f>
        <v/>
      </c>
      <c r="AE21" s="298" t="str">
        <f>IF('Solar-Only Proposal'!N38="","",'Solar-Only Proposal'!N38)</f>
        <v/>
      </c>
      <c r="AF21" s="298" t="str">
        <f>IF('Solar-Only Proposal'!O38="","",'Solar-Only Proposal'!O38)</f>
        <v/>
      </c>
      <c r="AG21" s="298" t="str">
        <f>IF('Solar-Only Proposal'!P38="","",'Solar-Only Proposal'!P38)</f>
        <v/>
      </c>
      <c r="AH21" s="299" t="str">
        <f>IF('Solar-Only Proposal'!Q38="","",'Solar-Only Proposal'!Q38)</f>
        <v/>
      </c>
    </row>
    <row r="22" spans="1:34" ht="15.4" customHeight="1" x14ac:dyDescent="0.55000000000000004">
      <c r="A22" s="203">
        <v>9</v>
      </c>
      <c r="B22" s="481" t="str">
        <f>INDEX(Site_Data_Table,MATCH($A22,'Site Data'!$A$5:$A$37,0),MATCH(B$13,Site_Data_Column_Names,0))</f>
        <v>Delano/North Kern Court</v>
      </c>
      <c r="C22" s="482"/>
      <c r="D22" s="204" t="str">
        <f>INDEX(Site_Data_Table,MATCH($A22,'Site Data'!$A$5:$A$37,0),MATCH(D$13,Site_Data_Column_Names,0))</f>
        <v>15-D1</v>
      </c>
      <c r="E22" s="152">
        <f>INDEX(Prod_Yr_1,MATCH('Summary &amp; Signature'!$A22,'System Specification'!$B$15:$B$46,0))</f>
        <v>0</v>
      </c>
      <c r="F22" s="153">
        <f>INDEX('System Specification'!$K$15:$K$46,MATCH('Summary &amp; Signature'!$A22,'System Specification'!$B$15:$B$46,0))</f>
        <v>0</v>
      </c>
      <c r="G22" s="274" t="str">
        <f>_xlfn.TEXTJOIN(" / ",1,INDEX('System Specification'!$L$15:$L$46,MATCH($A22,'System Specification'!$B$15:$B$46,0)),INDEX('System Specification'!$M$15:$M$46,MATCH($A22,'System Specification'!$B$15:$B$46,0)))</f>
        <v/>
      </c>
      <c r="H22" s="280" t="str">
        <f>IF('Microgrid Proposal'!J39="","",'Microgrid Proposal'!J39)</f>
        <v/>
      </c>
      <c r="I22" s="209" t="str">
        <f>IF('Microgrid Proposal'!K39="","",'Microgrid Proposal'!K39)</f>
        <v/>
      </c>
      <c r="J22" s="209" t="str">
        <f>IF('Microgrid Proposal'!L39="","",'Microgrid Proposal'!L39)</f>
        <v/>
      </c>
      <c r="K22" s="276" t="str">
        <f>IF('Microgrid Proposal'!M39="","",'Microgrid Proposal'!M39)</f>
        <v/>
      </c>
      <c r="L22" s="276" t="str">
        <f>IF('Microgrid Proposal'!N39="","",'Microgrid Proposal'!N39)</f>
        <v/>
      </c>
      <c r="M22" s="298" t="str">
        <f>IF('Microgrid Proposal'!O39="","",'Microgrid Proposal'!O39)</f>
        <v/>
      </c>
      <c r="N22" s="298" t="str">
        <f>IF('Microgrid Proposal'!P39="","",'Microgrid Proposal'!P39)</f>
        <v/>
      </c>
      <c r="O22" s="298" t="str">
        <f>IF('Microgrid Proposal'!Q39="","",'Microgrid Proposal'!Q39)</f>
        <v/>
      </c>
      <c r="P22" s="299" t="str">
        <f>IF('Microgrid Proposal'!R39="","",'Microgrid Proposal'!R39)</f>
        <v/>
      </c>
      <c r="Q22" s="280" t="str">
        <f>IF('Solar+Storage Proposal'!J39="","",'Solar+Storage Proposal'!J39)</f>
        <v/>
      </c>
      <c r="R22" s="209" t="str">
        <f>IF('Solar+Storage Proposal'!K39="","",'Solar+Storage Proposal'!K39)</f>
        <v/>
      </c>
      <c r="S22" s="209" t="str">
        <f>IF('Solar+Storage Proposal'!L39="","",'Solar+Storage Proposal'!L39)</f>
        <v/>
      </c>
      <c r="T22" s="276" t="str">
        <f>IF('Solar+Storage Proposal'!M39="","",'Solar+Storage Proposal'!M39)</f>
        <v/>
      </c>
      <c r="U22" s="276" t="str">
        <f>IF('Solar+Storage Proposal'!N39="","",'Solar+Storage Proposal'!N39)</f>
        <v/>
      </c>
      <c r="V22" s="298" t="str">
        <f>IF('Solar+Storage Proposal'!O39="","",'Solar+Storage Proposal'!O39)</f>
        <v/>
      </c>
      <c r="W22" s="298" t="str">
        <f>IF('Solar+Storage Proposal'!P39="","",'Solar+Storage Proposal'!P39)</f>
        <v/>
      </c>
      <c r="X22" s="298" t="str">
        <f>IF('Solar+Storage Proposal'!Q39="","",'Solar+Storage Proposal'!Q39)</f>
        <v/>
      </c>
      <c r="Y22" s="299" t="str">
        <f>IF('Solar+Storage Proposal'!R39="","",'Solar+Storage Proposal'!R39)</f>
        <v/>
      </c>
      <c r="Z22" s="280" t="str">
        <f>IF('Solar-Only Proposal'!I39="","",'Solar-Only Proposal'!I39)</f>
        <v/>
      </c>
      <c r="AA22" s="209" t="str">
        <f>IF('Solar-Only Proposal'!J39="","",'Solar-Only Proposal'!J39)</f>
        <v/>
      </c>
      <c r="AB22" s="209" t="str">
        <f>IF('Solar-Only Proposal'!K39="","",'Solar-Only Proposal'!K39)</f>
        <v/>
      </c>
      <c r="AC22" s="276" t="str">
        <f>IF('Solar-Only Proposal'!L39="","",'Solar-Only Proposal'!L39)</f>
        <v/>
      </c>
      <c r="AD22" s="276" t="str">
        <f>IF('Solar-Only Proposal'!M39="","",'Solar-Only Proposal'!M39)</f>
        <v/>
      </c>
      <c r="AE22" s="298" t="str">
        <f>IF('Solar-Only Proposal'!N39="","",'Solar-Only Proposal'!N39)</f>
        <v/>
      </c>
      <c r="AF22" s="298" t="str">
        <f>IF('Solar-Only Proposal'!O39="","",'Solar-Only Proposal'!O39)</f>
        <v/>
      </c>
      <c r="AG22" s="298" t="str">
        <f>IF('Solar-Only Proposal'!P39="","",'Solar-Only Proposal'!P39)</f>
        <v/>
      </c>
      <c r="AH22" s="299" t="str">
        <f>IF('Solar-Only Proposal'!Q39="","",'Solar-Only Proposal'!Q39)</f>
        <v/>
      </c>
    </row>
    <row r="23" spans="1:34" ht="15.3" x14ac:dyDescent="0.55000000000000004">
      <c r="A23" s="203">
        <v>10</v>
      </c>
      <c r="B23" s="481" t="str">
        <f>INDEX(Site_Data_Table,MATCH($A23,'Site Data'!$A$5:$A$37,0),MATCH(B$13,Site_Data_Column_Names,0))</f>
        <v>Kings Superior Court</v>
      </c>
      <c r="C23" s="482"/>
      <c r="D23" s="204" t="str">
        <f>INDEX(Site_Data_Table,MATCH($A23,'Site Data'!$A$5:$A$37,0),MATCH(D$13,Site_Data_Column_Names,0))</f>
        <v>16-A5</v>
      </c>
      <c r="E23" s="152">
        <f>INDEX(Prod_Yr_1,MATCH('Summary &amp; Signature'!$A23,'System Specification'!$B$15:$B$46,0))</f>
        <v>0</v>
      </c>
      <c r="F23" s="153">
        <f>INDEX('System Specification'!$K$15:$K$46,MATCH('Summary &amp; Signature'!$A23,'System Specification'!$B$15:$B$46,0))</f>
        <v>0</v>
      </c>
      <c r="G23" s="274" t="str">
        <f>_xlfn.TEXTJOIN(" / ",1,INDEX('System Specification'!$L$15:$L$46,MATCH($A23,'System Specification'!$B$15:$B$46,0)),INDEX('System Specification'!$M$15:$M$46,MATCH($A23,'System Specification'!$B$15:$B$46,0)))</f>
        <v/>
      </c>
      <c r="H23" s="280" t="str">
        <f>IF('Microgrid Proposal'!J40="","",'Microgrid Proposal'!J40)</f>
        <v/>
      </c>
      <c r="I23" s="209" t="str">
        <f>IF('Microgrid Proposal'!K40="","",'Microgrid Proposal'!K40)</f>
        <v/>
      </c>
      <c r="J23" s="209" t="str">
        <f>IF('Microgrid Proposal'!L40="","",'Microgrid Proposal'!L40)</f>
        <v/>
      </c>
      <c r="K23" s="276" t="str">
        <f>IF('Microgrid Proposal'!M40="","",'Microgrid Proposal'!M40)</f>
        <v/>
      </c>
      <c r="L23" s="276" t="str">
        <f>IF('Microgrid Proposal'!N40="","",'Microgrid Proposal'!N40)</f>
        <v/>
      </c>
      <c r="M23" s="298" t="str">
        <f>IF('Microgrid Proposal'!O40="","",'Microgrid Proposal'!O40)</f>
        <v/>
      </c>
      <c r="N23" s="298" t="str">
        <f>IF('Microgrid Proposal'!P40="","",'Microgrid Proposal'!P40)</f>
        <v/>
      </c>
      <c r="O23" s="298" t="str">
        <f>IF('Microgrid Proposal'!Q40="","",'Microgrid Proposal'!Q40)</f>
        <v/>
      </c>
      <c r="P23" s="299" t="str">
        <f>IF('Microgrid Proposal'!R40="","",'Microgrid Proposal'!R40)</f>
        <v/>
      </c>
      <c r="Q23" s="280" t="str">
        <f>IF('Solar+Storage Proposal'!J40="","",'Solar+Storage Proposal'!J40)</f>
        <v/>
      </c>
      <c r="R23" s="209" t="str">
        <f>IF('Solar+Storage Proposal'!K40="","",'Solar+Storage Proposal'!K40)</f>
        <v/>
      </c>
      <c r="S23" s="209" t="str">
        <f>IF('Solar+Storage Proposal'!L40="","",'Solar+Storage Proposal'!L40)</f>
        <v/>
      </c>
      <c r="T23" s="276" t="str">
        <f>IF('Solar+Storage Proposal'!M40="","",'Solar+Storage Proposal'!M40)</f>
        <v/>
      </c>
      <c r="U23" s="276" t="str">
        <f>IF('Solar+Storage Proposal'!N40="","",'Solar+Storage Proposal'!N40)</f>
        <v/>
      </c>
      <c r="V23" s="298" t="str">
        <f>IF('Solar+Storage Proposal'!O40="","",'Solar+Storage Proposal'!O40)</f>
        <v/>
      </c>
      <c r="W23" s="298" t="str">
        <f>IF('Solar+Storage Proposal'!P40="","",'Solar+Storage Proposal'!P40)</f>
        <v/>
      </c>
      <c r="X23" s="298" t="str">
        <f>IF('Solar+Storage Proposal'!Q40="","",'Solar+Storage Proposal'!Q40)</f>
        <v/>
      </c>
      <c r="Y23" s="299" t="str">
        <f>IF('Solar+Storage Proposal'!R40="","",'Solar+Storage Proposal'!R40)</f>
        <v/>
      </c>
      <c r="Z23" s="280" t="str">
        <f>IF('Solar-Only Proposal'!I40="","",'Solar-Only Proposal'!I40)</f>
        <v/>
      </c>
      <c r="AA23" s="209" t="str">
        <f>IF('Solar-Only Proposal'!J40="","",'Solar-Only Proposal'!J40)</f>
        <v/>
      </c>
      <c r="AB23" s="209" t="str">
        <f>IF('Solar-Only Proposal'!K40="","",'Solar-Only Proposal'!K40)</f>
        <v/>
      </c>
      <c r="AC23" s="276" t="str">
        <f>IF('Solar-Only Proposal'!L40="","",'Solar-Only Proposal'!L40)</f>
        <v/>
      </c>
      <c r="AD23" s="276" t="str">
        <f>IF('Solar-Only Proposal'!M40="","",'Solar-Only Proposal'!M40)</f>
        <v/>
      </c>
      <c r="AE23" s="298" t="str">
        <f>IF('Solar-Only Proposal'!N40="","",'Solar-Only Proposal'!N40)</f>
        <v/>
      </c>
      <c r="AF23" s="298" t="str">
        <f>IF('Solar-Only Proposal'!O40="","",'Solar-Only Proposal'!O40)</f>
        <v/>
      </c>
      <c r="AG23" s="298" t="str">
        <f>IF('Solar-Only Proposal'!P40="","",'Solar-Only Proposal'!P40)</f>
        <v/>
      </c>
      <c r="AH23" s="299" t="str">
        <f>IF('Solar-Only Proposal'!Q40="","",'Solar-Only Proposal'!Q40)</f>
        <v/>
      </c>
    </row>
    <row r="24" spans="1:34" ht="15.3" x14ac:dyDescent="0.55000000000000004">
      <c r="A24" s="203">
        <v>11</v>
      </c>
      <c r="B24" s="481" t="str">
        <f>INDEX(Site_Data_Table,MATCH($A24,'Site Data'!$A$5:$A$37,0),MATCH(B$13,Site_Data_Column_Names,0))</f>
        <v>Whittier Courthouse</v>
      </c>
      <c r="C24" s="482"/>
      <c r="D24" s="204" t="str">
        <f>INDEX(Site_Data_Table,MATCH($A24,'Site Data'!$A$5:$A$37,0),MATCH(D$13,Site_Data_Column_Names,0))</f>
        <v>19-AO1</v>
      </c>
      <c r="E24" s="152">
        <f>INDEX(Prod_Yr_1,MATCH('Summary &amp; Signature'!$A24,'System Specification'!$B$15:$B$46,0))</f>
        <v>0</v>
      </c>
      <c r="F24" s="153">
        <f>INDEX('System Specification'!$K$15:$K$46,MATCH('Summary &amp; Signature'!$A24,'System Specification'!$B$15:$B$46,0))</f>
        <v>0</v>
      </c>
      <c r="G24" s="274" t="str">
        <f>_xlfn.TEXTJOIN(" / ",1,INDEX('System Specification'!$L$15:$L$46,MATCH($A24,'System Specification'!$B$15:$B$46,0)),INDEX('System Specification'!$M$15:$M$46,MATCH($A24,'System Specification'!$B$15:$B$46,0)))</f>
        <v/>
      </c>
      <c r="H24" s="280" t="str">
        <f>IF('Microgrid Proposal'!J41="","",'Microgrid Proposal'!J41)</f>
        <v/>
      </c>
      <c r="I24" s="209" t="str">
        <f>IF('Microgrid Proposal'!K41="","",'Microgrid Proposal'!K41)</f>
        <v/>
      </c>
      <c r="J24" s="209" t="str">
        <f>IF('Microgrid Proposal'!L41="","",'Microgrid Proposal'!L41)</f>
        <v/>
      </c>
      <c r="K24" s="276" t="str">
        <f>IF('Microgrid Proposal'!M41="","",'Microgrid Proposal'!M41)</f>
        <v/>
      </c>
      <c r="L24" s="276" t="str">
        <f>IF('Microgrid Proposal'!N41="","",'Microgrid Proposal'!N41)</f>
        <v/>
      </c>
      <c r="M24" s="298" t="str">
        <f>IF('Microgrid Proposal'!O41="","",'Microgrid Proposal'!O41)</f>
        <v/>
      </c>
      <c r="N24" s="298" t="str">
        <f>IF('Microgrid Proposal'!P41="","",'Microgrid Proposal'!P41)</f>
        <v/>
      </c>
      <c r="O24" s="298" t="str">
        <f>IF('Microgrid Proposal'!Q41="","",'Microgrid Proposal'!Q41)</f>
        <v/>
      </c>
      <c r="P24" s="299" t="str">
        <f>IF('Microgrid Proposal'!R41="","",'Microgrid Proposal'!R41)</f>
        <v/>
      </c>
      <c r="Q24" s="280" t="str">
        <f>IF('Solar+Storage Proposal'!J41="","",'Solar+Storage Proposal'!J41)</f>
        <v/>
      </c>
      <c r="R24" s="209" t="str">
        <f>IF('Solar+Storage Proposal'!K41="","",'Solar+Storage Proposal'!K41)</f>
        <v/>
      </c>
      <c r="S24" s="209" t="str">
        <f>IF('Solar+Storage Proposal'!L41="","",'Solar+Storage Proposal'!L41)</f>
        <v/>
      </c>
      <c r="T24" s="276" t="str">
        <f>IF('Solar+Storage Proposal'!M41="","",'Solar+Storage Proposal'!M41)</f>
        <v/>
      </c>
      <c r="U24" s="276" t="str">
        <f>IF('Solar+Storage Proposal'!N41="","",'Solar+Storage Proposal'!N41)</f>
        <v/>
      </c>
      <c r="V24" s="298" t="str">
        <f>IF('Solar+Storage Proposal'!O41="","",'Solar+Storage Proposal'!O41)</f>
        <v/>
      </c>
      <c r="W24" s="298" t="str">
        <f>IF('Solar+Storage Proposal'!P41="","",'Solar+Storage Proposal'!P41)</f>
        <v/>
      </c>
      <c r="X24" s="298" t="str">
        <f>IF('Solar+Storage Proposal'!Q41="","",'Solar+Storage Proposal'!Q41)</f>
        <v/>
      </c>
      <c r="Y24" s="299" t="str">
        <f>IF('Solar+Storage Proposal'!R41="","",'Solar+Storage Proposal'!R41)</f>
        <v/>
      </c>
      <c r="Z24" s="280" t="str">
        <f>IF('Solar-Only Proposal'!I41="","",'Solar-Only Proposal'!I41)</f>
        <v/>
      </c>
      <c r="AA24" s="209" t="str">
        <f>IF('Solar-Only Proposal'!J41="","",'Solar-Only Proposal'!J41)</f>
        <v/>
      </c>
      <c r="AB24" s="209" t="str">
        <f>IF('Solar-Only Proposal'!K41="","",'Solar-Only Proposal'!K41)</f>
        <v/>
      </c>
      <c r="AC24" s="276" t="str">
        <f>IF('Solar-Only Proposal'!L41="","",'Solar-Only Proposal'!L41)</f>
        <v/>
      </c>
      <c r="AD24" s="276" t="str">
        <f>IF('Solar-Only Proposal'!M41="","",'Solar-Only Proposal'!M41)</f>
        <v/>
      </c>
      <c r="AE24" s="298" t="str">
        <f>IF('Solar-Only Proposal'!N41="","",'Solar-Only Proposal'!N41)</f>
        <v/>
      </c>
      <c r="AF24" s="298" t="str">
        <f>IF('Solar-Only Proposal'!O41="","",'Solar-Only Proposal'!O41)</f>
        <v/>
      </c>
      <c r="AG24" s="298" t="str">
        <f>IF('Solar-Only Proposal'!P41="","",'Solar-Only Proposal'!P41)</f>
        <v/>
      </c>
      <c r="AH24" s="299" t="str">
        <f>IF('Solar-Only Proposal'!Q41="","",'Solar-Only Proposal'!Q41)</f>
        <v/>
      </c>
    </row>
    <row r="25" spans="1:34" ht="15.4" customHeight="1" x14ac:dyDescent="0.55000000000000004">
      <c r="A25" s="203">
        <v>12</v>
      </c>
      <c r="B25" s="481" t="str">
        <f>INDEX(Site_Data_Table,MATCH($A25,'Site Data'!$A$5:$A$37,0),MATCH(B$13,Site_Data_Column_Names,0))</f>
        <v>Santa Monica Courthouse</v>
      </c>
      <c r="C25" s="482"/>
      <c r="D25" s="204" t="str">
        <f>INDEX(Site_Data_Table,MATCH($A25,'Site Data'!$A$5:$A$37,0),MATCH(D$13,Site_Data_Column_Names,0))</f>
        <v>19-AP1</v>
      </c>
      <c r="E25" s="152">
        <f>INDEX(Prod_Yr_1,MATCH('Summary &amp; Signature'!$A25,'System Specification'!$B$15:$B$46,0))</f>
        <v>0</v>
      </c>
      <c r="F25" s="153">
        <f>INDEX('System Specification'!$K$15:$K$46,MATCH('Summary &amp; Signature'!$A25,'System Specification'!$B$15:$B$46,0))</f>
        <v>0</v>
      </c>
      <c r="G25" s="274" t="str">
        <f>_xlfn.TEXTJOIN(" / ",1,INDEX('System Specification'!$L$15:$L$46,MATCH($A25,'System Specification'!$B$15:$B$46,0)),INDEX('System Specification'!$M$15:$M$46,MATCH($A25,'System Specification'!$B$15:$B$46,0)))</f>
        <v/>
      </c>
      <c r="H25" s="280" t="str">
        <f>IF('Microgrid Proposal'!J42="","",'Microgrid Proposal'!J42)</f>
        <v/>
      </c>
      <c r="I25" s="209" t="str">
        <f>IF('Microgrid Proposal'!K42="","",'Microgrid Proposal'!K42)</f>
        <v/>
      </c>
      <c r="J25" s="209" t="str">
        <f>IF('Microgrid Proposal'!L42="","",'Microgrid Proposal'!L42)</f>
        <v/>
      </c>
      <c r="K25" s="276" t="str">
        <f>IF('Microgrid Proposal'!M42="","",'Microgrid Proposal'!M42)</f>
        <v/>
      </c>
      <c r="L25" s="276" t="str">
        <f>IF('Microgrid Proposal'!N42="","",'Microgrid Proposal'!N42)</f>
        <v/>
      </c>
      <c r="M25" s="298" t="str">
        <f>IF('Microgrid Proposal'!O42="","",'Microgrid Proposal'!O42)</f>
        <v/>
      </c>
      <c r="N25" s="298" t="str">
        <f>IF('Microgrid Proposal'!P42="","",'Microgrid Proposal'!P42)</f>
        <v/>
      </c>
      <c r="O25" s="298" t="str">
        <f>IF('Microgrid Proposal'!Q42="","",'Microgrid Proposal'!Q42)</f>
        <v/>
      </c>
      <c r="P25" s="299" t="str">
        <f>IF('Microgrid Proposal'!R42="","",'Microgrid Proposal'!R42)</f>
        <v/>
      </c>
      <c r="Q25" s="280" t="str">
        <f>IF('Solar+Storage Proposal'!J42="","",'Solar+Storage Proposal'!J42)</f>
        <v/>
      </c>
      <c r="R25" s="209" t="str">
        <f>IF('Solar+Storage Proposal'!K42="","",'Solar+Storage Proposal'!K42)</f>
        <v/>
      </c>
      <c r="S25" s="209" t="str">
        <f>IF('Solar+Storage Proposal'!L42="","",'Solar+Storage Proposal'!L42)</f>
        <v/>
      </c>
      <c r="T25" s="276" t="str">
        <f>IF('Solar+Storage Proposal'!M42="","",'Solar+Storage Proposal'!M42)</f>
        <v/>
      </c>
      <c r="U25" s="276" t="str">
        <f>IF('Solar+Storage Proposal'!N42="","",'Solar+Storage Proposal'!N42)</f>
        <v/>
      </c>
      <c r="V25" s="298" t="str">
        <f>IF('Solar+Storage Proposal'!O42="","",'Solar+Storage Proposal'!O42)</f>
        <v/>
      </c>
      <c r="W25" s="298" t="str">
        <f>IF('Solar+Storage Proposal'!P42="","",'Solar+Storage Proposal'!P42)</f>
        <v/>
      </c>
      <c r="X25" s="298" t="str">
        <f>IF('Solar+Storage Proposal'!Q42="","",'Solar+Storage Proposal'!Q42)</f>
        <v/>
      </c>
      <c r="Y25" s="299" t="str">
        <f>IF('Solar+Storage Proposal'!R42="","",'Solar+Storage Proposal'!R42)</f>
        <v/>
      </c>
      <c r="Z25" s="280" t="str">
        <f>IF('Solar-Only Proposal'!I42="","",'Solar-Only Proposal'!I42)</f>
        <v/>
      </c>
      <c r="AA25" s="209" t="str">
        <f>IF('Solar-Only Proposal'!J42="","",'Solar-Only Proposal'!J42)</f>
        <v/>
      </c>
      <c r="AB25" s="209" t="str">
        <f>IF('Solar-Only Proposal'!K42="","",'Solar-Only Proposal'!K42)</f>
        <v/>
      </c>
      <c r="AC25" s="276" t="str">
        <f>IF('Solar-Only Proposal'!L42="","",'Solar-Only Proposal'!L42)</f>
        <v/>
      </c>
      <c r="AD25" s="276" t="str">
        <f>IF('Solar-Only Proposal'!M42="","",'Solar-Only Proposal'!M42)</f>
        <v/>
      </c>
      <c r="AE25" s="298" t="str">
        <f>IF('Solar-Only Proposal'!N42="","",'Solar-Only Proposal'!N42)</f>
        <v/>
      </c>
      <c r="AF25" s="298" t="str">
        <f>IF('Solar-Only Proposal'!O42="","",'Solar-Only Proposal'!O42)</f>
        <v/>
      </c>
      <c r="AG25" s="298" t="str">
        <f>IF('Solar-Only Proposal'!P42="","",'Solar-Only Proposal'!P42)</f>
        <v/>
      </c>
      <c r="AH25" s="299" t="str">
        <f>IF('Solar-Only Proposal'!Q42="","",'Solar-Only Proposal'!Q42)</f>
        <v/>
      </c>
    </row>
    <row r="26" spans="1:34" ht="15.4" customHeight="1" x14ac:dyDescent="0.55000000000000004">
      <c r="A26" s="203">
        <v>13</v>
      </c>
      <c r="B26" s="481" t="str">
        <f>INDEX(Site_Data_Table,MATCH($A26,'Site Data'!$A$5:$A$37,0),MATCH(B$13,Site_Data_Column_Names,0))</f>
        <v>Van Nuys Courthouse East</v>
      </c>
      <c r="C26" s="482"/>
      <c r="D26" s="204" t="str">
        <f>INDEX(Site_Data_Table,MATCH($A26,'Site Data'!$A$5:$A$37,0),MATCH(D$13,Site_Data_Column_Names,0))</f>
        <v>19-AX1</v>
      </c>
      <c r="E26" s="152">
        <f>INDEX(Prod_Yr_1,MATCH('Summary &amp; Signature'!$A26,'System Specification'!$B$15:$B$46,0))</f>
        <v>0</v>
      </c>
      <c r="F26" s="153">
        <f>INDEX('System Specification'!$K$15:$K$46,MATCH('Summary &amp; Signature'!$A26,'System Specification'!$B$15:$B$46,0))</f>
        <v>0</v>
      </c>
      <c r="G26" s="274" t="str">
        <f>_xlfn.TEXTJOIN(" / ",1,INDEX('System Specification'!$L$15:$L$46,MATCH($A26,'System Specification'!$B$15:$B$46,0)),INDEX('System Specification'!$M$15:$M$46,MATCH($A26,'System Specification'!$B$15:$B$46,0)))</f>
        <v/>
      </c>
      <c r="H26" s="280" t="str">
        <f>IF('Microgrid Proposal'!J43="","",'Microgrid Proposal'!J43)</f>
        <v/>
      </c>
      <c r="I26" s="209" t="str">
        <f>IF('Microgrid Proposal'!K43="","",'Microgrid Proposal'!K43)</f>
        <v/>
      </c>
      <c r="J26" s="209" t="str">
        <f>IF('Microgrid Proposal'!L43="","",'Microgrid Proposal'!L43)</f>
        <v/>
      </c>
      <c r="K26" s="276" t="str">
        <f>IF('Microgrid Proposal'!M43="","",'Microgrid Proposal'!M43)</f>
        <v/>
      </c>
      <c r="L26" s="276" t="str">
        <f>IF('Microgrid Proposal'!N43="","",'Microgrid Proposal'!N43)</f>
        <v/>
      </c>
      <c r="M26" s="209" t="str">
        <f>IF('Microgrid Proposal'!O43="","",'Microgrid Proposal'!O43)</f>
        <v/>
      </c>
      <c r="N26" s="209" t="str">
        <f>IF('Microgrid Proposal'!P43="","",'Microgrid Proposal'!P43)</f>
        <v/>
      </c>
      <c r="O26" s="209" t="str">
        <f>IF('Microgrid Proposal'!Q43="","",'Microgrid Proposal'!Q43)</f>
        <v/>
      </c>
      <c r="P26" s="215" t="str">
        <f>IF('Microgrid Proposal'!R43="","",'Microgrid Proposal'!R43)</f>
        <v/>
      </c>
      <c r="Q26" s="280" t="str">
        <f>IF('Solar+Storage Proposal'!J43="","",'Solar+Storage Proposal'!J43)</f>
        <v/>
      </c>
      <c r="R26" s="209" t="str">
        <f>IF('Solar+Storage Proposal'!K43="","",'Solar+Storage Proposal'!K43)</f>
        <v/>
      </c>
      <c r="S26" s="209" t="str">
        <f>IF('Solar+Storage Proposal'!L43="","",'Solar+Storage Proposal'!L43)</f>
        <v/>
      </c>
      <c r="T26" s="276" t="str">
        <f>IF('Solar+Storage Proposal'!M43="","",'Solar+Storage Proposal'!M43)</f>
        <v/>
      </c>
      <c r="U26" s="276" t="str">
        <f>IF('Solar+Storage Proposal'!N43="","",'Solar+Storage Proposal'!N43)</f>
        <v/>
      </c>
      <c r="V26" s="209" t="str">
        <f>IF('Solar+Storage Proposal'!O43="","",'Solar+Storage Proposal'!O43)</f>
        <v/>
      </c>
      <c r="W26" s="209" t="str">
        <f>IF('Solar+Storage Proposal'!P43="","",'Solar+Storage Proposal'!P43)</f>
        <v/>
      </c>
      <c r="X26" s="209" t="str">
        <f>IF('Solar+Storage Proposal'!Q43="","",'Solar+Storage Proposal'!Q43)</f>
        <v/>
      </c>
      <c r="Y26" s="215" t="str">
        <f>IF('Solar+Storage Proposal'!R43="","",'Solar+Storage Proposal'!R43)</f>
        <v/>
      </c>
      <c r="Z26" s="280" t="str">
        <f>IF('Solar-Only Proposal'!I43="","",'Solar-Only Proposal'!I43)</f>
        <v/>
      </c>
      <c r="AA26" s="209" t="str">
        <f>IF('Solar-Only Proposal'!J43="","",'Solar-Only Proposal'!J43)</f>
        <v/>
      </c>
      <c r="AB26" s="209" t="str">
        <f>IF('Solar-Only Proposal'!K43="","",'Solar-Only Proposal'!K43)</f>
        <v/>
      </c>
      <c r="AC26" s="276" t="str">
        <f>IF('Solar-Only Proposal'!L43="","",'Solar-Only Proposal'!L43)</f>
        <v/>
      </c>
      <c r="AD26" s="276" t="str">
        <f>IF('Solar-Only Proposal'!M43="","",'Solar-Only Proposal'!M43)</f>
        <v/>
      </c>
      <c r="AE26" s="209" t="str">
        <f>IF('Solar-Only Proposal'!N43="","",'Solar-Only Proposal'!N43)</f>
        <v/>
      </c>
      <c r="AF26" s="209" t="str">
        <f>IF('Solar-Only Proposal'!O43="","",'Solar-Only Proposal'!O43)</f>
        <v/>
      </c>
      <c r="AG26" s="209" t="str">
        <f>IF('Solar-Only Proposal'!P43="","",'Solar-Only Proposal'!P43)</f>
        <v/>
      </c>
      <c r="AH26" s="215" t="str">
        <f>IF('Solar-Only Proposal'!Q43="","",'Solar-Only Proposal'!Q43)</f>
        <v/>
      </c>
    </row>
    <row r="27" spans="1:34" ht="15.3" x14ac:dyDescent="0.55000000000000004">
      <c r="A27" s="203">
        <v>14</v>
      </c>
      <c r="B27" s="481" t="str">
        <f>INDEX(Site_Data_Table,MATCH($A27,'Site Data'!$A$5:$A$37,0),MATCH(B$13,Site_Data_Column_Names,0))</f>
        <v>Torrance Courthouse</v>
      </c>
      <c r="C27" s="482"/>
      <c r="D27" s="204" t="str">
        <f>INDEX(Site_Data_Table,MATCH($A27,'Site Data'!$A$5:$A$37,0),MATCH(D$13,Site_Data_Column_Names,0))</f>
        <v>19-C1</v>
      </c>
      <c r="E27" s="152">
        <f>INDEX(Prod_Yr_1,MATCH('Summary &amp; Signature'!$A27,'System Specification'!$B$15:$B$46,0))</f>
        <v>0</v>
      </c>
      <c r="F27" s="153">
        <f>INDEX('System Specification'!$K$15:$K$46,MATCH('Summary &amp; Signature'!$A27,'System Specification'!$B$15:$B$46,0))</f>
        <v>0</v>
      </c>
      <c r="G27" s="274" t="str">
        <f>_xlfn.TEXTJOIN(" / ",1,INDEX('System Specification'!$L$15:$L$46,MATCH($A27,'System Specification'!$B$15:$B$46,0)),INDEX('System Specification'!$M$15:$M$46,MATCH($A27,'System Specification'!$B$15:$B$46,0)))</f>
        <v/>
      </c>
      <c r="H27" s="280" t="str">
        <f>IF('Microgrid Proposal'!J44="","",'Microgrid Proposal'!J44)</f>
        <v/>
      </c>
      <c r="I27" s="209" t="str">
        <f>IF('Microgrid Proposal'!K44="","",'Microgrid Proposal'!K44)</f>
        <v/>
      </c>
      <c r="J27" s="209" t="str">
        <f>IF('Microgrid Proposal'!L44="","",'Microgrid Proposal'!L44)</f>
        <v/>
      </c>
      <c r="K27" s="276" t="str">
        <f>IF('Microgrid Proposal'!M44="","",'Microgrid Proposal'!M44)</f>
        <v/>
      </c>
      <c r="L27" s="276" t="str">
        <f>IF('Microgrid Proposal'!N44="","",'Microgrid Proposal'!N44)</f>
        <v/>
      </c>
      <c r="M27" s="298" t="str">
        <f>IF('Microgrid Proposal'!O44="","",'Microgrid Proposal'!O44)</f>
        <v/>
      </c>
      <c r="N27" s="298" t="str">
        <f>IF('Microgrid Proposal'!P44="","",'Microgrid Proposal'!P44)</f>
        <v/>
      </c>
      <c r="O27" s="298" t="str">
        <f>IF('Microgrid Proposal'!Q44="","",'Microgrid Proposal'!Q44)</f>
        <v/>
      </c>
      <c r="P27" s="299" t="str">
        <f>IF('Microgrid Proposal'!R44="","",'Microgrid Proposal'!R44)</f>
        <v/>
      </c>
      <c r="Q27" s="280" t="str">
        <f>IF('Solar+Storage Proposal'!J44="","",'Solar+Storage Proposal'!J44)</f>
        <v/>
      </c>
      <c r="R27" s="209" t="str">
        <f>IF('Solar+Storage Proposal'!K44="","",'Solar+Storage Proposal'!K44)</f>
        <v/>
      </c>
      <c r="S27" s="209" t="str">
        <f>IF('Solar+Storage Proposal'!L44="","",'Solar+Storage Proposal'!L44)</f>
        <v/>
      </c>
      <c r="T27" s="276" t="str">
        <f>IF('Solar+Storage Proposal'!M44="","",'Solar+Storage Proposal'!M44)</f>
        <v/>
      </c>
      <c r="U27" s="276" t="str">
        <f>IF('Solar+Storage Proposal'!N44="","",'Solar+Storage Proposal'!N44)</f>
        <v/>
      </c>
      <c r="V27" s="298" t="str">
        <f>IF('Solar+Storage Proposal'!O44="","",'Solar+Storage Proposal'!O44)</f>
        <v/>
      </c>
      <c r="W27" s="298" t="str">
        <f>IF('Solar+Storage Proposal'!P44="","",'Solar+Storage Proposal'!P44)</f>
        <v/>
      </c>
      <c r="X27" s="298" t="str">
        <f>IF('Solar+Storage Proposal'!Q44="","",'Solar+Storage Proposal'!Q44)</f>
        <v/>
      </c>
      <c r="Y27" s="299" t="str">
        <f>IF('Solar+Storage Proposal'!R44="","",'Solar+Storage Proposal'!R44)</f>
        <v/>
      </c>
      <c r="Z27" s="280" t="str">
        <f>IF('Solar-Only Proposal'!I44="","",'Solar-Only Proposal'!I44)</f>
        <v/>
      </c>
      <c r="AA27" s="209" t="str">
        <f>IF('Solar-Only Proposal'!J44="","",'Solar-Only Proposal'!J44)</f>
        <v/>
      </c>
      <c r="AB27" s="209" t="str">
        <f>IF('Solar-Only Proposal'!K44="","",'Solar-Only Proposal'!K44)</f>
        <v/>
      </c>
      <c r="AC27" s="276" t="str">
        <f>IF('Solar-Only Proposal'!L44="","",'Solar-Only Proposal'!L44)</f>
        <v/>
      </c>
      <c r="AD27" s="276" t="str">
        <f>IF('Solar-Only Proposal'!M44="","",'Solar-Only Proposal'!M44)</f>
        <v/>
      </c>
      <c r="AE27" s="298" t="str">
        <f>IF('Solar-Only Proposal'!N44="","",'Solar-Only Proposal'!N44)</f>
        <v/>
      </c>
      <c r="AF27" s="298" t="str">
        <f>IF('Solar-Only Proposal'!O44="","",'Solar-Only Proposal'!O44)</f>
        <v/>
      </c>
      <c r="AG27" s="298" t="str">
        <f>IF('Solar-Only Proposal'!P44="","",'Solar-Only Proposal'!P44)</f>
        <v/>
      </c>
      <c r="AH27" s="299" t="str">
        <f>IF('Solar-Only Proposal'!Q44="","",'Solar-Only Proposal'!Q44)</f>
        <v/>
      </c>
    </row>
    <row r="28" spans="1:34" ht="15.3" x14ac:dyDescent="0.55000000000000004">
      <c r="A28" s="203">
        <v>15</v>
      </c>
      <c r="B28" s="481" t="str">
        <f>INDEX(Site_Data_Table,MATCH($A28,'Site Data'!$A$5:$A$37,0),MATCH(B$13,Site_Data_Column_Names,0))</f>
        <v>Glendale Courthouse</v>
      </c>
      <c r="C28" s="482"/>
      <c r="D28" s="204" t="str">
        <f>INDEX(Site_Data_Table,MATCH($A28,'Site Data'!$A$5:$A$37,0),MATCH(D$13,Site_Data_Column_Names,0))</f>
        <v>19-H1</v>
      </c>
      <c r="E28" s="152">
        <f>INDEX(Prod_Yr_1,MATCH('Summary &amp; Signature'!$A28,'System Specification'!$B$15:$B$46,0))</f>
        <v>0</v>
      </c>
      <c r="F28" s="153">
        <f>INDEX('System Specification'!$K$15:$K$46,MATCH('Summary &amp; Signature'!$A28,'System Specification'!$B$15:$B$46,0))</f>
        <v>0</v>
      </c>
      <c r="G28" s="274" t="str">
        <f>_xlfn.TEXTJOIN(" / ",1,INDEX('System Specification'!$L$15:$L$46,MATCH($A28,'System Specification'!$B$15:$B$46,0)),INDEX('System Specification'!$M$15:$M$46,MATCH($A28,'System Specification'!$B$15:$B$46,0)))</f>
        <v/>
      </c>
      <c r="H28" s="280" t="str">
        <f>IF('Microgrid Proposal'!J45="","",'Microgrid Proposal'!J45)</f>
        <v/>
      </c>
      <c r="I28" s="209" t="str">
        <f>IF('Microgrid Proposal'!K45="","",'Microgrid Proposal'!K45)</f>
        <v/>
      </c>
      <c r="J28" s="209" t="str">
        <f>IF('Microgrid Proposal'!L45="","",'Microgrid Proposal'!L45)</f>
        <v/>
      </c>
      <c r="K28" s="276" t="str">
        <f>IF('Microgrid Proposal'!M45="","",'Microgrid Proposal'!M45)</f>
        <v/>
      </c>
      <c r="L28" s="276" t="str">
        <f>IF('Microgrid Proposal'!N45="","",'Microgrid Proposal'!N45)</f>
        <v/>
      </c>
      <c r="M28" s="209" t="str">
        <f>IF('Microgrid Proposal'!O45="","",'Microgrid Proposal'!O45)</f>
        <v/>
      </c>
      <c r="N28" s="209" t="str">
        <f>IF('Microgrid Proposal'!P45="","",'Microgrid Proposal'!P45)</f>
        <v/>
      </c>
      <c r="O28" s="209" t="str">
        <f>IF('Microgrid Proposal'!Q45="","",'Microgrid Proposal'!Q45)</f>
        <v/>
      </c>
      <c r="P28" s="215" t="str">
        <f>IF('Microgrid Proposal'!R45="","",'Microgrid Proposal'!R45)</f>
        <v/>
      </c>
      <c r="Q28" s="280" t="str">
        <f>IF('Solar+Storage Proposal'!J45="","",'Solar+Storage Proposal'!J45)</f>
        <v/>
      </c>
      <c r="R28" s="209" t="str">
        <f>IF('Solar+Storage Proposal'!K45="","",'Solar+Storage Proposal'!K45)</f>
        <v/>
      </c>
      <c r="S28" s="209" t="str">
        <f>IF('Solar+Storage Proposal'!L45="","",'Solar+Storage Proposal'!L45)</f>
        <v/>
      </c>
      <c r="T28" s="276" t="str">
        <f>IF('Solar+Storage Proposal'!M45="","",'Solar+Storage Proposal'!M45)</f>
        <v/>
      </c>
      <c r="U28" s="276" t="str">
        <f>IF('Solar+Storage Proposal'!N45="","",'Solar+Storage Proposal'!N45)</f>
        <v/>
      </c>
      <c r="V28" s="209" t="str">
        <f>IF('Solar+Storage Proposal'!O45="","",'Solar+Storage Proposal'!O45)</f>
        <v/>
      </c>
      <c r="W28" s="209" t="str">
        <f>IF('Solar+Storage Proposal'!P45="","",'Solar+Storage Proposal'!P45)</f>
        <v/>
      </c>
      <c r="X28" s="209" t="str">
        <f>IF('Solar+Storage Proposal'!Q45="","",'Solar+Storage Proposal'!Q45)</f>
        <v/>
      </c>
      <c r="Y28" s="215" t="str">
        <f>IF('Solar+Storage Proposal'!R45="","",'Solar+Storage Proposal'!R45)</f>
        <v/>
      </c>
      <c r="Z28" s="280" t="str">
        <f>IF('Solar-Only Proposal'!I45="","",'Solar-Only Proposal'!I45)</f>
        <v/>
      </c>
      <c r="AA28" s="209" t="str">
        <f>IF('Solar-Only Proposal'!J45="","",'Solar-Only Proposal'!J45)</f>
        <v/>
      </c>
      <c r="AB28" s="209" t="str">
        <f>IF('Solar-Only Proposal'!K45="","",'Solar-Only Proposal'!K45)</f>
        <v/>
      </c>
      <c r="AC28" s="276" t="str">
        <f>IF('Solar-Only Proposal'!L45="","",'Solar-Only Proposal'!L45)</f>
        <v/>
      </c>
      <c r="AD28" s="276" t="str">
        <f>IF('Solar-Only Proposal'!M45="","",'Solar-Only Proposal'!M45)</f>
        <v/>
      </c>
      <c r="AE28" s="209" t="str">
        <f>IF('Solar-Only Proposal'!N45="","",'Solar-Only Proposal'!N45)</f>
        <v/>
      </c>
      <c r="AF28" s="209" t="str">
        <f>IF('Solar-Only Proposal'!O45="","",'Solar-Only Proposal'!O45)</f>
        <v/>
      </c>
      <c r="AG28" s="209" t="str">
        <f>IF('Solar-Only Proposal'!P45="","",'Solar-Only Proposal'!P45)</f>
        <v/>
      </c>
      <c r="AH28" s="215" t="str">
        <f>IF('Solar-Only Proposal'!Q45="","",'Solar-Only Proposal'!Q45)</f>
        <v/>
      </c>
    </row>
    <row r="29" spans="1:34" ht="15.4" customHeight="1" x14ac:dyDescent="0.55000000000000004">
      <c r="A29" s="203">
        <v>16</v>
      </c>
      <c r="B29" s="481" t="str">
        <f>INDEX(Site_Data_Table,MATCH($A29,'Site Data'!$A$5:$A$37,0),MATCH(B$13,Site_Data_Column_Names,0))</f>
        <v>Monrovia Training Center</v>
      </c>
      <c r="C29" s="482"/>
      <c r="D29" s="204" t="str">
        <f>INDEX(Site_Data_Table,MATCH($A29,'Site Data'!$A$5:$A$37,0),MATCH(D$13,Site_Data_Column_Names,0))</f>
        <v>19-N1</v>
      </c>
      <c r="E29" s="152">
        <f>INDEX(Prod_Yr_1,MATCH('Summary &amp; Signature'!$A29,'System Specification'!$B$15:$B$46,0))</f>
        <v>0</v>
      </c>
      <c r="F29" s="153">
        <f>INDEX('System Specification'!$K$15:$K$46,MATCH('Summary &amp; Signature'!$A29,'System Specification'!$B$15:$B$46,0))</f>
        <v>0</v>
      </c>
      <c r="G29" s="274" t="str">
        <f>_xlfn.TEXTJOIN(" / ",1,INDEX('System Specification'!$L$15:$L$46,MATCH($A29,'System Specification'!$B$15:$B$46,0)),INDEX('System Specification'!$M$15:$M$46,MATCH($A29,'System Specification'!$B$15:$B$46,0)))</f>
        <v/>
      </c>
      <c r="H29" s="280" t="str">
        <f>IF('Microgrid Proposal'!J46="","",'Microgrid Proposal'!J46)</f>
        <v/>
      </c>
      <c r="I29" s="209" t="str">
        <f>IF('Microgrid Proposal'!K46="","",'Microgrid Proposal'!K46)</f>
        <v/>
      </c>
      <c r="J29" s="209" t="str">
        <f>IF('Microgrid Proposal'!L46="","",'Microgrid Proposal'!L46)</f>
        <v/>
      </c>
      <c r="K29" s="276" t="str">
        <f>IF('Microgrid Proposal'!M46="","",'Microgrid Proposal'!M46)</f>
        <v/>
      </c>
      <c r="L29" s="276" t="str">
        <f>IF('Microgrid Proposal'!N46="","",'Microgrid Proposal'!N46)</f>
        <v/>
      </c>
      <c r="M29" s="298" t="str">
        <f>IF('Microgrid Proposal'!O46="","",'Microgrid Proposal'!O46)</f>
        <v/>
      </c>
      <c r="N29" s="298" t="str">
        <f>IF('Microgrid Proposal'!P46="","",'Microgrid Proposal'!P46)</f>
        <v/>
      </c>
      <c r="O29" s="298" t="str">
        <f>IF('Microgrid Proposal'!Q46="","",'Microgrid Proposal'!Q46)</f>
        <v/>
      </c>
      <c r="P29" s="299" t="str">
        <f>IF('Microgrid Proposal'!R46="","",'Microgrid Proposal'!R46)</f>
        <v/>
      </c>
      <c r="Q29" s="280" t="str">
        <f>IF('Solar+Storage Proposal'!J46="","",'Solar+Storage Proposal'!J46)</f>
        <v/>
      </c>
      <c r="R29" s="209" t="str">
        <f>IF('Solar+Storage Proposal'!K46="","",'Solar+Storage Proposal'!K46)</f>
        <v/>
      </c>
      <c r="S29" s="209" t="str">
        <f>IF('Solar+Storage Proposal'!L46="","",'Solar+Storage Proposal'!L46)</f>
        <v/>
      </c>
      <c r="T29" s="276" t="str">
        <f>IF('Solar+Storage Proposal'!M46="","",'Solar+Storage Proposal'!M46)</f>
        <v/>
      </c>
      <c r="U29" s="276" t="str">
        <f>IF('Solar+Storage Proposal'!N46="","",'Solar+Storage Proposal'!N46)</f>
        <v/>
      </c>
      <c r="V29" s="298" t="str">
        <f>IF('Solar+Storage Proposal'!O46="","",'Solar+Storage Proposal'!O46)</f>
        <v/>
      </c>
      <c r="W29" s="298" t="str">
        <f>IF('Solar+Storage Proposal'!P46="","",'Solar+Storage Proposal'!P46)</f>
        <v/>
      </c>
      <c r="X29" s="298" t="str">
        <f>IF('Solar+Storage Proposal'!Q46="","",'Solar+Storage Proposal'!Q46)</f>
        <v/>
      </c>
      <c r="Y29" s="299" t="str">
        <f>IF('Solar+Storage Proposal'!R46="","",'Solar+Storage Proposal'!R46)</f>
        <v/>
      </c>
      <c r="Z29" s="280" t="str">
        <f>IF('Solar-Only Proposal'!I46="","",'Solar-Only Proposal'!I46)</f>
        <v/>
      </c>
      <c r="AA29" s="209" t="str">
        <f>IF('Solar-Only Proposal'!J46="","",'Solar-Only Proposal'!J46)</f>
        <v/>
      </c>
      <c r="AB29" s="209" t="str">
        <f>IF('Solar-Only Proposal'!K46="","",'Solar-Only Proposal'!K46)</f>
        <v/>
      </c>
      <c r="AC29" s="276" t="str">
        <f>IF('Solar-Only Proposal'!L46="","",'Solar-Only Proposal'!L46)</f>
        <v/>
      </c>
      <c r="AD29" s="276" t="str">
        <f>IF('Solar-Only Proposal'!M46="","",'Solar-Only Proposal'!M46)</f>
        <v/>
      </c>
      <c r="AE29" s="298" t="str">
        <f>IF('Solar-Only Proposal'!N46="","",'Solar-Only Proposal'!N46)</f>
        <v/>
      </c>
      <c r="AF29" s="298" t="str">
        <f>IF('Solar-Only Proposal'!O46="","",'Solar-Only Proposal'!O46)</f>
        <v/>
      </c>
      <c r="AG29" s="298" t="str">
        <f>IF('Solar-Only Proposal'!P46="","",'Solar-Only Proposal'!P46)</f>
        <v/>
      </c>
      <c r="AH29" s="299" t="str">
        <f>IF('Solar-Only Proposal'!Q46="","",'Solar-Only Proposal'!Q46)</f>
        <v/>
      </c>
    </row>
    <row r="30" spans="1:34" ht="15.4" customHeight="1" x14ac:dyDescent="0.55000000000000004">
      <c r="A30" s="203">
        <v>17</v>
      </c>
      <c r="B30" s="481" t="str">
        <f>INDEX(Site_Data_Table,MATCH($A30,'Site Data'!$A$5:$A$37,0),MATCH(B$13,Site_Data_Column_Names,0))</f>
        <v>Edmund D. Edelman Children's Court</v>
      </c>
      <c r="C30" s="482"/>
      <c r="D30" s="204" t="str">
        <f>INDEX(Site_Data_Table,MATCH($A30,'Site Data'!$A$5:$A$37,0),MATCH(D$13,Site_Data_Column_Names,0))</f>
        <v>19-Q1</v>
      </c>
      <c r="E30" s="152">
        <f>INDEX(Prod_Yr_1,MATCH('Summary &amp; Signature'!$A30,'System Specification'!$B$15:$B$46,0))</f>
        <v>0</v>
      </c>
      <c r="F30" s="153">
        <f>INDEX('System Specification'!$K$15:$K$46,MATCH('Summary &amp; Signature'!$A30,'System Specification'!$B$15:$B$46,0))</f>
        <v>0</v>
      </c>
      <c r="G30" s="274" t="str">
        <f>_xlfn.TEXTJOIN(" / ",1,INDEX('System Specification'!$L$15:$L$46,MATCH($A30,'System Specification'!$B$15:$B$46,0)),INDEX('System Specification'!$M$15:$M$46,MATCH($A30,'System Specification'!$B$15:$B$46,0)))</f>
        <v/>
      </c>
      <c r="H30" s="280" t="str">
        <f>IF('Microgrid Proposal'!J47="","",'Microgrid Proposal'!J47)</f>
        <v/>
      </c>
      <c r="I30" s="209" t="str">
        <f>IF('Microgrid Proposal'!K47="","",'Microgrid Proposal'!K47)</f>
        <v/>
      </c>
      <c r="J30" s="209" t="str">
        <f>IF('Microgrid Proposal'!L47="","",'Microgrid Proposal'!L47)</f>
        <v/>
      </c>
      <c r="K30" s="276" t="str">
        <f>IF('Microgrid Proposal'!M47="","",'Microgrid Proposal'!M47)</f>
        <v/>
      </c>
      <c r="L30" s="276" t="str">
        <f>IF('Microgrid Proposal'!N47="","",'Microgrid Proposal'!N47)</f>
        <v/>
      </c>
      <c r="M30" s="298" t="str">
        <f>IF('Microgrid Proposal'!O47="","",'Microgrid Proposal'!O47)</f>
        <v/>
      </c>
      <c r="N30" s="298" t="str">
        <f>IF('Microgrid Proposal'!P47="","",'Microgrid Proposal'!P47)</f>
        <v/>
      </c>
      <c r="O30" s="298" t="str">
        <f>IF('Microgrid Proposal'!Q47="","",'Microgrid Proposal'!Q47)</f>
        <v/>
      </c>
      <c r="P30" s="299" t="str">
        <f>IF('Microgrid Proposal'!R47="","",'Microgrid Proposal'!R47)</f>
        <v/>
      </c>
      <c r="Q30" s="280" t="str">
        <f>IF('Solar+Storage Proposal'!J47="","",'Solar+Storage Proposal'!J47)</f>
        <v/>
      </c>
      <c r="R30" s="209" t="str">
        <f>IF('Solar+Storage Proposal'!K47="","",'Solar+Storage Proposal'!K47)</f>
        <v/>
      </c>
      <c r="S30" s="209" t="str">
        <f>IF('Solar+Storage Proposal'!L47="","",'Solar+Storage Proposal'!L47)</f>
        <v/>
      </c>
      <c r="T30" s="276" t="str">
        <f>IF('Solar+Storage Proposal'!M47="","",'Solar+Storage Proposal'!M47)</f>
        <v/>
      </c>
      <c r="U30" s="276" t="str">
        <f>IF('Solar+Storage Proposal'!N47="","",'Solar+Storage Proposal'!N47)</f>
        <v/>
      </c>
      <c r="V30" s="298" t="str">
        <f>IF('Solar+Storage Proposal'!O47="","",'Solar+Storage Proposal'!O47)</f>
        <v/>
      </c>
      <c r="W30" s="298" t="str">
        <f>IF('Solar+Storage Proposal'!P47="","",'Solar+Storage Proposal'!P47)</f>
        <v/>
      </c>
      <c r="X30" s="298" t="str">
        <f>IF('Solar+Storage Proposal'!Q47="","",'Solar+Storage Proposal'!Q47)</f>
        <v/>
      </c>
      <c r="Y30" s="299" t="str">
        <f>IF('Solar+Storage Proposal'!R47="","",'Solar+Storage Proposal'!R47)</f>
        <v/>
      </c>
      <c r="Z30" s="280" t="str">
        <f>IF('Solar-Only Proposal'!I47="","",'Solar-Only Proposal'!I47)</f>
        <v/>
      </c>
      <c r="AA30" s="209" t="str">
        <f>IF('Solar-Only Proposal'!J47="","",'Solar-Only Proposal'!J47)</f>
        <v/>
      </c>
      <c r="AB30" s="209" t="str">
        <f>IF('Solar-Only Proposal'!K47="","",'Solar-Only Proposal'!K47)</f>
        <v/>
      </c>
      <c r="AC30" s="276" t="str">
        <f>IF('Solar-Only Proposal'!L47="","",'Solar-Only Proposal'!L47)</f>
        <v/>
      </c>
      <c r="AD30" s="276" t="str">
        <f>IF('Solar-Only Proposal'!M47="","",'Solar-Only Proposal'!M47)</f>
        <v/>
      </c>
      <c r="AE30" s="298" t="str">
        <f>IF('Solar-Only Proposal'!N47="","",'Solar-Only Proposal'!N47)</f>
        <v/>
      </c>
      <c r="AF30" s="298" t="str">
        <f>IF('Solar-Only Proposal'!O47="","",'Solar-Only Proposal'!O47)</f>
        <v/>
      </c>
      <c r="AG30" s="298" t="str">
        <f>IF('Solar-Only Proposal'!P47="","",'Solar-Only Proposal'!P47)</f>
        <v/>
      </c>
      <c r="AH30" s="299" t="str">
        <f>IF('Solar-Only Proposal'!Q47="","",'Solar-Only Proposal'!Q47)</f>
        <v/>
      </c>
    </row>
    <row r="31" spans="1:34" ht="15.3" x14ac:dyDescent="0.55000000000000004">
      <c r="A31" s="203">
        <v>18</v>
      </c>
      <c r="B31" s="481" t="str">
        <f>INDEX(Site_Data_Table,MATCH($A31,'Site Data'!$A$5:$A$37,0),MATCH(B$13,Site_Data_Column_Names,0))</f>
        <v>Hollywood Courthouse</v>
      </c>
      <c r="C31" s="482"/>
      <c r="D31" s="204" t="str">
        <f>INDEX(Site_Data_Table,MATCH($A31,'Site Data'!$A$5:$A$37,0),MATCH(D$13,Site_Data_Column_Names,0))</f>
        <v>19-S1</v>
      </c>
      <c r="E31" s="152">
        <f>INDEX(Prod_Yr_1,MATCH('Summary &amp; Signature'!$A31,'System Specification'!$B$15:$B$46,0))</f>
        <v>0</v>
      </c>
      <c r="F31" s="153">
        <f>INDEX('System Specification'!$K$15:$K$46,MATCH('Summary &amp; Signature'!$A31,'System Specification'!$B$15:$B$46,0))</f>
        <v>0</v>
      </c>
      <c r="G31" s="274" t="str">
        <f>_xlfn.TEXTJOIN(" / ",1,INDEX('System Specification'!$L$15:$L$46,MATCH($A31,'System Specification'!$B$15:$B$46,0)),INDEX('System Specification'!$M$15:$M$46,MATCH($A31,'System Specification'!$B$15:$B$46,0)))</f>
        <v/>
      </c>
      <c r="H31" s="280" t="str">
        <f>IF('Microgrid Proposal'!J48="","",'Microgrid Proposal'!J48)</f>
        <v/>
      </c>
      <c r="I31" s="209" t="str">
        <f>IF('Microgrid Proposal'!K48="","",'Microgrid Proposal'!K48)</f>
        <v/>
      </c>
      <c r="J31" s="209" t="str">
        <f>IF('Microgrid Proposal'!L48="","",'Microgrid Proposal'!L48)</f>
        <v/>
      </c>
      <c r="K31" s="276" t="str">
        <f>IF('Microgrid Proposal'!M48="","",'Microgrid Proposal'!M48)</f>
        <v/>
      </c>
      <c r="L31" s="276" t="str">
        <f>IF('Microgrid Proposal'!N48="","",'Microgrid Proposal'!N48)</f>
        <v/>
      </c>
      <c r="M31" s="209" t="str">
        <f>IF('Microgrid Proposal'!O48="","",'Microgrid Proposal'!O48)</f>
        <v/>
      </c>
      <c r="N31" s="209" t="str">
        <f>IF('Microgrid Proposal'!P48="","",'Microgrid Proposal'!P48)</f>
        <v/>
      </c>
      <c r="O31" s="209" t="str">
        <f>IF('Microgrid Proposal'!Q48="","",'Microgrid Proposal'!Q48)</f>
        <v/>
      </c>
      <c r="P31" s="215" t="str">
        <f>IF('Microgrid Proposal'!R48="","",'Microgrid Proposal'!R48)</f>
        <v/>
      </c>
      <c r="Q31" s="280" t="str">
        <f>IF('Solar+Storage Proposal'!J48="","",'Solar+Storage Proposal'!J48)</f>
        <v/>
      </c>
      <c r="R31" s="209" t="str">
        <f>IF('Solar+Storage Proposal'!K48="","",'Solar+Storage Proposal'!K48)</f>
        <v/>
      </c>
      <c r="S31" s="209" t="str">
        <f>IF('Solar+Storage Proposal'!L48="","",'Solar+Storage Proposal'!L48)</f>
        <v/>
      </c>
      <c r="T31" s="276" t="str">
        <f>IF('Solar+Storage Proposal'!M48="","",'Solar+Storage Proposal'!M48)</f>
        <v/>
      </c>
      <c r="U31" s="276" t="str">
        <f>IF('Solar+Storage Proposal'!N48="","",'Solar+Storage Proposal'!N48)</f>
        <v/>
      </c>
      <c r="V31" s="209" t="str">
        <f>IF('Solar+Storage Proposal'!O48="","",'Solar+Storage Proposal'!O48)</f>
        <v/>
      </c>
      <c r="W31" s="209" t="str">
        <f>IF('Solar+Storage Proposal'!P48="","",'Solar+Storage Proposal'!P48)</f>
        <v/>
      </c>
      <c r="X31" s="209" t="str">
        <f>IF('Solar+Storage Proposal'!Q48="","",'Solar+Storage Proposal'!Q48)</f>
        <v/>
      </c>
      <c r="Y31" s="215" t="str">
        <f>IF('Solar+Storage Proposal'!R48="","",'Solar+Storage Proposal'!R48)</f>
        <v/>
      </c>
      <c r="Z31" s="280" t="str">
        <f>IF('Solar-Only Proposal'!I48="","",'Solar-Only Proposal'!I48)</f>
        <v/>
      </c>
      <c r="AA31" s="209" t="str">
        <f>IF('Solar-Only Proposal'!J48="","",'Solar-Only Proposal'!J48)</f>
        <v/>
      </c>
      <c r="AB31" s="209" t="str">
        <f>IF('Solar-Only Proposal'!K48="","",'Solar-Only Proposal'!K48)</f>
        <v/>
      </c>
      <c r="AC31" s="276" t="str">
        <f>IF('Solar-Only Proposal'!L48="","",'Solar-Only Proposal'!L48)</f>
        <v/>
      </c>
      <c r="AD31" s="276" t="str">
        <f>IF('Solar-Only Proposal'!M48="","",'Solar-Only Proposal'!M48)</f>
        <v/>
      </c>
      <c r="AE31" s="209" t="str">
        <f>IF('Solar-Only Proposal'!N48="","",'Solar-Only Proposal'!N48)</f>
        <v/>
      </c>
      <c r="AF31" s="209" t="str">
        <f>IF('Solar-Only Proposal'!O48="","",'Solar-Only Proposal'!O48)</f>
        <v/>
      </c>
      <c r="AG31" s="209" t="str">
        <f>IF('Solar-Only Proposal'!P48="","",'Solar-Only Proposal'!P48)</f>
        <v/>
      </c>
      <c r="AH31" s="215" t="str">
        <f>IF('Solar-Only Proposal'!Q48="","",'Solar-Only Proposal'!Q48)</f>
        <v/>
      </c>
    </row>
    <row r="32" spans="1:34" ht="15.4" customHeight="1" x14ac:dyDescent="0.55000000000000004">
      <c r="A32" s="203">
        <v>19</v>
      </c>
      <c r="B32" s="481" t="str">
        <f>INDEX(Site_Data_Table,MATCH($A32,'Site Data'!$A$5:$A$37,0),MATCH(B$13,Site_Data_Column_Names,0))</f>
        <v>Pomona Courthouse South</v>
      </c>
      <c r="C32" s="482"/>
      <c r="D32" s="204" t="str">
        <f>INDEX(Site_Data_Table,MATCH($A32,'Site Data'!$A$5:$A$37,0),MATCH(D$13,Site_Data_Column_Names,0))</f>
        <v>19-W1</v>
      </c>
      <c r="E32" s="152">
        <f>INDEX(Prod_Yr_1,MATCH('Summary &amp; Signature'!$A32,'System Specification'!$B$15:$B$46,0))</f>
        <v>0</v>
      </c>
      <c r="F32" s="153">
        <f>INDEX('System Specification'!$K$15:$K$46,MATCH('Summary &amp; Signature'!$A32,'System Specification'!$B$15:$B$46,0))</f>
        <v>0</v>
      </c>
      <c r="G32" s="274" t="str">
        <f>_xlfn.TEXTJOIN(" / ",1,INDEX('System Specification'!$L$15:$L$46,MATCH($A32,'System Specification'!$B$15:$B$46,0)),INDEX('System Specification'!$M$15:$M$46,MATCH($A32,'System Specification'!$B$15:$B$46,0)))</f>
        <v/>
      </c>
      <c r="H32" s="280" t="str">
        <f>IF('Microgrid Proposal'!J49="","",'Microgrid Proposal'!J49)</f>
        <v/>
      </c>
      <c r="I32" s="209" t="str">
        <f>IF('Microgrid Proposal'!K49="","",'Microgrid Proposal'!K49)</f>
        <v/>
      </c>
      <c r="J32" s="209" t="str">
        <f>IF('Microgrid Proposal'!L49="","",'Microgrid Proposal'!L49)</f>
        <v/>
      </c>
      <c r="K32" s="276" t="str">
        <f>IF('Microgrid Proposal'!M49="","",'Microgrid Proposal'!M49)</f>
        <v/>
      </c>
      <c r="L32" s="276" t="str">
        <f>IF('Microgrid Proposal'!N49="","",'Microgrid Proposal'!N49)</f>
        <v/>
      </c>
      <c r="M32" s="298" t="str">
        <f>IF('Microgrid Proposal'!O49="","",'Microgrid Proposal'!O49)</f>
        <v/>
      </c>
      <c r="N32" s="298" t="str">
        <f>IF('Microgrid Proposal'!P49="","",'Microgrid Proposal'!P49)</f>
        <v/>
      </c>
      <c r="O32" s="298" t="str">
        <f>IF('Microgrid Proposal'!Q49="","",'Microgrid Proposal'!Q49)</f>
        <v/>
      </c>
      <c r="P32" s="299" t="str">
        <f>IF('Microgrid Proposal'!R49="","",'Microgrid Proposal'!R49)</f>
        <v/>
      </c>
      <c r="Q32" s="280" t="str">
        <f>IF('Solar+Storage Proposal'!J49="","",'Solar+Storage Proposal'!J49)</f>
        <v/>
      </c>
      <c r="R32" s="209" t="str">
        <f>IF('Solar+Storage Proposal'!K49="","",'Solar+Storage Proposal'!K49)</f>
        <v/>
      </c>
      <c r="S32" s="209" t="str">
        <f>IF('Solar+Storage Proposal'!L49="","",'Solar+Storage Proposal'!L49)</f>
        <v/>
      </c>
      <c r="T32" s="276" t="str">
        <f>IF('Solar+Storage Proposal'!M49="","",'Solar+Storage Proposal'!M49)</f>
        <v/>
      </c>
      <c r="U32" s="276" t="str">
        <f>IF('Solar+Storage Proposal'!N49="","",'Solar+Storage Proposal'!N49)</f>
        <v/>
      </c>
      <c r="V32" s="298" t="str">
        <f>IF('Solar+Storage Proposal'!O49="","",'Solar+Storage Proposal'!O49)</f>
        <v/>
      </c>
      <c r="W32" s="298" t="str">
        <f>IF('Solar+Storage Proposal'!P49="","",'Solar+Storage Proposal'!P49)</f>
        <v/>
      </c>
      <c r="X32" s="298" t="str">
        <f>IF('Solar+Storage Proposal'!Q49="","",'Solar+Storage Proposal'!Q49)</f>
        <v/>
      </c>
      <c r="Y32" s="299" t="str">
        <f>IF('Solar+Storage Proposal'!R49="","",'Solar+Storage Proposal'!R49)</f>
        <v/>
      </c>
      <c r="Z32" s="280" t="str">
        <f>IF('Solar-Only Proposal'!I49="","",'Solar-Only Proposal'!I49)</f>
        <v/>
      </c>
      <c r="AA32" s="209" t="str">
        <f>IF('Solar-Only Proposal'!J49="","",'Solar-Only Proposal'!J49)</f>
        <v/>
      </c>
      <c r="AB32" s="209" t="str">
        <f>IF('Solar-Only Proposal'!K49="","",'Solar-Only Proposal'!K49)</f>
        <v/>
      </c>
      <c r="AC32" s="276" t="str">
        <f>IF('Solar-Only Proposal'!L49="","",'Solar-Only Proposal'!L49)</f>
        <v/>
      </c>
      <c r="AD32" s="276" t="str">
        <f>IF('Solar-Only Proposal'!M49="","",'Solar-Only Proposal'!M49)</f>
        <v/>
      </c>
      <c r="AE32" s="298" t="str">
        <f>IF('Solar-Only Proposal'!N49="","",'Solar-Only Proposal'!N49)</f>
        <v/>
      </c>
      <c r="AF32" s="298" t="str">
        <f>IF('Solar-Only Proposal'!O49="","",'Solar-Only Proposal'!O49)</f>
        <v/>
      </c>
      <c r="AG32" s="298" t="str">
        <f>IF('Solar-Only Proposal'!P49="","",'Solar-Only Proposal'!P49)</f>
        <v/>
      </c>
      <c r="AH32" s="299" t="str">
        <f>IF('Solar-Only Proposal'!Q49="","",'Solar-Only Proposal'!Q49)</f>
        <v/>
      </c>
    </row>
    <row r="33" spans="1:34" ht="15.4" customHeight="1" x14ac:dyDescent="0.55000000000000004">
      <c r="A33" s="203">
        <v>20</v>
      </c>
      <c r="B33" s="481" t="str">
        <f>INDEX(Site_Data_Table,MATCH($A33,'Site Data'!$A$5:$A$37,0),MATCH(B$13,Site_Data_Column_Names,0))</f>
        <v>The Robert M. Falasco Justice Center</v>
      </c>
      <c r="C33" s="482"/>
      <c r="D33" s="204" t="str">
        <f>INDEX(Site_Data_Table,MATCH($A33,'Site Data'!$A$5:$A$37,0),MATCH(D$13,Site_Data_Column_Names,0))</f>
        <v>24-G1</v>
      </c>
      <c r="E33" s="152">
        <f>INDEX(Prod_Yr_1,MATCH('Summary &amp; Signature'!$A33,'System Specification'!$B$15:$B$46,0))</f>
        <v>0</v>
      </c>
      <c r="F33" s="153">
        <f>INDEX('System Specification'!$K$15:$K$46,MATCH('Summary &amp; Signature'!$A33,'System Specification'!$B$15:$B$46,0))</f>
        <v>0</v>
      </c>
      <c r="G33" s="274" t="str">
        <f>_xlfn.TEXTJOIN(" / ",1,INDEX('System Specification'!$L$15:$L$46,MATCH($A33,'System Specification'!$B$15:$B$46,0)),INDEX('System Specification'!$M$15:$M$46,MATCH($A33,'System Specification'!$B$15:$B$46,0)))</f>
        <v/>
      </c>
      <c r="H33" s="280" t="str">
        <f>IF('Microgrid Proposal'!J50="","",'Microgrid Proposal'!J50)</f>
        <v/>
      </c>
      <c r="I33" s="209" t="str">
        <f>IF('Microgrid Proposal'!K50="","",'Microgrid Proposal'!K50)</f>
        <v/>
      </c>
      <c r="J33" s="209" t="str">
        <f>IF('Microgrid Proposal'!L50="","",'Microgrid Proposal'!L50)</f>
        <v/>
      </c>
      <c r="K33" s="276" t="str">
        <f>IF('Microgrid Proposal'!M50="","",'Microgrid Proposal'!M50)</f>
        <v/>
      </c>
      <c r="L33" s="276" t="str">
        <f>IF('Microgrid Proposal'!N50="","",'Microgrid Proposal'!N50)</f>
        <v/>
      </c>
      <c r="M33" s="298" t="str">
        <f>IF('Microgrid Proposal'!O50="","",'Microgrid Proposal'!O50)</f>
        <v/>
      </c>
      <c r="N33" s="298" t="str">
        <f>IF('Microgrid Proposal'!P50="","",'Microgrid Proposal'!P50)</f>
        <v/>
      </c>
      <c r="O33" s="298" t="str">
        <f>IF('Microgrid Proposal'!Q50="","",'Microgrid Proposal'!Q50)</f>
        <v/>
      </c>
      <c r="P33" s="299" t="str">
        <f>IF('Microgrid Proposal'!R50="","",'Microgrid Proposal'!R50)</f>
        <v/>
      </c>
      <c r="Q33" s="280" t="str">
        <f>IF('Solar+Storage Proposal'!J50="","",'Solar+Storage Proposal'!J50)</f>
        <v/>
      </c>
      <c r="R33" s="209" t="str">
        <f>IF('Solar+Storage Proposal'!K50="","",'Solar+Storage Proposal'!K50)</f>
        <v/>
      </c>
      <c r="S33" s="209" t="str">
        <f>IF('Solar+Storage Proposal'!L50="","",'Solar+Storage Proposal'!L50)</f>
        <v/>
      </c>
      <c r="T33" s="276" t="str">
        <f>IF('Solar+Storage Proposal'!M50="","",'Solar+Storage Proposal'!M50)</f>
        <v/>
      </c>
      <c r="U33" s="276" t="str">
        <f>IF('Solar+Storage Proposal'!N50="","",'Solar+Storage Proposal'!N50)</f>
        <v/>
      </c>
      <c r="V33" s="298" t="str">
        <f>IF('Solar+Storage Proposal'!O50="","",'Solar+Storage Proposal'!O50)</f>
        <v/>
      </c>
      <c r="W33" s="298" t="str">
        <f>IF('Solar+Storage Proposal'!P50="","",'Solar+Storage Proposal'!P50)</f>
        <v/>
      </c>
      <c r="X33" s="298" t="str">
        <f>IF('Solar+Storage Proposal'!Q50="","",'Solar+Storage Proposal'!Q50)</f>
        <v/>
      </c>
      <c r="Y33" s="299" t="str">
        <f>IF('Solar+Storage Proposal'!R50="","",'Solar+Storage Proposal'!R50)</f>
        <v/>
      </c>
      <c r="Z33" s="280" t="str">
        <f>IF('Solar-Only Proposal'!I50="","",'Solar-Only Proposal'!I50)</f>
        <v/>
      </c>
      <c r="AA33" s="209" t="str">
        <f>IF('Solar-Only Proposal'!J50="","",'Solar-Only Proposal'!J50)</f>
        <v/>
      </c>
      <c r="AB33" s="209" t="str">
        <f>IF('Solar-Only Proposal'!K50="","",'Solar-Only Proposal'!K50)</f>
        <v/>
      </c>
      <c r="AC33" s="276" t="str">
        <f>IF('Solar-Only Proposal'!L50="","",'Solar-Only Proposal'!L50)</f>
        <v/>
      </c>
      <c r="AD33" s="276" t="str">
        <f>IF('Solar-Only Proposal'!M50="","",'Solar-Only Proposal'!M50)</f>
        <v/>
      </c>
      <c r="AE33" s="298" t="str">
        <f>IF('Solar-Only Proposal'!N50="","",'Solar-Only Proposal'!N50)</f>
        <v/>
      </c>
      <c r="AF33" s="298" t="str">
        <f>IF('Solar-Only Proposal'!O50="","",'Solar-Only Proposal'!O50)</f>
        <v/>
      </c>
      <c r="AG33" s="298" t="str">
        <f>IF('Solar-Only Proposal'!P50="","",'Solar-Only Proposal'!P50)</f>
        <v/>
      </c>
      <c r="AH33" s="299" t="str">
        <f>IF('Solar-Only Proposal'!Q50="","",'Solar-Only Proposal'!Q50)</f>
        <v/>
      </c>
    </row>
    <row r="34" spans="1:34" ht="15.4" customHeight="1" x14ac:dyDescent="0.55000000000000004">
      <c r="A34" s="203">
        <v>21</v>
      </c>
      <c r="B34" s="481" t="str">
        <f>INDEX(Site_Data_Table,MATCH($A34,'Site Data'!$A$5:$A$37,0),MATCH(B$13,Site_Data_Column_Names,0))</f>
        <v>Mammoth Lakes Courthouse</v>
      </c>
      <c r="C34" s="482"/>
      <c r="D34" s="204" t="str">
        <f>INDEX(Site_Data_Table,MATCH($A34,'Site Data'!$A$5:$A$37,0),MATCH(D$13,Site_Data_Column_Names,0))</f>
        <v>26-B2</v>
      </c>
      <c r="E34" s="152">
        <f>INDEX(Prod_Yr_1,MATCH('Summary &amp; Signature'!$A34,'System Specification'!$B$15:$B$46,0))</f>
        <v>0</v>
      </c>
      <c r="F34" s="153">
        <f>INDEX('System Specification'!$K$15:$K$46,MATCH('Summary &amp; Signature'!$A34,'System Specification'!$B$15:$B$46,0))</f>
        <v>0</v>
      </c>
      <c r="G34" s="274" t="str">
        <f>_xlfn.TEXTJOIN(" / ",1,INDEX('System Specification'!$L$15:$L$46,MATCH($A34,'System Specification'!$B$15:$B$46,0)),INDEX('System Specification'!$M$15:$M$46,MATCH($A34,'System Specification'!$B$15:$B$46,0)))</f>
        <v/>
      </c>
      <c r="H34" s="280" t="str">
        <f>IF('Microgrid Proposal'!J51="","",'Microgrid Proposal'!J51)</f>
        <v/>
      </c>
      <c r="I34" s="209" t="str">
        <f>IF('Microgrid Proposal'!K51="","",'Microgrid Proposal'!K51)</f>
        <v/>
      </c>
      <c r="J34" s="209" t="str">
        <f>IF('Microgrid Proposal'!L51="","",'Microgrid Proposal'!L51)</f>
        <v/>
      </c>
      <c r="K34" s="276" t="str">
        <f>IF('Microgrid Proposal'!M51="","",'Microgrid Proposal'!M51)</f>
        <v/>
      </c>
      <c r="L34" s="276" t="str">
        <f>IF('Microgrid Proposal'!N51="","",'Microgrid Proposal'!N51)</f>
        <v/>
      </c>
      <c r="M34" s="298" t="str">
        <f>IF('Microgrid Proposal'!O51="","",'Microgrid Proposal'!O51)</f>
        <v/>
      </c>
      <c r="N34" s="298" t="str">
        <f>IF('Microgrid Proposal'!P51="","",'Microgrid Proposal'!P51)</f>
        <v/>
      </c>
      <c r="O34" s="298" t="str">
        <f>IF('Microgrid Proposal'!Q51="","",'Microgrid Proposal'!Q51)</f>
        <v/>
      </c>
      <c r="P34" s="299" t="str">
        <f>IF('Microgrid Proposal'!R51="","",'Microgrid Proposal'!R51)</f>
        <v/>
      </c>
      <c r="Q34" s="280" t="str">
        <f>IF('Solar+Storage Proposal'!J51="","",'Solar+Storage Proposal'!J51)</f>
        <v/>
      </c>
      <c r="R34" s="209" t="str">
        <f>IF('Solar+Storage Proposal'!K51="","",'Solar+Storage Proposal'!K51)</f>
        <v/>
      </c>
      <c r="S34" s="209" t="str">
        <f>IF('Solar+Storage Proposal'!L51="","",'Solar+Storage Proposal'!L51)</f>
        <v/>
      </c>
      <c r="T34" s="276" t="str">
        <f>IF('Solar+Storage Proposal'!M51="","",'Solar+Storage Proposal'!M51)</f>
        <v/>
      </c>
      <c r="U34" s="276" t="str">
        <f>IF('Solar+Storage Proposal'!N51="","",'Solar+Storage Proposal'!N51)</f>
        <v/>
      </c>
      <c r="V34" s="298" t="str">
        <f>IF('Solar+Storage Proposal'!O51="","",'Solar+Storage Proposal'!O51)</f>
        <v/>
      </c>
      <c r="W34" s="298" t="str">
        <f>IF('Solar+Storage Proposal'!P51="","",'Solar+Storage Proposal'!P51)</f>
        <v/>
      </c>
      <c r="X34" s="298" t="str">
        <f>IF('Solar+Storage Proposal'!Q51="","",'Solar+Storage Proposal'!Q51)</f>
        <v/>
      </c>
      <c r="Y34" s="299" t="str">
        <f>IF('Solar+Storage Proposal'!R51="","",'Solar+Storage Proposal'!R51)</f>
        <v/>
      </c>
      <c r="Z34" s="280" t="str">
        <f>IF('Solar-Only Proposal'!I51="","",'Solar-Only Proposal'!I51)</f>
        <v/>
      </c>
      <c r="AA34" s="209" t="str">
        <f>IF('Solar-Only Proposal'!J51="","",'Solar-Only Proposal'!J51)</f>
        <v/>
      </c>
      <c r="AB34" s="209" t="str">
        <f>IF('Solar-Only Proposal'!K51="","",'Solar-Only Proposal'!K51)</f>
        <v/>
      </c>
      <c r="AC34" s="276" t="str">
        <f>IF('Solar-Only Proposal'!L51="","",'Solar-Only Proposal'!L51)</f>
        <v/>
      </c>
      <c r="AD34" s="276" t="str">
        <f>IF('Solar-Only Proposal'!M51="","",'Solar-Only Proposal'!M51)</f>
        <v/>
      </c>
      <c r="AE34" s="298" t="str">
        <f>IF('Solar-Only Proposal'!N51="","",'Solar-Only Proposal'!N51)</f>
        <v/>
      </c>
      <c r="AF34" s="298" t="str">
        <f>IF('Solar-Only Proposal'!O51="","",'Solar-Only Proposal'!O51)</f>
        <v/>
      </c>
      <c r="AG34" s="298" t="str">
        <f>IF('Solar-Only Proposal'!P51="","",'Solar-Only Proposal'!P51)</f>
        <v/>
      </c>
      <c r="AH34" s="299" t="str">
        <f>IF('Solar-Only Proposal'!Q51="","",'Solar-Only Proposal'!Q51)</f>
        <v/>
      </c>
    </row>
    <row r="35" spans="1:34" ht="15.3" x14ac:dyDescent="0.55000000000000004">
      <c r="A35" s="203">
        <v>22</v>
      </c>
      <c r="B35" s="481" t="str">
        <f>INDEX(Site_Data_Table,MATCH($A35,'Site Data'!$A$5:$A$37,0),MATCH(B$13,Site_Data_Column_Names,0))</f>
        <v>Banning Justice Center</v>
      </c>
      <c r="C35" s="482"/>
      <c r="D35" s="204" t="str">
        <f>INDEX(Site_Data_Table,MATCH($A35,'Site Data'!$A$5:$A$37,0),MATCH(D$13,Site_Data_Column_Names,0))</f>
        <v>33-G4</v>
      </c>
      <c r="E35" s="152">
        <f>INDEX(Prod_Yr_1,MATCH('Summary &amp; Signature'!$A35,'System Specification'!$B$15:$B$46,0))</f>
        <v>0</v>
      </c>
      <c r="F35" s="153">
        <f>INDEX('System Specification'!$K$15:$K$46,MATCH('Summary &amp; Signature'!$A35,'System Specification'!$B$15:$B$46,0))</f>
        <v>0</v>
      </c>
      <c r="G35" s="274" t="str">
        <f>_xlfn.TEXTJOIN(" / ",1,INDEX('System Specification'!$L$15:$L$46,MATCH($A35,'System Specification'!$B$15:$B$46,0)),INDEX('System Specification'!$M$15:$M$46,MATCH($A35,'System Specification'!$B$15:$B$46,0)))</f>
        <v/>
      </c>
      <c r="H35" s="280" t="str">
        <f>IF('Microgrid Proposal'!J52="","",'Microgrid Proposal'!J52)</f>
        <v/>
      </c>
      <c r="I35" s="209" t="str">
        <f>IF('Microgrid Proposal'!K52="","",'Microgrid Proposal'!K52)</f>
        <v/>
      </c>
      <c r="J35" s="209" t="str">
        <f>IF('Microgrid Proposal'!L52="","",'Microgrid Proposal'!L52)</f>
        <v/>
      </c>
      <c r="K35" s="276" t="str">
        <f>IF('Microgrid Proposal'!M52="","",'Microgrid Proposal'!M52)</f>
        <v/>
      </c>
      <c r="L35" s="276" t="str">
        <f>IF('Microgrid Proposal'!N52="","",'Microgrid Proposal'!N52)</f>
        <v/>
      </c>
      <c r="M35" s="209" t="str">
        <f>IF('Microgrid Proposal'!O52="","",'Microgrid Proposal'!O52)</f>
        <v/>
      </c>
      <c r="N35" s="209" t="str">
        <f>IF('Microgrid Proposal'!P52="","",'Microgrid Proposal'!P52)</f>
        <v/>
      </c>
      <c r="O35" s="209" t="str">
        <f>IF('Microgrid Proposal'!Q52="","",'Microgrid Proposal'!Q52)</f>
        <v/>
      </c>
      <c r="P35" s="215" t="str">
        <f>IF('Microgrid Proposal'!R52="","",'Microgrid Proposal'!R52)</f>
        <v/>
      </c>
      <c r="Q35" s="280" t="str">
        <f>IF('Solar+Storage Proposal'!J52="","",'Solar+Storage Proposal'!J52)</f>
        <v/>
      </c>
      <c r="R35" s="209" t="str">
        <f>IF('Solar+Storage Proposal'!K52="","",'Solar+Storage Proposal'!K52)</f>
        <v/>
      </c>
      <c r="S35" s="209" t="str">
        <f>IF('Solar+Storage Proposal'!L52="","",'Solar+Storage Proposal'!L52)</f>
        <v/>
      </c>
      <c r="T35" s="276" t="str">
        <f>IF('Solar+Storage Proposal'!M52="","",'Solar+Storage Proposal'!M52)</f>
        <v/>
      </c>
      <c r="U35" s="276" t="str">
        <f>IF('Solar+Storage Proposal'!N52="","",'Solar+Storage Proposal'!N52)</f>
        <v/>
      </c>
      <c r="V35" s="209" t="str">
        <f>IF('Solar+Storage Proposal'!O52="","",'Solar+Storage Proposal'!O52)</f>
        <v/>
      </c>
      <c r="W35" s="209" t="str">
        <f>IF('Solar+Storage Proposal'!P52="","",'Solar+Storage Proposal'!P52)</f>
        <v/>
      </c>
      <c r="X35" s="209" t="str">
        <f>IF('Solar+Storage Proposal'!Q52="","",'Solar+Storage Proposal'!Q52)</f>
        <v/>
      </c>
      <c r="Y35" s="215" t="str">
        <f>IF('Solar+Storage Proposal'!R52="","",'Solar+Storage Proposal'!R52)</f>
        <v/>
      </c>
      <c r="Z35" s="280" t="str">
        <f>IF('Solar-Only Proposal'!I52="","",'Solar-Only Proposal'!I52)</f>
        <v/>
      </c>
      <c r="AA35" s="209" t="str">
        <f>IF('Solar-Only Proposal'!J52="","",'Solar-Only Proposal'!J52)</f>
        <v/>
      </c>
      <c r="AB35" s="209" t="str">
        <f>IF('Solar-Only Proposal'!K52="","",'Solar-Only Proposal'!K52)</f>
        <v/>
      </c>
      <c r="AC35" s="276" t="str">
        <f>IF('Solar-Only Proposal'!L52="","",'Solar-Only Proposal'!L52)</f>
        <v/>
      </c>
      <c r="AD35" s="276" t="str">
        <f>IF('Solar-Only Proposal'!M52="","",'Solar-Only Proposal'!M52)</f>
        <v/>
      </c>
      <c r="AE35" s="209" t="str">
        <f>IF('Solar-Only Proposal'!N52="","",'Solar-Only Proposal'!N52)</f>
        <v/>
      </c>
      <c r="AF35" s="209" t="str">
        <f>IF('Solar-Only Proposal'!O52="","",'Solar-Only Proposal'!O52)</f>
        <v/>
      </c>
      <c r="AG35" s="209" t="str">
        <f>IF('Solar-Only Proposal'!P52="","",'Solar-Only Proposal'!P52)</f>
        <v/>
      </c>
      <c r="AH35" s="215" t="str">
        <f>IF('Solar-Only Proposal'!Q52="","",'Solar-Only Proposal'!Q52)</f>
        <v/>
      </c>
    </row>
    <row r="36" spans="1:34" ht="15.4" customHeight="1" x14ac:dyDescent="0.55000000000000004">
      <c r="A36" s="203">
        <v>23</v>
      </c>
      <c r="B36" s="481" t="str">
        <f>INDEX(Site_Data_Table,MATCH($A36,'Site Data'!$A$5:$A$37,0),MATCH(B$13,Site_Data_Column_Names,0))</f>
        <v>San Benito County Superior Court</v>
      </c>
      <c r="C36" s="482"/>
      <c r="D36" s="204" t="str">
        <f>INDEX(Site_Data_Table,MATCH($A36,'Site Data'!$A$5:$A$37,0),MATCH(D$13,Site_Data_Column_Names,0))</f>
        <v>35-C1</v>
      </c>
      <c r="E36" s="152">
        <f>INDEX(Prod_Yr_1,MATCH('Summary &amp; Signature'!$A36,'System Specification'!$B$15:$B$46,0))</f>
        <v>0</v>
      </c>
      <c r="F36" s="153">
        <f>INDEX('System Specification'!$K$15:$K$46,MATCH('Summary &amp; Signature'!$A36,'System Specification'!$B$15:$B$46,0))</f>
        <v>0</v>
      </c>
      <c r="G36" s="274" t="str">
        <f>_xlfn.TEXTJOIN(" / ",1,INDEX('System Specification'!$L$15:$L$46,MATCH($A36,'System Specification'!$B$15:$B$46,0)),INDEX('System Specification'!$M$15:$M$46,MATCH($A36,'System Specification'!$B$15:$B$46,0)))</f>
        <v/>
      </c>
      <c r="H36" s="280" t="str">
        <f>IF('Microgrid Proposal'!J53="","",'Microgrid Proposal'!J53)</f>
        <v/>
      </c>
      <c r="I36" s="209" t="str">
        <f>IF('Microgrid Proposal'!K53="","",'Microgrid Proposal'!K53)</f>
        <v/>
      </c>
      <c r="J36" s="209" t="str">
        <f>IF('Microgrid Proposal'!L53="","",'Microgrid Proposal'!L53)</f>
        <v/>
      </c>
      <c r="K36" s="276" t="str">
        <f>IF('Microgrid Proposal'!M53="","",'Microgrid Proposal'!M53)</f>
        <v/>
      </c>
      <c r="L36" s="276" t="str">
        <f>IF('Microgrid Proposal'!N53="","",'Microgrid Proposal'!N53)</f>
        <v/>
      </c>
      <c r="M36" s="298" t="str">
        <f>IF('Microgrid Proposal'!O53="","",'Microgrid Proposal'!O53)</f>
        <v/>
      </c>
      <c r="N36" s="298" t="str">
        <f>IF('Microgrid Proposal'!P53="","",'Microgrid Proposal'!P53)</f>
        <v/>
      </c>
      <c r="O36" s="298" t="str">
        <f>IF('Microgrid Proposal'!Q53="","",'Microgrid Proposal'!Q53)</f>
        <v/>
      </c>
      <c r="P36" s="299" t="str">
        <f>IF('Microgrid Proposal'!R53="","",'Microgrid Proposal'!R53)</f>
        <v/>
      </c>
      <c r="Q36" s="280" t="str">
        <f>IF('Solar+Storage Proposal'!J53="","",'Solar+Storage Proposal'!J53)</f>
        <v/>
      </c>
      <c r="R36" s="209" t="str">
        <f>IF('Solar+Storage Proposal'!K53="","",'Solar+Storage Proposal'!K53)</f>
        <v/>
      </c>
      <c r="S36" s="209" t="str">
        <f>IF('Solar+Storage Proposal'!L53="","",'Solar+Storage Proposal'!L53)</f>
        <v/>
      </c>
      <c r="T36" s="276" t="str">
        <f>IF('Solar+Storage Proposal'!M53="","",'Solar+Storage Proposal'!M53)</f>
        <v/>
      </c>
      <c r="U36" s="276" t="str">
        <f>IF('Solar+Storage Proposal'!N53="","",'Solar+Storage Proposal'!N53)</f>
        <v/>
      </c>
      <c r="V36" s="298" t="str">
        <f>IF('Solar+Storage Proposal'!O53="","",'Solar+Storage Proposal'!O53)</f>
        <v/>
      </c>
      <c r="W36" s="298" t="str">
        <f>IF('Solar+Storage Proposal'!P53="","",'Solar+Storage Proposal'!P53)</f>
        <v/>
      </c>
      <c r="X36" s="298" t="str">
        <f>IF('Solar+Storage Proposal'!Q53="","",'Solar+Storage Proposal'!Q53)</f>
        <v/>
      </c>
      <c r="Y36" s="299" t="str">
        <f>IF('Solar+Storage Proposal'!R53="","",'Solar+Storage Proposal'!R53)</f>
        <v/>
      </c>
      <c r="Z36" s="280" t="str">
        <f>IF('Solar-Only Proposal'!I53="","",'Solar-Only Proposal'!I53)</f>
        <v/>
      </c>
      <c r="AA36" s="209" t="str">
        <f>IF('Solar-Only Proposal'!J53="","",'Solar-Only Proposal'!J53)</f>
        <v/>
      </c>
      <c r="AB36" s="209" t="str">
        <f>IF('Solar-Only Proposal'!K53="","",'Solar-Only Proposal'!K53)</f>
        <v/>
      </c>
      <c r="AC36" s="276" t="str">
        <f>IF('Solar-Only Proposal'!L53="","",'Solar-Only Proposal'!L53)</f>
        <v/>
      </c>
      <c r="AD36" s="276" t="str">
        <f>IF('Solar-Only Proposal'!M53="","",'Solar-Only Proposal'!M53)</f>
        <v/>
      </c>
      <c r="AE36" s="298" t="str">
        <f>IF('Solar-Only Proposal'!N53="","",'Solar-Only Proposal'!N53)</f>
        <v/>
      </c>
      <c r="AF36" s="298" t="str">
        <f>IF('Solar-Only Proposal'!O53="","",'Solar-Only Proposal'!O53)</f>
        <v/>
      </c>
      <c r="AG36" s="298" t="str">
        <f>IF('Solar-Only Proposal'!P53="","",'Solar-Only Proposal'!P53)</f>
        <v/>
      </c>
      <c r="AH36" s="299" t="str">
        <f>IF('Solar-Only Proposal'!Q53="","",'Solar-Only Proposal'!Q53)</f>
        <v/>
      </c>
    </row>
    <row r="37" spans="1:34" ht="15.4" customHeight="1" x14ac:dyDescent="0.55000000000000004">
      <c r="A37" s="203">
        <v>24</v>
      </c>
      <c r="B37" s="481" t="str">
        <f>INDEX(Site_Data_Table,MATCH($A37,'Site Data'!$A$5:$A$37,0),MATCH(B$13,Site_Data_Column_Names,0))</f>
        <v>San Bernardino Justice Center</v>
      </c>
      <c r="C37" s="482"/>
      <c r="D37" s="204" t="str">
        <f>INDEX(Site_Data_Table,MATCH($A37,'Site Data'!$A$5:$A$37,0),MATCH(D$13,Site_Data_Column_Names,0))</f>
        <v>36-R1</v>
      </c>
      <c r="E37" s="152">
        <f>INDEX(Prod_Yr_1,MATCH('Summary &amp; Signature'!$A37,'System Specification'!$B$15:$B$46,0))</f>
        <v>0</v>
      </c>
      <c r="F37" s="153">
        <f>INDEX('System Specification'!$K$15:$K$46,MATCH('Summary &amp; Signature'!$A37,'System Specification'!$B$15:$B$46,0))</f>
        <v>0</v>
      </c>
      <c r="G37" s="274" t="str">
        <f>_xlfn.TEXTJOIN(" / ",1,INDEX('System Specification'!$L$15:$L$46,MATCH($A37,'System Specification'!$B$15:$B$46,0)),INDEX('System Specification'!$M$15:$M$46,MATCH($A37,'System Specification'!$B$15:$B$46,0)))</f>
        <v/>
      </c>
      <c r="H37" s="280" t="str">
        <f>IF('Microgrid Proposal'!J54="","",'Microgrid Proposal'!J54)</f>
        <v/>
      </c>
      <c r="I37" s="209" t="str">
        <f>IF('Microgrid Proposal'!K54="","",'Microgrid Proposal'!K54)</f>
        <v/>
      </c>
      <c r="J37" s="209" t="str">
        <f>IF('Microgrid Proposal'!L54="","",'Microgrid Proposal'!L54)</f>
        <v/>
      </c>
      <c r="K37" s="276" t="str">
        <f>IF('Microgrid Proposal'!M54="","",'Microgrid Proposal'!M54)</f>
        <v/>
      </c>
      <c r="L37" s="276" t="str">
        <f>IF('Microgrid Proposal'!N54="","",'Microgrid Proposal'!N54)</f>
        <v/>
      </c>
      <c r="M37" s="298" t="str">
        <f>IF('Microgrid Proposal'!O54="","",'Microgrid Proposal'!O54)</f>
        <v/>
      </c>
      <c r="N37" s="298" t="str">
        <f>IF('Microgrid Proposal'!P54="","",'Microgrid Proposal'!P54)</f>
        <v/>
      </c>
      <c r="O37" s="298" t="str">
        <f>IF('Microgrid Proposal'!Q54="","",'Microgrid Proposal'!Q54)</f>
        <v/>
      </c>
      <c r="P37" s="299" t="str">
        <f>IF('Microgrid Proposal'!R54="","",'Microgrid Proposal'!R54)</f>
        <v/>
      </c>
      <c r="Q37" s="280" t="str">
        <f>IF('Solar+Storage Proposal'!J54="","",'Solar+Storage Proposal'!J54)</f>
        <v/>
      </c>
      <c r="R37" s="209" t="str">
        <f>IF('Solar+Storage Proposal'!K54="","",'Solar+Storage Proposal'!K54)</f>
        <v/>
      </c>
      <c r="S37" s="209" t="str">
        <f>IF('Solar+Storage Proposal'!L54="","",'Solar+Storage Proposal'!L54)</f>
        <v/>
      </c>
      <c r="T37" s="276" t="str">
        <f>IF('Solar+Storage Proposal'!M54="","",'Solar+Storage Proposal'!M54)</f>
        <v/>
      </c>
      <c r="U37" s="276" t="str">
        <f>IF('Solar+Storage Proposal'!N54="","",'Solar+Storage Proposal'!N54)</f>
        <v/>
      </c>
      <c r="V37" s="298" t="str">
        <f>IF('Solar+Storage Proposal'!O54="","",'Solar+Storage Proposal'!O54)</f>
        <v/>
      </c>
      <c r="W37" s="298" t="str">
        <f>IF('Solar+Storage Proposal'!P54="","",'Solar+Storage Proposal'!P54)</f>
        <v/>
      </c>
      <c r="X37" s="298" t="str">
        <f>IF('Solar+Storage Proposal'!Q54="","",'Solar+Storage Proposal'!Q54)</f>
        <v/>
      </c>
      <c r="Y37" s="299" t="str">
        <f>IF('Solar+Storage Proposal'!R54="","",'Solar+Storage Proposal'!R54)</f>
        <v/>
      </c>
      <c r="Z37" s="280" t="str">
        <f>IF('Solar-Only Proposal'!I54="","",'Solar-Only Proposal'!I54)</f>
        <v/>
      </c>
      <c r="AA37" s="209" t="str">
        <f>IF('Solar-Only Proposal'!J54="","",'Solar-Only Proposal'!J54)</f>
        <v/>
      </c>
      <c r="AB37" s="209" t="str">
        <f>IF('Solar-Only Proposal'!K54="","",'Solar-Only Proposal'!K54)</f>
        <v/>
      </c>
      <c r="AC37" s="276" t="str">
        <f>IF('Solar-Only Proposal'!L54="","",'Solar-Only Proposal'!L54)</f>
        <v/>
      </c>
      <c r="AD37" s="276" t="str">
        <f>IF('Solar-Only Proposal'!M54="","",'Solar-Only Proposal'!M54)</f>
        <v/>
      </c>
      <c r="AE37" s="298" t="str">
        <f>IF('Solar-Only Proposal'!N54="","",'Solar-Only Proposal'!N54)</f>
        <v/>
      </c>
      <c r="AF37" s="298" t="str">
        <f>IF('Solar-Only Proposal'!O54="","",'Solar-Only Proposal'!O54)</f>
        <v/>
      </c>
      <c r="AG37" s="298" t="str">
        <f>IF('Solar-Only Proposal'!P54="","",'Solar-Only Proposal'!P54)</f>
        <v/>
      </c>
      <c r="AH37" s="299" t="str">
        <f>IF('Solar-Only Proposal'!Q54="","",'Solar-Only Proposal'!Q54)</f>
        <v/>
      </c>
    </row>
    <row r="38" spans="1:34" ht="15.3" x14ac:dyDescent="0.55000000000000004">
      <c r="A38" s="203">
        <v>25</v>
      </c>
      <c r="B38" s="481" t="str">
        <f>INDEX(Site_Data_Table,MATCH($A38,'Site Data'!$A$5:$A$37,0),MATCH(B$13,Site_Data_Column_Names,0))</f>
        <v>Kearny Mesa Court</v>
      </c>
      <c r="C38" s="482"/>
      <c r="D38" s="204" t="str">
        <f>INDEX(Site_Data_Table,MATCH($A38,'Site Data'!$A$5:$A$37,0),MATCH(D$13,Site_Data_Column_Names,0))</f>
        <v>37-C1</v>
      </c>
      <c r="E38" s="152">
        <f>INDEX(Prod_Yr_1,MATCH('Summary &amp; Signature'!$A38,'System Specification'!$B$15:$B$46,0))</f>
        <v>0</v>
      </c>
      <c r="F38" s="153">
        <f>INDEX('System Specification'!$K$15:$K$46,MATCH('Summary &amp; Signature'!$A38,'System Specification'!$B$15:$B$46,0))</f>
        <v>0</v>
      </c>
      <c r="G38" s="274" t="str">
        <f>_xlfn.TEXTJOIN(" / ",1,INDEX('System Specification'!$L$15:$L$46,MATCH($A38,'System Specification'!$B$15:$B$46,0)),INDEX('System Specification'!$M$15:$M$46,MATCH($A38,'System Specification'!$B$15:$B$46,0)))</f>
        <v/>
      </c>
      <c r="H38" s="280" t="str">
        <f>IF('Microgrid Proposal'!J55="","",'Microgrid Proposal'!J55)</f>
        <v/>
      </c>
      <c r="I38" s="209" t="str">
        <f>IF('Microgrid Proposal'!K55="","",'Microgrid Proposal'!K55)</f>
        <v/>
      </c>
      <c r="J38" s="209" t="str">
        <f>IF('Microgrid Proposal'!L55="","",'Microgrid Proposal'!L55)</f>
        <v/>
      </c>
      <c r="K38" s="276" t="str">
        <f>IF('Microgrid Proposal'!M55="","",'Microgrid Proposal'!M55)</f>
        <v/>
      </c>
      <c r="L38" s="276" t="str">
        <f>IF('Microgrid Proposal'!N55="","",'Microgrid Proposal'!N55)</f>
        <v/>
      </c>
      <c r="M38" s="298" t="str">
        <f>IF('Microgrid Proposal'!O55="","",'Microgrid Proposal'!O55)</f>
        <v/>
      </c>
      <c r="N38" s="298" t="str">
        <f>IF('Microgrid Proposal'!P55="","",'Microgrid Proposal'!P55)</f>
        <v/>
      </c>
      <c r="O38" s="298" t="str">
        <f>IF('Microgrid Proposal'!Q55="","",'Microgrid Proposal'!Q55)</f>
        <v/>
      </c>
      <c r="P38" s="299" t="str">
        <f>IF('Microgrid Proposal'!R55="","",'Microgrid Proposal'!R55)</f>
        <v/>
      </c>
      <c r="Q38" s="280" t="str">
        <f>IF('Solar+Storage Proposal'!J55="","",'Solar+Storage Proposal'!J55)</f>
        <v/>
      </c>
      <c r="R38" s="209" t="str">
        <f>IF('Solar+Storage Proposal'!K55="","",'Solar+Storage Proposal'!K55)</f>
        <v/>
      </c>
      <c r="S38" s="209" t="str">
        <f>IF('Solar+Storage Proposal'!L55="","",'Solar+Storage Proposal'!L55)</f>
        <v/>
      </c>
      <c r="T38" s="276" t="str">
        <f>IF('Solar+Storage Proposal'!M55="","",'Solar+Storage Proposal'!M55)</f>
        <v/>
      </c>
      <c r="U38" s="276" t="str">
        <f>IF('Solar+Storage Proposal'!N55="","",'Solar+Storage Proposal'!N55)</f>
        <v/>
      </c>
      <c r="V38" s="298" t="str">
        <f>IF('Solar+Storage Proposal'!O55="","",'Solar+Storage Proposal'!O55)</f>
        <v/>
      </c>
      <c r="W38" s="298" t="str">
        <f>IF('Solar+Storage Proposal'!P55="","",'Solar+Storage Proposal'!P55)</f>
        <v/>
      </c>
      <c r="X38" s="298" t="str">
        <f>IF('Solar+Storage Proposal'!Q55="","",'Solar+Storage Proposal'!Q55)</f>
        <v/>
      </c>
      <c r="Y38" s="299" t="str">
        <f>IF('Solar+Storage Proposal'!R55="","",'Solar+Storage Proposal'!R55)</f>
        <v/>
      </c>
      <c r="Z38" s="280" t="str">
        <f>IF('Solar-Only Proposal'!I55="","",'Solar-Only Proposal'!I55)</f>
        <v/>
      </c>
      <c r="AA38" s="209" t="str">
        <f>IF('Solar-Only Proposal'!J55="","",'Solar-Only Proposal'!J55)</f>
        <v/>
      </c>
      <c r="AB38" s="209" t="str">
        <f>IF('Solar-Only Proposal'!K55="","",'Solar-Only Proposal'!K55)</f>
        <v/>
      </c>
      <c r="AC38" s="276" t="str">
        <f>IF('Solar-Only Proposal'!L55="","",'Solar-Only Proposal'!L55)</f>
        <v/>
      </c>
      <c r="AD38" s="276" t="str">
        <f>IF('Solar-Only Proposal'!M55="","",'Solar-Only Proposal'!M55)</f>
        <v/>
      </c>
      <c r="AE38" s="298" t="str">
        <f>IF('Solar-Only Proposal'!N55="","",'Solar-Only Proposal'!N55)</f>
        <v/>
      </c>
      <c r="AF38" s="298" t="str">
        <f>IF('Solar-Only Proposal'!O55="","",'Solar-Only Proposal'!O55)</f>
        <v/>
      </c>
      <c r="AG38" s="298" t="str">
        <f>IF('Solar-Only Proposal'!P55="","",'Solar-Only Proposal'!P55)</f>
        <v/>
      </c>
      <c r="AH38" s="299" t="str">
        <f>IF('Solar-Only Proposal'!Q55="","",'Solar-Only Proposal'!Q55)</f>
        <v/>
      </c>
    </row>
    <row r="39" spans="1:34" ht="15.4" customHeight="1" x14ac:dyDescent="0.55000000000000004">
      <c r="A39" s="203">
        <v>26</v>
      </c>
      <c r="B39" s="481" t="str">
        <f>INDEX(Site_Data_Table,MATCH($A39,'Site Data'!$A$5:$A$37,0),MATCH(B$13,Site_Data_Column_Names,0))</f>
        <v>East County Regional Center</v>
      </c>
      <c r="C39" s="482"/>
      <c r="D39" s="204" t="str">
        <f>INDEX(Site_Data_Table,MATCH($A39,'Site Data'!$A$5:$A$37,0),MATCH(D$13,Site_Data_Column_Names,0))</f>
        <v>37-I1</v>
      </c>
      <c r="E39" s="152">
        <f>INDEX(Prod_Yr_1,MATCH('Summary &amp; Signature'!$A39,'System Specification'!$B$15:$B$46,0))</f>
        <v>0</v>
      </c>
      <c r="F39" s="153">
        <f>INDEX('System Specification'!$K$15:$K$46,MATCH('Summary &amp; Signature'!$A39,'System Specification'!$B$15:$B$46,0))</f>
        <v>0</v>
      </c>
      <c r="G39" s="274" t="str">
        <f>_xlfn.TEXTJOIN(" / ",1,INDEX('System Specification'!$L$15:$L$46,MATCH($A39,'System Specification'!$B$15:$B$46,0)),INDEX('System Specification'!$M$15:$M$46,MATCH($A39,'System Specification'!$B$15:$B$46,0)))</f>
        <v/>
      </c>
      <c r="H39" s="280" t="str">
        <f>IF('Microgrid Proposal'!J56="","",'Microgrid Proposal'!J56)</f>
        <v/>
      </c>
      <c r="I39" s="209" t="str">
        <f>IF('Microgrid Proposal'!K56="","",'Microgrid Proposal'!K56)</f>
        <v/>
      </c>
      <c r="J39" s="209" t="str">
        <f>IF('Microgrid Proposal'!L56="","",'Microgrid Proposal'!L56)</f>
        <v/>
      </c>
      <c r="K39" s="276" t="str">
        <f>IF('Microgrid Proposal'!M56="","",'Microgrid Proposal'!M56)</f>
        <v/>
      </c>
      <c r="L39" s="276" t="str">
        <f>IF('Microgrid Proposal'!N56="","",'Microgrid Proposal'!N56)</f>
        <v/>
      </c>
      <c r="M39" s="298" t="str">
        <f>IF('Microgrid Proposal'!O56="","",'Microgrid Proposal'!O56)</f>
        <v/>
      </c>
      <c r="N39" s="298" t="str">
        <f>IF('Microgrid Proposal'!P56="","",'Microgrid Proposal'!P56)</f>
        <v/>
      </c>
      <c r="O39" s="298" t="str">
        <f>IF('Microgrid Proposal'!Q56="","",'Microgrid Proposal'!Q56)</f>
        <v/>
      </c>
      <c r="P39" s="299" t="str">
        <f>IF('Microgrid Proposal'!R56="","",'Microgrid Proposal'!R56)</f>
        <v/>
      </c>
      <c r="Q39" s="280" t="str">
        <f>IF('Solar+Storage Proposal'!J56="","",'Solar+Storage Proposal'!J56)</f>
        <v/>
      </c>
      <c r="R39" s="209" t="str">
        <f>IF('Solar+Storage Proposal'!K56="","",'Solar+Storage Proposal'!K56)</f>
        <v/>
      </c>
      <c r="S39" s="209" t="str">
        <f>IF('Solar+Storage Proposal'!L56="","",'Solar+Storage Proposal'!L56)</f>
        <v/>
      </c>
      <c r="T39" s="276" t="str">
        <f>IF('Solar+Storage Proposal'!M56="","",'Solar+Storage Proposal'!M56)</f>
        <v/>
      </c>
      <c r="U39" s="276" t="str">
        <f>IF('Solar+Storage Proposal'!N56="","",'Solar+Storage Proposal'!N56)</f>
        <v/>
      </c>
      <c r="V39" s="298" t="str">
        <f>IF('Solar+Storage Proposal'!O56="","",'Solar+Storage Proposal'!O56)</f>
        <v/>
      </c>
      <c r="W39" s="298" t="str">
        <f>IF('Solar+Storage Proposal'!P56="","",'Solar+Storage Proposal'!P56)</f>
        <v/>
      </c>
      <c r="X39" s="298" t="str">
        <f>IF('Solar+Storage Proposal'!Q56="","",'Solar+Storage Proposal'!Q56)</f>
        <v/>
      </c>
      <c r="Y39" s="299" t="str">
        <f>IF('Solar+Storage Proposal'!R56="","",'Solar+Storage Proposal'!R56)</f>
        <v/>
      </c>
      <c r="Z39" s="280" t="str">
        <f>IF('Solar-Only Proposal'!I56="","",'Solar-Only Proposal'!I56)</f>
        <v/>
      </c>
      <c r="AA39" s="209" t="str">
        <f>IF('Solar-Only Proposal'!J56="","",'Solar-Only Proposal'!J56)</f>
        <v/>
      </c>
      <c r="AB39" s="209" t="str">
        <f>IF('Solar-Only Proposal'!K56="","",'Solar-Only Proposal'!K56)</f>
        <v/>
      </c>
      <c r="AC39" s="276" t="str">
        <f>IF('Solar-Only Proposal'!L56="","",'Solar-Only Proposal'!L56)</f>
        <v/>
      </c>
      <c r="AD39" s="276" t="str">
        <f>IF('Solar-Only Proposal'!M56="","",'Solar-Only Proposal'!M56)</f>
        <v/>
      </c>
      <c r="AE39" s="298" t="str">
        <f>IF('Solar-Only Proposal'!N56="","",'Solar-Only Proposal'!N56)</f>
        <v/>
      </c>
      <c r="AF39" s="298" t="str">
        <f>IF('Solar-Only Proposal'!O56="","",'Solar-Only Proposal'!O56)</f>
        <v/>
      </c>
      <c r="AG39" s="298" t="str">
        <f>IF('Solar-Only Proposal'!P56="","",'Solar-Only Proposal'!P56)</f>
        <v/>
      </c>
      <c r="AH39" s="299" t="str">
        <f>IF('Solar-Only Proposal'!Q56="","",'Solar-Only Proposal'!Q56)</f>
        <v/>
      </c>
    </row>
    <row r="40" spans="1:34" ht="15.4" customHeight="1" x14ac:dyDescent="0.55000000000000004">
      <c r="A40" s="203">
        <v>27</v>
      </c>
      <c r="B40" s="481" t="str">
        <f>INDEX(Site_Data_Table,MATCH($A40,'Site Data'!$A$5:$A$37,0),MATCH(B$13,Site_Data_Column_Names,0))</f>
        <v>Northern Branch Courthouse</v>
      </c>
      <c r="C40" s="482"/>
      <c r="D40" s="204" t="str">
        <f>INDEX(Site_Data_Table,MATCH($A40,'Site Data'!$A$5:$A$37,0),MATCH(D$13,Site_Data_Column_Names,0))</f>
        <v>41-C1</v>
      </c>
      <c r="E40" s="152">
        <f>INDEX(Prod_Yr_1,MATCH('Summary &amp; Signature'!$A40,'System Specification'!$B$15:$B$46,0))</f>
        <v>0</v>
      </c>
      <c r="F40" s="153">
        <f>INDEX('System Specification'!$K$15:$K$46,MATCH('Summary &amp; Signature'!$A40,'System Specification'!$B$15:$B$46,0))</f>
        <v>0</v>
      </c>
      <c r="G40" s="274" t="str">
        <f>_xlfn.TEXTJOIN(" / ",1,INDEX('System Specification'!$L$15:$L$46,MATCH($A40,'System Specification'!$B$15:$B$46,0)),INDEX('System Specification'!$M$15:$M$46,MATCH($A40,'System Specification'!$B$15:$B$46,0)))</f>
        <v/>
      </c>
      <c r="H40" s="280" t="str">
        <f>IF('Microgrid Proposal'!J57="","",'Microgrid Proposal'!J57)</f>
        <v/>
      </c>
      <c r="I40" s="209" t="str">
        <f>IF('Microgrid Proposal'!K57="","",'Microgrid Proposal'!K57)</f>
        <v/>
      </c>
      <c r="J40" s="209" t="str">
        <f>IF('Microgrid Proposal'!L57="","",'Microgrid Proposal'!L57)</f>
        <v/>
      </c>
      <c r="K40" s="276" t="str">
        <f>IF('Microgrid Proposal'!M57="","",'Microgrid Proposal'!M57)</f>
        <v/>
      </c>
      <c r="L40" s="276" t="str">
        <f>IF('Microgrid Proposal'!N57="","",'Microgrid Proposal'!N57)</f>
        <v/>
      </c>
      <c r="M40" s="298" t="str">
        <f>IF('Microgrid Proposal'!O57="","",'Microgrid Proposal'!O57)</f>
        <v/>
      </c>
      <c r="N40" s="298" t="str">
        <f>IF('Microgrid Proposal'!P57="","",'Microgrid Proposal'!P57)</f>
        <v/>
      </c>
      <c r="O40" s="298" t="str">
        <f>IF('Microgrid Proposal'!Q57="","",'Microgrid Proposal'!Q57)</f>
        <v/>
      </c>
      <c r="P40" s="299" t="str">
        <f>IF('Microgrid Proposal'!R57="","",'Microgrid Proposal'!R57)</f>
        <v/>
      </c>
      <c r="Q40" s="280" t="str">
        <f>IF('Solar+Storage Proposal'!J57="","",'Solar+Storage Proposal'!J57)</f>
        <v/>
      </c>
      <c r="R40" s="209" t="str">
        <f>IF('Solar+Storage Proposal'!K57="","",'Solar+Storage Proposal'!K57)</f>
        <v/>
      </c>
      <c r="S40" s="209" t="str">
        <f>IF('Solar+Storage Proposal'!L57="","",'Solar+Storage Proposal'!L57)</f>
        <v/>
      </c>
      <c r="T40" s="276" t="str">
        <f>IF('Solar+Storage Proposal'!M57="","",'Solar+Storage Proposal'!M57)</f>
        <v/>
      </c>
      <c r="U40" s="276" t="str">
        <f>IF('Solar+Storage Proposal'!N57="","",'Solar+Storage Proposal'!N57)</f>
        <v/>
      </c>
      <c r="V40" s="298" t="str">
        <f>IF('Solar+Storage Proposal'!O57="","",'Solar+Storage Proposal'!O57)</f>
        <v/>
      </c>
      <c r="W40" s="298" t="str">
        <f>IF('Solar+Storage Proposal'!P57="","",'Solar+Storage Proposal'!P57)</f>
        <v/>
      </c>
      <c r="X40" s="298" t="str">
        <f>IF('Solar+Storage Proposal'!Q57="","",'Solar+Storage Proposal'!Q57)</f>
        <v/>
      </c>
      <c r="Y40" s="299" t="str">
        <f>IF('Solar+Storage Proposal'!R57="","",'Solar+Storage Proposal'!R57)</f>
        <v/>
      </c>
      <c r="Z40" s="280" t="str">
        <f>IF('Solar-Only Proposal'!I57="","",'Solar-Only Proposal'!I57)</f>
        <v/>
      </c>
      <c r="AA40" s="209" t="str">
        <f>IF('Solar-Only Proposal'!J57="","",'Solar-Only Proposal'!J57)</f>
        <v/>
      </c>
      <c r="AB40" s="209" t="str">
        <f>IF('Solar-Only Proposal'!K57="","",'Solar-Only Proposal'!K57)</f>
        <v/>
      </c>
      <c r="AC40" s="276" t="str">
        <f>IF('Solar-Only Proposal'!L57="","",'Solar-Only Proposal'!L57)</f>
        <v/>
      </c>
      <c r="AD40" s="276" t="str">
        <f>IF('Solar-Only Proposal'!M57="","",'Solar-Only Proposal'!M57)</f>
        <v/>
      </c>
      <c r="AE40" s="298" t="str">
        <f>IF('Solar-Only Proposal'!N57="","",'Solar-Only Proposal'!N57)</f>
        <v/>
      </c>
      <c r="AF40" s="298" t="str">
        <f>IF('Solar-Only Proposal'!O57="","",'Solar-Only Proposal'!O57)</f>
        <v/>
      </c>
      <c r="AG40" s="298" t="str">
        <f>IF('Solar-Only Proposal'!P57="","",'Solar-Only Proposal'!P57)</f>
        <v/>
      </c>
      <c r="AH40" s="299" t="str">
        <f>IF('Solar-Only Proposal'!Q57="","",'Solar-Only Proposal'!Q57)</f>
        <v/>
      </c>
    </row>
    <row r="41" spans="1:34" ht="15.4" customHeight="1" x14ac:dyDescent="0.55000000000000004">
      <c r="A41" s="203">
        <v>28</v>
      </c>
      <c r="B41" s="481" t="str">
        <f>INDEX(Site_Data_Table,MATCH($A41,'Site Data'!$A$5:$A$37,0),MATCH(B$13,Site_Data_Column_Names,0))</f>
        <v>Downtown Superior Court</v>
      </c>
      <c r="C41" s="482"/>
      <c r="D41" s="204" t="str">
        <f>INDEX(Site_Data_Table,MATCH($A41,'Site Data'!$A$5:$A$37,0),MATCH(D$13,Site_Data_Column_Names,0))</f>
        <v>43-B1</v>
      </c>
      <c r="E41" s="152">
        <f>INDEX(Prod_Yr_1,MATCH('Summary &amp; Signature'!$A41,'System Specification'!$B$15:$B$46,0))</f>
        <v>0</v>
      </c>
      <c r="F41" s="153">
        <f>INDEX('System Specification'!$K$15:$K$46,MATCH('Summary &amp; Signature'!$A41,'System Specification'!$B$15:$B$46,0))</f>
        <v>0</v>
      </c>
      <c r="G41" s="274" t="str">
        <f>_xlfn.TEXTJOIN(" / ",1,INDEX('System Specification'!$L$15:$L$46,MATCH($A41,'System Specification'!$B$15:$B$46,0)),INDEX('System Specification'!$M$15:$M$46,MATCH($A41,'System Specification'!$B$15:$B$46,0)))</f>
        <v/>
      </c>
      <c r="H41" s="280" t="str">
        <f>IF('Microgrid Proposal'!J58="","",'Microgrid Proposal'!J58)</f>
        <v/>
      </c>
      <c r="I41" s="209" t="str">
        <f>IF('Microgrid Proposal'!K58="","",'Microgrid Proposal'!K58)</f>
        <v/>
      </c>
      <c r="J41" s="209" t="str">
        <f>IF('Microgrid Proposal'!L58="","",'Microgrid Proposal'!L58)</f>
        <v/>
      </c>
      <c r="K41" s="276" t="str">
        <f>IF('Microgrid Proposal'!M58="","",'Microgrid Proposal'!M58)</f>
        <v/>
      </c>
      <c r="L41" s="276" t="str">
        <f>IF('Microgrid Proposal'!N58="","",'Microgrid Proposal'!N58)</f>
        <v/>
      </c>
      <c r="M41" s="298" t="str">
        <f>IF('Microgrid Proposal'!O58="","",'Microgrid Proposal'!O58)</f>
        <v/>
      </c>
      <c r="N41" s="298" t="str">
        <f>IF('Microgrid Proposal'!P58="","",'Microgrid Proposal'!P58)</f>
        <v/>
      </c>
      <c r="O41" s="298" t="str">
        <f>IF('Microgrid Proposal'!Q58="","",'Microgrid Proposal'!Q58)</f>
        <v/>
      </c>
      <c r="P41" s="299" t="str">
        <f>IF('Microgrid Proposal'!R58="","",'Microgrid Proposal'!R58)</f>
        <v/>
      </c>
      <c r="Q41" s="280" t="str">
        <f>IF('Solar+Storage Proposal'!J58="","",'Solar+Storage Proposal'!J58)</f>
        <v/>
      </c>
      <c r="R41" s="209" t="str">
        <f>IF('Solar+Storage Proposal'!K58="","",'Solar+Storage Proposal'!K58)</f>
        <v/>
      </c>
      <c r="S41" s="209" t="str">
        <f>IF('Solar+Storage Proposal'!L58="","",'Solar+Storage Proposal'!L58)</f>
        <v/>
      </c>
      <c r="T41" s="276" t="str">
        <f>IF('Solar+Storage Proposal'!M58="","",'Solar+Storage Proposal'!M58)</f>
        <v/>
      </c>
      <c r="U41" s="276" t="str">
        <f>IF('Solar+Storage Proposal'!N58="","",'Solar+Storage Proposal'!N58)</f>
        <v/>
      </c>
      <c r="V41" s="298" t="str">
        <f>IF('Solar+Storage Proposal'!O58="","",'Solar+Storage Proposal'!O58)</f>
        <v/>
      </c>
      <c r="W41" s="298" t="str">
        <f>IF('Solar+Storage Proposal'!P58="","",'Solar+Storage Proposal'!P58)</f>
        <v/>
      </c>
      <c r="X41" s="298" t="str">
        <f>IF('Solar+Storage Proposal'!Q58="","",'Solar+Storage Proposal'!Q58)</f>
        <v/>
      </c>
      <c r="Y41" s="299" t="str">
        <f>IF('Solar+Storage Proposal'!R58="","",'Solar+Storage Proposal'!R58)</f>
        <v/>
      </c>
      <c r="Z41" s="280" t="str">
        <f>IF('Solar-Only Proposal'!I58="","",'Solar-Only Proposal'!I58)</f>
        <v/>
      </c>
      <c r="AA41" s="209" t="str">
        <f>IF('Solar-Only Proposal'!J58="","",'Solar-Only Proposal'!J58)</f>
        <v/>
      </c>
      <c r="AB41" s="209" t="str">
        <f>IF('Solar-Only Proposal'!K58="","",'Solar-Only Proposal'!K58)</f>
        <v/>
      </c>
      <c r="AC41" s="276" t="str">
        <f>IF('Solar-Only Proposal'!L58="","",'Solar-Only Proposal'!L58)</f>
        <v/>
      </c>
      <c r="AD41" s="276" t="str">
        <f>IF('Solar-Only Proposal'!M58="","",'Solar-Only Proposal'!M58)</f>
        <v/>
      </c>
      <c r="AE41" s="298" t="str">
        <f>IF('Solar-Only Proposal'!N58="","",'Solar-Only Proposal'!N58)</f>
        <v/>
      </c>
      <c r="AF41" s="298" t="str">
        <f>IF('Solar-Only Proposal'!O58="","",'Solar-Only Proposal'!O58)</f>
        <v/>
      </c>
      <c r="AG41" s="298" t="str">
        <f>IF('Solar-Only Proposal'!P58="","",'Solar-Only Proposal'!P58)</f>
        <v/>
      </c>
      <c r="AH41" s="299" t="str">
        <f>IF('Solar-Only Proposal'!Q58="","",'Solar-Only Proposal'!Q58)</f>
        <v/>
      </c>
    </row>
    <row r="42" spans="1:34" ht="15.4" customHeight="1" x14ac:dyDescent="0.55000000000000004">
      <c r="A42" s="203">
        <v>29</v>
      </c>
      <c r="B42" s="481" t="str">
        <f>INDEX(Site_Data_Table,MATCH($A42,'Site Data'!$A$5:$A$37,0),MATCH(B$13,Site_Data_Column_Names,0))</f>
        <v>Sutter County Superior Courthouse</v>
      </c>
      <c r="C42" s="482"/>
      <c r="D42" s="204" t="str">
        <f>INDEX(Site_Data_Table,MATCH($A42,'Site Data'!$A$5:$A$37,0),MATCH(D$13,Site_Data_Column_Names,0))</f>
        <v>51-C1</v>
      </c>
      <c r="E42" s="152">
        <f>INDEX(Prod_Yr_1,MATCH('Summary &amp; Signature'!$A42,'System Specification'!$B$15:$B$46,0))</f>
        <v>0</v>
      </c>
      <c r="F42" s="153">
        <f>INDEX('System Specification'!$K$15:$K$46,MATCH('Summary &amp; Signature'!$A42,'System Specification'!$B$15:$B$46,0))</f>
        <v>0</v>
      </c>
      <c r="G42" s="274" t="str">
        <f>_xlfn.TEXTJOIN(" / ",1,INDEX('System Specification'!$L$15:$L$46,MATCH($A42,'System Specification'!$B$15:$B$46,0)),INDEX('System Specification'!$M$15:$M$46,MATCH($A42,'System Specification'!$B$15:$B$46,0)))</f>
        <v/>
      </c>
      <c r="H42" s="280" t="str">
        <f>IF('Microgrid Proposal'!J59="","",'Microgrid Proposal'!J59)</f>
        <v/>
      </c>
      <c r="I42" s="209" t="str">
        <f>IF('Microgrid Proposal'!K59="","",'Microgrid Proposal'!K59)</f>
        <v/>
      </c>
      <c r="J42" s="209" t="str">
        <f>IF('Microgrid Proposal'!L59="","",'Microgrid Proposal'!L59)</f>
        <v/>
      </c>
      <c r="K42" s="276" t="str">
        <f>IF('Microgrid Proposal'!M59="","",'Microgrid Proposal'!M59)</f>
        <v/>
      </c>
      <c r="L42" s="276" t="str">
        <f>IF('Microgrid Proposal'!N59="","",'Microgrid Proposal'!N59)</f>
        <v/>
      </c>
      <c r="M42" s="298" t="str">
        <f>IF('Microgrid Proposal'!O59="","",'Microgrid Proposal'!O59)</f>
        <v/>
      </c>
      <c r="N42" s="298" t="str">
        <f>IF('Microgrid Proposal'!P59="","",'Microgrid Proposal'!P59)</f>
        <v/>
      </c>
      <c r="O42" s="298" t="str">
        <f>IF('Microgrid Proposal'!Q59="","",'Microgrid Proposal'!Q59)</f>
        <v/>
      </c>
      <c r="P42" s="299" t="str">
        <f>IF('Microgrid Proposal'!R59="","",'Microgrid Proposal'!R59)</f>
        <v/>
      </c>
      <c r="Q42" s="280" t="str">
        <f>IF('Solar+Storage Proposal'!J59="","",'Solar+Storage Proposal'!J59)</f>
        <v/>
      </c>
      <c r="R42" s="209" t="str">
        <f>IF('Solar+Storage Proposal'!K59="","",'Solar+Storage Proposal'!K59)</f>
        <v/>
      </c>
      <c r="S42" s="209" t="str">
        <f>IF('Solar+Storage Proposal'!L59="","",'Solar+Storage Proposal'!L59)</f>
        <v/>
      </c>
      <c r="T42" s="276" t="str">
        <f>IF('Solar+Storage Proposal'!M59="","",'Solar+Storage Proposal'!M59)</f>
        <v/>
      </c>
      <c r="U42" s="276" t="str">
        <f>IF('Solar+Storage Proposal'!N59="","",'Solar+Storage Proposal'!N59)</f>
        <v/>
      </c>
      <c r="V42" s="298" t="str">
        <f>IF('Solar+Storage Proposal'!O59="","",'Solar+Storage Proposal'!O59)</f>
        <v/>
      </c>
      <c r="W42" s="298" t="str">
        <f>IF('Solar+Storage Proposal'!P59="","",'Solar+Storage Proposal'!P59)</f>
        <v/>
      </c>
      <c r="X42" s="298" t="str">
        <f>IF('Solar+Storage Proposal'!Q59="","",'Solar+Storage Proposal'!Q59)</f>
        <v/>
      </c>
      <c r="Y42" s="299" t="str">
        <f>IF('Solar+Storage Proposal'!R59="","",'Solar+Storage Proposal'!R59)</f>
        <v/>
      </c>
      <c r="Z42" s="280" t="str">
        <f>IF('Solar-Only Proposal'!I59="","",'Solar-Only Proposal'!I59)</f>
        <v/>
      </c>
      <c r="AA42" s="209" t="str">
        <f>IF('Solar-Only Proposal'!J59="","",'Solar-Only Proposal'!J59)</f>
        <v/>
      </c>
      <c r="AB42" s="209" t="str">
        <f>IF('Solar-Only Proposal'!K59="","",'Solar-Only Proposal'!K59)</f>
        <v/>
      </c>
      <c r="AC42" s="276" t="str">
        <f>IF('Solar-Only Proposal'!L59="","",'Solar-Only Proposal'!L59)</f>
        <v/>
      </c>
      <c r="AD42" s="276" t="str">
        <f>IF('Solar-Only Proposal'!M59="","",'Solar-Only Proposal'!M59)</f>
        <v/>
      </c>
      <c r="AE42" s="298" t="str">
        <f>IF('Solar-Only Proposal'!N59="","",'Solar-Only Proposal'!N59)</f>
        <v/>
      </c>
      <c r="AF42" s="298" t="str">
        <f>IF('Solar-Only Proposal'!O59="","",'Solar-Only Proposal'!O59)</f>
        <v/>
      </c>
      <c r="AG42" s="298" t="str">
        <f>IF('Solar-Only Proposal'!P59="","",'Solar-Only Proposal'!P59)</f>
        <v/>
      </c>
      <c r="AH42" s="299" t="str">
        <f>IF('Solar-Only Proposal'!Q59="","",'Solar-Only Proposal'!Q59)</f>
        <v/>
      </c>
    </row>
    <row r="43" spans="1:34" ht="15.4" customHeight="1" x14ac:dyDescent="0.55000000000000004">
      <c r="A43" s="203">
        <v>30</v>
      </c>
      <c r="B43" s="481" t="str">
        <f>INDEX(Site_Data_Table,MATCH($A43,'Site Data'!$A$5:$A$37,0),MATCH(B$13,Site_Data_Column_Names,0))</f>
        <v>Tehama County Courthouse</v>
      </c>
      <c r="C43" s="482"/>
      <c r="D43" s="204" t="str">
        <f>INDEX(Site_Data_Table,MATCH($A43,'Site Data'!$A$5:$A$37,0),MATCH(D$13,Site_Data_Column_Names,0))</f>
        <v>52-E1</v>
      </c>
      <c r="E43" s="152">
        <f>INDEX(Prod_Yr_1,MATCH('Summary &amp; Signature'!$A43,'System Specification'!$B$15:$B$46,0))</f>
        <v>0</v>
      </c>
      <c r="F43" s="153">
        <f>INDEX('System Specification'!$K$15:$K$46,MATCH('Summary &amp; Signature'!$A43,'System Specification'!$B$15:$B$46,0))</f>
        <v>0</v>
      </c>
      <c r="G43" s="274" t="str">
        <f>_xlfn.TEXTJOIN(" / ",1,INDEX('System Specification'!$L$15:$L$46,MATCH($A43,'System Specification'!$B$15:$B$46,0)),INDEX('System Specification'!$M$15:$M$46,MATCH($A43,'System Specification'!$B$15:$B$46,0)))</f>
        <v/>
      </c>
      <c r="H43" s="280" t="str">
        <f>IF('Microgrid Proposal'!J60="","",'Microgrid Proposal'!J60)</f>
        <v/>
      </c>
      <c r="I43" s="209" t="str">
        <f>IF('Microgrid Proposal'!K60="","",'Microgrid Proposal'!K60)</f>
        <v/>
      </c>
      <c r="J43" s="209" t="str">
        <f>IF('Microgrid Proposal'!L60="","",'Microgrid Proposal'!L60)</f>
        <v/>
      </c>
      <c r="K43" s="276" t="str">
        <f>IF('Microgrid Proposal'!M60="","",'Microgrid Proposal'!M60)</f>
        <v/>
      </c>
      <c r="L43" s="276" t="str">
        <f>IF('Microgrid Proposal'!N60="","",'Microgrid Proposal'!N60)</f>
        <v/>
      </c>
      <c r="M43" s="298" t="str">
        <f>IF('Microgrid Proposal'!O60="","",'Microgrid Proposal'!O60)</f>
        <v/>
      </c>
      <c r="N43" s="298" t="str">
        <f>IF('Microgrid Proposal'!P60="","",'Microgrid Proposal'!P60)</f>
        <v/>
      </c>
      <c r="O43" s="298" t="str">
        <f>IF('Microgrid Proposal'!Q60="","",'Microgrid Proposal'!Q60)</f>
        <v/>
      </c>
      <c r="P43" s="299" t="str">
        <f>IF('Microgrid Proposal'!R60="","",'Microgrid Proposal'!R60)</f>
        <v/>
      </c>
      <c r="Q43" s="280" t="str">
        <f>IF('Solar+Storage Proposal'!J60="","",'Solar+Storage Proposal'!J60)</f>
        <v/>
      </c>
      <c r="R43" s="209" t="str">
        <f>IF('Solar+Storage Proposal'!K60="","",'Solar+Storage Proposal'!K60)</f>
        <v/>
      </c>
      <c r="S43" s="209" t="str">
        <f>IF('Solar+Storage Proposal'!L60="","",'Solar+Storage Proposal'!L60)</f>
        <v/>
      </c>
      <c r="T43" s="276" t="str">
        <f>IF('Solar+Storage Proposal'!M60="","",'Solar+Storage Proposal'!M60)</f>
        <v/>
      </c>
      <c r="U43" s="276" t="str">
        <f>IF('Solar+Storage Proposal'!N60="","",'Solar+Storage Proposal'!N60)</f>
        <v/>
      </c>
      <c r="V43" s="298" t="str">
        <f>IF('Solar+Storage Proposal'!O60="","",'Solar+Storage Proposal'!O60)</f>
        <v/>
      </c>
      <c r="W43" s="298" t="str">
        <f>IF('Solar+Storage Proposal'!P60="","",'Solar+Storage Proposal'!P60)</f>
        <v/>
      </c>
      <c r="X43" s="298" t="str">
        <f>IF('Solar+Storage Proposal'!Q60="","",'Solar+Storage Proposal'!Q60)</f>
        <v/>
      </c>
      <c r="Y43" s="299" t="str">
        <f>IF('Solar+Storage Proposal'!R60="","",'Solar+Storage Proposal'!R60)</f>
        <v/>
      </c>
      <c r="Z43" s="280" t="str">
        <f>IF('Solar-Only Proposal'!I60="","",'Solar-Only Proposal'!I60)</f>
        <v/>
      </c>
      <c r="AA43" s="209" t="str">
        <f>IF('Solar-Only Proposal'!J60="","",'Solar-Only Proposal'!J60)</f>
        <v/>
      </c>
      <c r="AB43" s="209" t="str">
        <f>IF('Solar-Only Proposal'!K60="","",'Solar-Only Proposal'!K60)</f>
        <v/>
      </c>
      <c r="AC43" s="276" t="str">
        <f>IF('Solar-Only Proposal'!L60="","",'Solar-Only Proposal'!L60)</f>
        <v/>
      </c>
      <c r="AD43" s="276" t="str">
        <f>IF('Solar-Only Proposal'!M60="","",'Solar-Only Proposal'!M60)</f>
        <v/>
      </c>
      <c r="AE43" s="298" t="str">
        <f>IF('Solar-Only Proposal'!N60="","",'Solar-Only Proposal'!N60)</f>
        <v/>
      </c>
      <c r="AF43" s="298" t="str">
        <f>IF('Solar-Only Proposal'!O60="","",'Solar-Only Proposal'!O60)</f>
        <v/>
      </c>
      <c r="AG43" s="298" t="str">
        <f>IF('Solar-Only Proposal'!P60="","",'Solar-Only Proposal'!P60)</f>
        <v/>
      </c>
      <c r="AH43" s="299" t="str">
        <f>IF('Solar-Only Proposal'!Q60="","",'Solar-Only Proposal'!Q60)</f>
        <v/>
      </c>
    </row>
    <row r="44" spans="1:34" ht="15.4" customHeight="1" x14ac:dyDescent="0.55000000000000004">
      <c r="A44" s="203">
        <v>31</v>
      </c>
      <c r="B44" s="481" t="str">
        <f>INDEX(Site_Data_Table,MATCH($A44,'Site Data'!$A$5:$A$37,0),MATCH(B$13,Site_Data_Column_Names,0))</f>
        <v>South County Justice Center</v>
      </c>
      <c r="C44" s="482"/>
      <c r="D44" s="204" t="str">
        <f>INDEX(Site_Data_Table,MATCH($A44,'Site Data'!$A$5:$A$37,0),MATCH(D$13,Site_Data_Column_Names,0))</f>
        <v>54-I1</v>
      </c>
      <c r="E44" s="152">
        <f>INDEX(Prod_Yr_1,MATCH('Summary &amp; Signature'!$A44,'System Specification'!$B$15:$B$46,0))</f>
        <v>0</v>
      </c>
      <c r="F44" s="153">
        <f>INDEX('System Specification'!$K$15:$K$46,MATCH('Summary &amp; Signature'!$A44,'System Specification'!$B$15:$B$46,0))</f>
        <v>0</v>
      </c>
      <c r="G44" s="274" t="str">
        <f>_xlfn.TEXTJOIN(" / ",1,INDEX('System Specification'!$L$15:$L$46,MATCH($A44,'System Specification'!$B$15:$B$46,0)),INDEX('System Specification'!$M$15:$M$46,MATCH($A44,'System Specification'!$B$15:$B$46,0)))</f>
        <v/>
      </c>
      <c r="H44" s="280" t="str">
        <f>IF('Microgrid Proposal'!J61="","",'Microgrid Proposal'!J61)</f>
        <v/>
      </c>
      <c r="I44" s="209" t="str">
        <f>IF('Microgrid Proposal'!K61="","",'Microgrid Proposal'!K61)</f>
        <v/>
      </c>
      <c r="J44" s="209" t="str">
        <f>IF('Microgrid Proposal'!L61="","",'Microgrid Proposal'!L61)</f>
        <v/>
      </c>
      <c r="K44" s="276" t="str">
        <f>IF('Microgrid Proposal'!M61="","",'Microgrid Proposal'!M61)</f>
        <v/>
      </c>
      <c r="L44" s="276" t="str">
        <f>IF('Microgrid Proposal'!N61="","",'Microgrid Proposal'!N61)</f>
        <v/>
      </c>
      <c r="M44" s="298" t="str">
        <f>IF('Microgrid Proposal'!O61="","",'Microgrid Proposal'!O61)</f>
        <v/>
      </c>
      <c r="N44" s="298" t="str">
        <f>IF('Microgrid Proposal'!P61="","",'Microgrid Proposal'!P61)</f>
        <v/>
      </c>
      <c r="O44" s="298" t="str">
        <f>IF('Microgrid Proposal'!Q61="","",'Microgrid Proposal'!Q61)</f>
        <v/>
      </c>
      <c r="P44" s="299" t="str">
        <f>IF('Microgrid Proposal'!R61="","",'Microgrid Proposal'!R61)</f>
        <v/>
      </c>
      <c r="Q44" s="280" t="str">
        <f>IF('Solar+Storage Proposal'!J61="","",'Solar+Storage Proposal'!J61)</f>
        <v/>
      </c>
      <c r="R44" s="209" t="str">
        <f>IF('Solar+Storage Proposal'!K61="","",'Solar+Storage Proposal'!K61)</f>
        <v/>
      </c>
      <c r="S44" s="209" t="str">
        <f>IF('Solar+Storage Proposal'!L61="","",'Solar+Storage Proposal'!L61)</f>
        <v/>
      </c>
      <c r="T44" s="276" t="str">
        <f>IF('Solar+Storage Proposal'!M61="","",'Solar+Storage Proposal'!M61)</f>
        <v/>
      </c>
      <c r="U44" s="276" t="str">
        <f>IF('Solar+Storage Proposal'!N61="","",'Solar+Storage Proposal'!N61)</f>
        <v/>
      </c>
      <c r="V44" s="298" t="str">
        <f>IF('Solar+Storage Proposal'!O61="","",'Solar+Storage Proposal'!O61)</f>
        <v/>
      </c>
      <c r="W44" s="298" t="str">
        <f>IF('Solar+Storage Proposal'!P61="","",'Solar+Storage Proposal'!P61)</f>
        <v/>
      </c>
      <c r="X44" s="298" t="str">
        <f>IF('Solar+Storage Proposal'!Q61="","",'Solar+Storage Proposal'!Q61)</f>
        <v/>
      </c>
      <c r="Y44" s="299" t="str">
        <f>IF('Solar+Storage Proposal'!R61="","",'Solar+Storage Proposal'!R61)</f>
        <v/>
      </c>
      <c r="Z44" s="280" t="str">
        <f>IF('Solar-Only Proposal'!I61="","",'Solar-Only Proposal'!I61)</f>
        <v/>
      </c>
      <c r="AA44" s="209" t="str">
        <f>IF('Solar-Only Proposal'!J61="","",'Solar-Only Proposal'!J61)</f>
        <v/>
      </c>
      <c r="AB44" s="209" t="str">
        <f>IF('Solar-Only Proposal'!K61="","",'Solar-Only Proposal'!K61)</f>
        <v/>
      </c>
      <c r="AC44" s="276" t="str">
        <f>IF('Solar-Only Proposal'!L61="","",'Solar-Only Proposal'!L61)</f>
        <v/>
      </c>
      <c r="AD44" s="276" t="str">
        <f>IF('Solar-Only Proposal'!M61="","",'Solar-Only Proposal'!M61)</f>
        <v/>
      </c>
      <c r="AE44" s="298" t="str">
        <f>IF('Solar-Only Proposal'!N61="","",'Solar-Only Proposal'!N61)</f>
        <v/>
      </c>
      <c r="AF44" s="298" t="str">
        <f>IF('Solar-Only Proposal'!O61="","",'Solar-Only Proposal'!O61)</f>
        <v/>
      </c>
      <c r="AG44" s="298" t="str">
        <f>IF('Solar-Only Proposal'!P61="","",'Solar-Only Proposal'!P61)</f>
        <v/>
      </c>
      <c r="AH44" s="299" t="str">
        <f>IF('Solar-Only Proposal'!Q61="","",'Solar-Only Proposal'!Q61)</f>
        <v/>
      </c>
    </row>
    <row r="45" spans="1:34" ht="15.6" thickBot="1" x14ac:dyDescent="0.6">
      <c r="A45" s="96">
        <v>32</v>
      </c>
      <c r="B45" s="488" t="str">
        <f>INDEX(Site_Data_Table,MATCH($A45,'Site Data'!$A$5:$A$37,0),MATCH(B$13,Site_Data_Column_Names,0))</f>
        <v>Yolo Superior Court</v>
      </c>
      <c r="C45" s="489"/>
      <c r="D45" s="205" t="str">
        <f>INDEX(Site_Data_Table,MATCH($A45,'Site Data'!$A$5:$A$37,0),MATCH(D$13,Site_Data_Column_Names,0))</f>
        <v>57-A10</v>
      </c>
      <c r="E45" s="210">
        <f>INDEX(Prod_Yr_1,MATCH('Summary &amp; Signature'!$A45,'System Specification'!$B$15:$B$46,0))</f>
        <v>0</v>
      </c>
      <c r="F45" s="211">
        <f>INDEX('System Specification'!$K$15:$K$46,MATCH('Summary &amp; Signature'!$A45,'System Specification'!$B$15:$B$46,0))</f>
        <v>0</v>
      </c>
      <c r="G45" s="275" t="str">
        <f>_xlfn.TEXTJOIN(" / ",1,INDEX('System Specification'!$L$15:$L$46,MATCH($A45,'System Specification'!$B$15:$B$46,0)),INDEX('System Specification'!$M$15:$M$46,MATCH($A45,'System Specification'!$B$15:$B$46,0)))</f>
        <v/>
      </c>
      <c r="H45" s="281" t="str">
        <f>IF('Microgrid Proposal'!J62="","",'Microgrid Proposal'!J62)</f>
        <v/>
      </c>
      <c r="I45" s="212" t="str">
        <f>IF('Microgrid Proposal'!K62="","",'Microgrid Proposal'!K62)</f>
        <v/>
      </c>
      <c r="J45" s="212" t="str">
        <f>IF('Microgrid Proposal'!L62="","",'Microgrid Proposal'!L62)</f>
        <v/>
      </c>
      <c r="K45" s="277" t="str">
        <f>IF('Microgrid Proposal'!M62="","",'Microgrid Proposal'!M62)</f>
        <v/>
      </c>
      <c r="L45" s="277" t="str">
        <f>IF('Microgrid Proposal'!N62="","",'Microgrid Proposal'!N62)</f>
        <v/>
      </c>
      <c r="M45" s="300" t="str">
        <f>IF('Microgrid Proposal'!O62="","",'Microgrid Proposal'!O62)</f>
        <v/>
      </c>
      <c r="N45" s="300" t="str">
        <f>IF('Microgrid Proposal'!P62="","",'Microgrid Proposal'!P62)</f>
        <v/>
      </c>
      <c r="O45" s="300" t="str">
        <f>IF('Microgrid Proposal'!Q62="","",'Microgrid Proposal'!Q62)</f>
        <v/>
      </c>
      <c r="P45" s="301" t="str">
        <f>IF('Microgrid Proposal'!R62="","",'Microgrid Proposal'!R62)</f>
        <v/>
      </c>
      <c r="Q45" s="281" t="str">
        <f>IF('Solar+Storage Proposal'!J62="","",'Solar+Storage Proposal'!J62)</f>
        <v/>
      </c>
      <c r="R45" s="212" t="str">
        <f>IF('Solar+Storage Proposal'!K62="","",'Solar+Storage Proposal'!K62)</f>
        <v/>
      </c>
      <c r="S45" s="212" t="str">
        <f>IF('Solar+Storage Proposal'!L62="","",'Solar+Storage Proposal'!L62)</f>
        <v/>
      </c>
      <c r="T45" s="277" t="str">
        <f>IF('Solar+Storage Proposal'!M62="","",'Solar+Storage Proposal'!M62)</f>
        <v/>
      </c>
      <c r="U45" s="277" t="str">
        <f>IF('Solar+Storage Proposal'!N62="","",'Solar+Storage Proposal'!N62)</f>
        <v/>
      </c>
      <c r="V45" s="300" t="str">
        <f>IF('Solar+Storage Proposal'!O62="","",'Solar+Storage Proposal'!O62)</f>
        <v/>
      </c>
      <c r="W45" s="300" t="str">
        <f>IF('Solar+Storage Proposal'!P62="","",'Solar+Storage Proposal'!P62)</f>
        <v/>
      </c>
      <c r="X45" s="300" t="str">
        <f>IF('Solar+Storage Proposal'!Q62="","",'Solar+Storage Proposal'!Q62)</f>
        <v/>
      </c>
      <c r="Y45" s="301" t="str">
        <f>IF('Solar+Storage Proposal'!R62="","",'Solar+Storage Proposal'!R62)</f>
        <v/>
      </c>
      <c r="Z45" s="281" t="str">
        <f>IF('Solar-Only Proposal'!I62="","",'Solar-Only Proposal'!I62)</f>
        <v/>
      </c>
      <c r="AA45" s="212" t="str">
        <f>IF('Solar-Only Proposal'!J62="","",'Solar-Only Proposal'!J62)</f>
        <v/>
      </c>
      <c r="AB45" s="212" t="str">
        <f>IF('Solar-Only Proposal'!K62="","",'Solar-Only Proposal'!K62)</f>
        <v/>
      </c>
      <c r="AC45" s="277" t="str">
        <f>IF('Solar-Only Proposal'!L62="","",'Solar-Only Proposal'!L62)</f>
        <v/>
      </c>
      <c r="AD45" s="277" t="str">
        <f>IF('Solar-Only Proposal'!M62="","",'Solar-Only Proposal'!M62)</f>
        <v/>
      </c>
      <c r="AE45" s="300" t="str">
        <f>IF('Solar-Only Proposal'!N62="","",'Solar-Only Proposal'!N62)</f>
        <v/>
      </c>
      <c r="AF45" s="300" t="str">
        <f>IF('Solar-Only Proposal'!O62="","",'Solar-Only Proposal'!O62)</f>
        <v/>
      </c>
      <c r="AG45" s="300" t="str">
        <f>IF('Solar-Only Proposal'!P62="","",'Solar-Only Proposal'!P62)</f>
        <v/>
      </c>
      <c r="AH45" s="301" t="str">
        <f>IF('Solar-Only Proposal'!Q62="","",'Solar-Only Proposal'!Q62)</f>
        <v/>
      </c>
    </row>
    <row r="46" spans="1:34" ht="15.6" thickBot="1" x14ac:dyDescent="0.6">
      <c r="C46" s="94" t="s">
        <v>256</v>
      </c>
      <c r="D46" s="94"/>
      <c r="E46" s="381">
        <f>SUM(E14:E45)</f>
        <v>0</v>
      </c>
      <c r="F46" s="206">
        <f>SUM(F14:F45)</f>
        <v>0</v>
      </c>
      <c r="G46" s="219"/>
      <c r="H46" s="282" t="e">
        <f>IF('Microgrid Proposal'!J63="","",'Microgrid Proposal'!J63)</f>
        <v>#DIV/0!</v>
      </c>
      <c r="I46" s="213">
        <f>IF('Microgrid Proposal'!K63="","",'Microgrid Proposal'!K63)</f>
        <v>0</v>
      </c>
      <c r="J46" s="213">
        <f>IF('Microgrid Proposal'!L63="","",'Microgrid Proposal'!L63)</f>
        <v>0</v>
      </c>
      <c r="K46" s="304" t="e">
        <f>IF('Microgrid Proposal'!M63="","",'Microgrid Proposal'!M63)</f>
        <v>#DIV/0!</v>
      </c>
      <c r="L46" s="304" t="e">
        <f>IF('Microgrid Proposal'!N63="","",'Microgrid Proposal'!N63)</f>
        <v>#DIV/0!</v>
      </c>
      <c r="M46" s="213">
        <f>IF('Microgrid Proposal'!O63="","",'Microgrid Proposal'!O63)</f>
        <v>0</v>
      </c>
      <c r="N46" s="278" t="e">
        <f>IF('Microgrid Proposal'!P63="","",'Microgrid Proposal'!P63)</f>
        <v>#DIV/0!</v>
      </c>
      <c r="O46" s="278" t="e">
        <f>IF('Microgrid Proposal'!Q63="","",'Microgrid Proposal'!Q63)</f>
        <v>#DIV/0!</v>
      </c>
      <c r="P46" s="214" t="str">
        <f>IF('Microgrid Proposal'!R63="","",'Microgrid Proposal'!R63)</f>
        <v/>
      </c>
      <c r="Q46" s="282" t="e">
        <f>IF('Solar+Storage Proposal'!J63="","",'Solar+Storage Proposal'!J63)</f>
        <v>#DIV/0!</v>
      </c>
      <c r="R46" s="213">
        <f>IF('Solar+Storage Proposal'!K63="","",'Solar+Storage Proposal'!K63)</f>
        <v>0</v>
      </c>
      <c r="S46" s="213">
        <f>IF('Solar+Storage Proposal'!L63="","",'Solar+Storage Proposal'!L63)</f>
        <v>0</v>
      </c>
      <c r="T46" s="213" t="e">
        <f>IF('Solar+Storage Proposal'!M63="","",'Solar+Storage Proposal'!M63)</f>
        <v>#DIV/0!</v>
      </c>
      <c r="U46" s="213" t="e">
        <f>IF('Solar+Storage Proposal'!N63="","",'Solar+Storage Proposal'!N63)</f>
        <v>#DIV/0!</v>
      </c>
      <c r="V46" s="213">
        <f>IF('Solar+Storage Proposal'!O63="","",'Solar+Storage Proposal'!O63)</f>
        <v>0</v>
      </c>
      <c r="W46" s="278" t="e">
        <f>IF('Solar+Storage Proposal'!P63="","",'Solar+Storage Proposal'!P63)</f>
        <v>#DIV/0!</v>
      </c>
      <c r="X46" s="278" t="e">
        <f>IF('Solar+Storage Proposal'!Q63="","",'Solar+Storage Proposal'!Q63)</f>
        <v>#DIV/0!</v>
      </c>
      <c r="Y46" s="214" t="str">
        <f>IF('Solar+Storage Proposal'!R63="","",'Solar+Storage Proposal'!R63)</f>
        <v/>
      </c>
      <c r="Z46" s="282" t="e">
        <f>IF('Solar-Only Proposal'!I63="","",'Solar-Only Proposal'!I63)</f>
        <v>#DIV/0!</v>
      </c>
      <c r="AA46" s="213">
        <f>IF('Solar-Only Proposal'!J63="","",'Solar-Only Proposal'!J63)</f>
        <v>0</v>
      </c>
      <c r="AB46" s="213">
        <f>IF('Solar-Only Proposal'!K63="","",'Solar-Only Proposal'!K63)</f>
        <v>0</v>
      </c>
      <c r="AC46" s="213" t="e">
        <f>IF('Solar-Only Proposal'!L63="","",'Solar-Only Proposal'!L63)</f>
        <v>#DIV/0!</v>
      </c>
      <c r="AD46" s="213" t="e">
        <f>IF('Solar-Only Proposal'!M63="","",'Solar-Only Proposal'!M63)</f>
        <v>#DIV/0!</v>
      </c>
      <c r="AE46" s="213">
        <f>IF('Solar-Only Proposal'!N63="","",'Solar-Only Proposal'!N63)</f>
        <v>0</v>
      </c>
      <c r="AF46" s="278" t="e">
        <f>IF('Solar-Only Proposal'!O63="","",'Solar-Only Proposal'!O63)</f>
        <v>#DIV/0!</v>
      </c>
      <c r="AG46" s="278" t="e">
        <f>IF('Solar-Only Proposal'!P63="","",'Solar-Only Proposal'!P63)</f>
        <v>#DIV/0!</v>
      </c>
      <c r="AH46" s="214" t="str">
        <f>IF('Solar-Only Proposal'!Q63="","",'Solar-Only Proposal'!Q63)</f>
        <v/>
      </c>
    </row>
    <row r="47" spans="1:34" ht="15.3" x14ac:dyDescent="0.55000000000000004">
      <c r="A47" s="103"/>
    </row>
    <row r="48" spans="1:34" ht="24.9" x14ac:dyDescent="0.8">
      <c r="A48" s="92" t="s">
        <v>266</v>
      </c>
    </row>
    <row r="49" spans="1:6" ht="18.600000000000001" thickBot="1" x14ac:dyDescent="0.75">
      <c r="A49" s="207"/>
      <c r="B49" s="208"/>
      <c r="C49" s="208"/>
      <c r="D49" s="208"/>
    </row>
    <row r="50" spans="1:6" ht="18.600000000000001" thickBot="1" x14ac:dyDescent="0.75">
      <c r="A50" s="207"/>
      <c r="B50" s="208"/>
      <c r="C50" s="208"/>
      <c r="D50" s="208"/>
      <c r="E50" s="504" t="s">
        <v>379</v>
      </c>
      <c r="F50" s="505"/>
    </row>
    <row r="51" spans="1:6" ht="29.1" thickBot="1" x14ac:dyDescent="0.55000000000000004">
      <c r="A51" s="177" t="str">
        <f>'Site Data'!A5</f>
        <v>Site Number</v>
      </c>
      <c r="B51" s="492" t="str">
        <f>'Site Data'!B5</f>
        <v>Site Name</v>
      </c>
      <c r="C51" s="492" t="str">
        <f>'Site Data'!C5</f>
        <v>Site ID</v>
      </c>
      <c r="D51" s="383" t="str">
        <f>'Site Data'!C5</f>
        <v>Site ID</v>
      </c>
      <c r="E51" s="60" t="s">
        <v>253</v>
      </c>
      <c r="F51" s="70" t="s">
        <v>380</v>
      </c>
    </row>
    <row r="52" spans="1:6" ht="15.3" x14ac:dyDescent="0.55000000000000004">
      <c r="A52" s="203">
        <v>1</v>
      </c>
      <c r="B52" s="481" t="str">
        <f>INDEX(Site_Data_Table,MATCH($A52,'Site Data'!$A$5:$A$37,0),MATCH(B$13,Site_Data_Column_Names,0))</f>
        <v>Fremont Hall of Justice</v>
      </c>
      <c r="C52" s="482"/>
      <c r="D52" s="384" t="str">
        <f>INDEX(Site_Data_Table,MATCH($A52,'Site Data'!$A$5:$A$37,0),MATCH(D$13,Site_Data_Column_Names,0))</f>
        <v>01-H1</v>
      </c>
      <c r="E52" s="386">
        <f>IF('BESS Savings'!L11="","",'BESS Savings'!L11)</f>
        <v>0</v>
      </c>
      <c r="F52" s="387">
        <f>IF('BESS Savings'!O11="","",'BESS Savings'!O11)</f>
        <v>0</v>
      </c>
    </row>
    <row r="53" spans="1:6" ht="15.3" x14ac:dyDescent="0.55000000000000004">
      <c r="A53" s="203">
        <v>2</v>
      </c>
      <c r="B53" s="481" t="str">
        <f>INDEX(Site_Data_Table,MATCH($A53,'Site Data'!$A$5:$A$37,0),MATCH(B$13,Site_Data_Column_Names,0))</f>
        <v>Amador Superior Court</v>
      </c>
      <c r="C53" s="482"/>
      <c r="D53" s="384" t="str">
        <f>INDEX(Site_Data_Table,MATCH($A53,'Site Data'!$A$5:$A$37,0),MATCH(D$13,Site_Data_Column_Names,0))</f>
        <v>03-C1</v>
      </c>
      <c r="E53" s="388">
        <f>IF('BESS Savings'!L12="","",'BESS Savings'!L12)</f>
        <v>0</v>
      </c>
      <c r="F53" s="389">
        <f>IF('BESS Savings'!O12="","",'BESS Savings'!O12)</f>
        <v>0</v>
      </c>
    </row>
    <row r="54" spans="1:6" ht="15.3" x14ac:dyDescent="0.55000000000000004">
      <c r="A54" s="203">
        <v>3</v>
      </c>
      <c r="B54" s="481" t="str">
        <f>INDEX(Site_Data_Table,MATCH($A54,'Site Data'!$A$5:$A$37,0),MATCH(B$13,Site_Data_Column_Names,0))</f>
        <v>North Butte County Courthouse</v>
      </c>
      <c r="C54" s="482"/>
      <c r="D54" s="384" t="str">
        <f>INDEX(Site_Data_Table,MATCH($A54,'Site Data'!$A$5:$A$37,0),MATCH(D$13,Site_Data_Column_Names,0))</f>
        <v>04-F1</v>
      </c>
      <c r="E54" s="388">
        <f>IF('BESS Savings'!L13="","",'BESS Savings'!L13)</f>
        <v>0</v>
      </c>
      <c r="F54" s="389">
        <f>IF('BESS Savings'!O13="","",'BESS Savings'!O13)</f>
        <v>0</v>
      </c>
    </row>
    <row r="55" spans="1:6" ht="15.3" x14ac:dyDescent="0.55000000000000004">
      <c r="A55" s="203">
        <v>4</v>
      </c>
      <c r="B55" s="481" t="str">
        <f>INDEX(Site_Data_Table,MATCH($A55,'Site Data'!$A$5:$A$37,0),MATCH(B$13,Site_Data_Column_Names,0))</f>
        <v>Bray Courts</v>
      </c>
      <c r="C55" s="482"/>
      <c r="D55" s="384" t="str">
        <f>INDEX(Site_Data_Table,MATCH($A55,'Site Data'!$A$5:$A$37,0),MATCH(D$13,Site_Data_Column_Names,0))</f>
        <v>07-A3</v>
      </c>
      <c r="E55" s="388">
        <f>IF('BESS Savings'!L14="","",'BESS Savings'!L14)</f>
        <v>0</v>
      </c>
      <c r="F55" s="389">
        <f>IF('BESS Savings'!O14="","",'BESS Savings'!O14)</f>
        <v>0</v>
      </c>
    </row>
    <row r="56" spans="1:6" ht="15.3" x14ac:dyDescent="0.55000000000000004">
      <c r="A56" s="203">
        <v>5</v>
      </c>
      <c r="B56" s="481" t="str">
        <f>INDEX(Site_Data_Table,MATCH($A56,'Site Data'!$A$5:$A$37,0),MATCH(B$13,Site_Data_Column_Names,0))</f>
        <v>Richard E. Arnason Justice Center</v>
      </c>
      <c r="C56" s="482"/>
      <c r="D56" s="384" t="str">
        <f>INDEX(Site_Data_Table,MATCH($A56,'Site Data'!$A$5:$A$37,0),MATCH(D$13,Site_Data_Column_Names,0))</f>
        <v>07-E3</v>
      </c>
      <c r="E56" s="388">
        <f>IF('BESS Savings'!L15="","",'BESS Savings'!L15)</f>
        <v>0</v>
      </c>
      <c r="F56" s="389">
        <f>IF('BESS Savings'!O15="","",'BESS Savings'!O15)</f>
        <v>0</v>
      </c>
    </row>
    <row r="57" spans="1:6" ht="15.3" x14ac:dyDescent="0.55000000000000004">
      <c r="A57" s="203">
        <v>6</v>
      </c>
      <c r="B57" s="481" t="str">
        <f>INDEX(Site_Data_Table,MATCH($A57,'Site Data'!$A$5:$A$37,0),MATCH(B$13,Site_Data_Column_Names,0))</f>
        <v>Walnut Creek Courthouse</v>
      </c>
      <c r="C57" s="482"/>
      <c r="D57" s="384" t="str">
        <f>INDEX(Site_Data_Table,MATCH($A57,'Site Data'!$A$5:$A$37,0),MATCH(D$13,Site_Data_Column_Names,0))</f>
        <v>07-C1</v>
      </c>
      <c r="E57" s="388">
        <f>IF('BESS Savings'!L16="","",'BESS Savings'!L16)</f>
        <v>0</v>
      </c>
      <c r="F57" s="389">
        <f>IF('BESS Savings'!O16="","",'BESS Savings'!O16)</f>
        <v>0</v>
      </c>
    </row>
    <row r="58" spans="1:6" ht="15.3" x14ac:dyDescent="0.55000000000000004">
      <c r="A58" s="203">
        <v>7</v>
      </c>
      <c r="B58" s="481" t="str">
        <f>INDEX(Site_Data_Table,MATCH($A58,'Site Data'!$A$5:$A$37,0),MATCH(B$13,Site_Data_Column_Names,0))</f>
        <v>B. F. Sisk Courthouse</v>
      </c>
      <c r="C58" s="482"/>
      <c r="D58" s="384" t="str">
        <f>INDEX(Site_Data_Table,MATCH($A58,'Site Data'!$A$5:$A$37,0),MATCH(D$13,Site_Data_Column_Names,0))</f>
        <v>10-O1</v>
      </c>
      <c r="E58" s="388">
        <f>IF('BESS Savings'!L17="","",'BESS Savings'!L17)</f>
        <v>0</v>
      </c>
      <c r="F58" s="389">
        <f>IF('BESS Savings'!O17="","",'BESS Savings'!O17)</f>
        <v>0</v>
      </c>
    </row>
    <row r="59" spans="1:6" ht="15.3" x14ac:dyDescent="0.55000000000000004">
      <c r="A59" s="203">
        <v>8</v>
      </c>
      <c r="B59" s="481" t="str">
        <f>INDEX(Site_Data_Table,MATCH($A59,'Site Data'!$A$5:$A$37,0),MATCH(B$13,Site_Data_Column_Names,0))</f>
        <v>Imperial County Courthouse</v>
      </c>
      <c r="C59" s="482"/>
      <c r="D59" s="384" t="str">
        <f>INDEX(Site_Data_Table,MATCH($A59,'Site Data'!$A$5:$A$37,0),MATCH(D$13,Site_Data_Column_Names,0))</f>
        <v>13-A1</v>
      </c>
      <c r="E59" s="388">
        <f>IF('BESS Savings'!L18="","",'BESS Savings'!L18)</f>
        <v>0</v>
      </c>
      <c r="F59" s="389">
        <f>IF('BESS Savings'!O18="","",'BESS Savings'!O18)</f>
        <v>0</v>
      </c>
    </row>
    <row r="60" spans="1:6" ht="15.3" x14ac:dyDescent="0.55000000000000004">
      <c r="A60" s="203">
        <v>9</v>
      </c>
      <c r="B60" s="481" t="str">
        <f>INDEX(Site_Data_Table,MATCH($A60,'Site Data'!$A$5:$A$37,0),MATCH(B$13,Site_Data_Column_Names,0))</f>
        <v>Delano/North Kern Court</v>
      </c>
      <c r="C60" s="482"/>
      <c r="D60" s="384" t="str">
        <f>INDEX(Site_Data_Table,MATCH($A60,'Site Data'!$A$5:$A$37,0),MATCH(D$13,Site_Data_Column_Names,0))</f>
        <v>15-D1</v>
      </c>
      <c r="E60" s="388">
        <f>IF('BESS Savings'!L19="","",'BESS Savings'!L19)</f>
        <v>0</v>
      </c>
      <c r="F60" s="389">
        <f>IF('BESS Savings'!O19="","",'BESS Savings'!O19)</f>
        <v>0</v>
      </c>
    </row>
    <row r="61" spans="1:6" ht="15.3" x14ac:dyDescent="0.55000000000000004">
      <c r="A61" s="203">
        <v>10</v>
      </c>
      <c r="B61" s="481" t="str">
        <f>INDEX(Site_Data_Table,MATCH($A61,'Site Data'!$A$5:$A$37,0),MATCH(B$13,Site_Data_Column_Names,0))</f>
        <v>Kings Superior Court</v>
      </c>
      <c r="C61" s="482"/>
      <c r="D61" s="384" t="str">
        <f>INDEX(Site_Data_Table,MATCH($A61,'Site Data'!$A$5:$A$37,0),MATCH(D$13,Site_Data_Column_Names,0))</f>
        <v>16-A5</v>
      </c>
      <c r="E61" s="388">
        <f>IF('BESS Savings'!L20="","",'BESS Savings'!L20)</f>
        <v>0</v>
      </c>
      <c r="F61" s="389">
        <f>IF('BESS Savings'!O20="","",'BESS Savings'!O20)</f>
        <v>0</v>
      </c>
    </row>
    <row r="62" spans="1:6" ht="15.3" x14ac:dyDescent="0.55000000000000004">
      <c r="A62" s="203">
        <v>11</v>
      </c>
      <c r="B62" s="481" t="str">
        <f>INDEX(Site_Data_Table,MATCH($A62,'Site Data'!$A$5:$A$37,0),MATCH(B$13,Site_Data_Column_Names,0))</f>
        <v>Whittier Courthouse</v>
      </c>
      <c r="C62" s="482"/>
      <c r="D62" s="384" t="str">
        <f>INDEX(Site_Data_Table,MATCH($A62,'Site Data'!$A$5:$A$37,0),MATCH(D$13,Site_Data_Column_Names,0))</f>
        <v>19-AO1</v>
      </c>
      <c r="E62" s="388">
        <f>IF('BESS Savings'!L21="","",'BESS Savings'!L21)</f>
        <v>0</v>
      </c>
      <c r="F62" s="389">
        <f>IF('BESS Savings'!O21="","",'BESS Savings'!O21)</f>
        <v>0</v>
      </c>
    </row>
    <row r="63" spans="1:6" ht="15.3" x14ac:dyDescent="0.55000000000000004">
      <c r="A63" s="203">
        <v>12</v>
      </c>
      <c r="B63" s="481" t="str">
        <f>INDEX(Site_Data_Table,MATCH($A63,'Site Data'!$A$5:$A$37,0),MATCH(B$13,Site_Data_Column_Names,0))</f>
        <v>Santa Monica Courthouse</v>
      </c>
      <c r="C63" s="482"/>
      <c r="D63" s="384" t="str">
        <f>INDEX(Site_Data_Table,MATCH($A63,'Site Data'!$A$5:$A$37,0),MATCH(D$13,Site_Data_Column_Names,0))</f>
        <v>19-AP1</v>
      </c>
      <c r="E63" s="388">
        <f>IF('BESS Savings'!L22="","",'BESS Savings'!L22)</f>
        <v>0</v>
      </c>
      <c r="F63" s="389">
        <f>IF('BESS Savings'!O22="","",'BESS Savings'!O22)</f>
        <v>0</v>
      </c>
    </row>
    <row r="64" spans="1:6" ht="15.3" x14ac:dyDescent="0.55000000000000004">
      <c r="A64" s="203">
        <v>13</v>
      </c>
      <c r="B64" s="481" t="str">
        <f>INDEX(Site_Data_Table,MATCH($A64,'Site Data'!$A$5:$A$37,0),MATCH(B$13,Site_Data_Column_Names,0))</f>
        <v>Van Nuys Courthouse East</v>
      </c>
      <c r="C64" s="482"/>
      <c r="D64" s="384" t="str">
        <f>INDEX(Site_Data_Table,MATCH($A64,'Site Data'!$A$5:$A$37,0),MATCH(D$13,Site_Data_Column_Names,0))</f>
        <v>19-AX1</v>
      </c>
      <c r="E64" s="388">
        <f>IF('BESS Savings'!L23="","",'BESS Savings'!L23)</f>
        <v>0</v>
      </c>
      <c r="F64" s="389">
        <f>IF('BESS Savings'!O23="","",'BESS Savings'!O23)</f>
        <v>0</v>
      </c>
    </row>
    <row r="65" spans="1:6" ht="15.3" x14ac:dyDescent="0.55000000000000004">
      <c r="A65" s="203">
        <v>14</v>
      </c>
      <c r="B65" s="481" t="str">
        <f>INDEX(Site_Data_Table,MATCH($A65,'Site Data'!$A$5:$A$37,0),MATCH(B$13,Site_Data_Column_Names,0))</f>
        <v>Torrance Courthouse</v>
      </c>
      <c r="C65" s="482"/>
      <c r="D65" s="384" t="str">
        <f>INDEX(Site_Data_Table,MATCH($A65,'Site Data'!$A$5:$A$37,0),MATCH(D$13,Site_Data_Column_Names,0))</f>
        <v>19-C1</v>
      </c>
      <c r="E65" s="388">
        <f>IF('BESS Savings'!L24="","",'BESS Savings'!L24)</f>
        <v>0</v>
      </c>
      <c r="F65" s="389">
        <f>IF('BESS Savings'!O24="","",'BESS Savings'!O24)</f>
        <v>0</v>
      </c>
    </row>
    <row r="66" spans="1:6" ht="15.3" x14ac:dyDescent="0.55000000000000004">
      <c r="A66" s="203">
        <v>15</v>
      </c>
      <c r="B66" s="481" t="str">
        <f>INDEX(Site_Data_Table,MATCH($A66,'Site Data'!$A$5:$A$37,0),MATCH(B$13,Site_Data_Column_Names,0))</f>
        <v>Glendale Courthouse</v>
      </c>
      <c r="C66" s="482"/>
      <c r="D66" s="384" t="str">
        <f>INDEX(Site_Data_Table,MATCH($A66,'Site Data'!$A$5:$A$37,0),MATCH(D$13,Site_Data_Column_Names,0))</f>
        <v>19-H1</v>
      </c>
      <c r="E66" s="388">
        <f>IF('BESS Savings'!L25="","",'BESS Savings'!L25)</f>
        <v>0</v>
      </c>
      <c r="F66" s="389">
        <f>IF('BESS Savings'!O25="","",'BESS Savings'!O25)</f>
        <v>0</v>
      </c>
    </row>
    <row r="67" spans="1:6" ht="15.3" x14ac:dyDescent="0.55000000000000004">
      <c r="A67" s="203">
        <v>16</v>
      </c>
      <c r="B67" s="481" t="str">
        <f>INDEX(Site_Data_Table,MATCH($A67,'Site Data'!$A$5:$A$37,0),MATCH(B$13,Site_Data_Column_Names,0))</f>
        <v>Monrovia Training Center</v>
      </c>
      <c r="C67" s="482"/>
      <c r="D67" s="384" t="str">
        <f>INDEX(Site_Data_Table,MATCH($A67,'Site Data'!$A$5:$A$37,0),MATCH(D$13,Site_Data_Column_Names,0))</f>
        <v>19-N1</v>
      </c>
      <c r="E67" s="388">
        <f>IF('BESS Savings'!L26="","",'BESS Savings'!L26)</f>
        <v>0</v>
      </c>
      <c r="F67" s="389">
        <f>IF('BESS Savings'!O26="","",'BESS Savings'!O26)</f>
        <v>0</v>
      </c>
    </row>
    <row r="68" spans="1:6" ht="15.3" x14ac:dyDescent="0.55000000000000004">
      <c r="A68" s="203">
        <v>17</v>
      </c>
      <c r="B68" s="481" t="str">
        <f>INDEX(Site_Data_Table,MATCH($A68,'Site Data'!$A$5:$A$37,0),MATCH(B$13,Site_Data_Column_Names,0))</f>
        <v>Edmund D. Edelman Children's Court</v>
      </c>
      <c r="C68" s="482"/>
      <c r="D68" s="384" t="str">
        <f>INDEX(Site_Data_Table,MATCH($A68,'Site Data'!$A$5:$A$37,0),MATCH(D$13,Site_Data_Column_Names,0))</f>
        <v>19-Q1</v>
      </c>
      <c r="E68" s="388">
        <f>IF('BESS Savings'!L27="","",'BESS Savings'!L27)</f>
        <v>0</v>
      </c>
      <c r="F68" s="389">
        <f>IF('BESS Savings'!O27="","",'BESS Savings'!O27)</f>
        <v>0</v>
      </c>
    </row>
    <row r="69" spans="1:6" ht="15.3" x14ac:dyDescent="0.55000000000000004">
      <c r="A69" s="203">
        <v>18</v>
      </c>
      <c r="B69" s="481" t="str">
        <f>INDEX(Site_Data_Table,MATCH($A69,'Site Data'!$A$5:$A$37,0),MATCH(B$13,Site_Data_Column_Names,0))</f>
        <v>Hollywood Courthouse</v>
      </c>
      <c r="C69" s="482"/>
      <c r="D69" s="384" t="str">
        <f>INDEX(Site_Data_Table,MATCH($A69,'Site Data'!$A$5:$A$37,0),MATCH(D$13,Site_Data_Column_Names,0))</f>
        <v>19-S1</v>
      </c>
      <c r="E69" s="388">
        <f>IF('BESS Savings'!L28="","",'BESS Savings'!L28)</f>
        <v>0</v>
      </c>
      <c r="F69" s="389">
        <f>IF('BESS Savings'!O28="","",'BESS Savings'!O28)</f>
        <v>0</v>
      </c>
    </row>
    <row r="70" spans="1:6" ht="15.3" x14ac:dyDescent="0.55000000000000004">
      <c r="A70" s="203">
        <v>19</v>
      </c>
      <c r="B70" s="481" t="str">
        <f>INDEX(Site_Data_Table,MATCH($A70,'Site Data'!$A$5:$A$37,0),MATCH(B$13,Site_Data_Column_Names,0))</f>
        <v>Pomona Courthouse South</v>
      </c>
      <c r="C70" s="482"/>
      <c r="D70" s="384" t="str">
        <f>INDEX(Site_Data_Table,MATCH($A70,'Site Data'!$A$5:$A$37,0),MATCH(D$13,Site_Data_Column_Names,0))</f>
        <v>19-W1</v>
      </c>
      <c r="E70" s="388">
        <f>IF('BESS Savings'!L29="","",'BESS Savings'!L29)</f>
        <v>0</v>
      </c>
      <c r="F70" s="389">
        <f>IF('BESS Savings'!O29="","",'BESS Savings'!O29)</f>
        <v>0</v>
      </c>
    </row>
    <row r="71" spans="1:6" ht="15.3" x14ac:dyDescent="0.55000000000000004">
      <c r="A71" s="203">
        <v>20</v>
      </c>
      <c r="B71" s="481" t="str">
        <f>INDEX(Site_Data_Table,MATCH($A71,'Site Data'!$A$5:$A$37,0),MATCH(B$13,Site_Data_Column_Names,0))</f>
        <v>The Robert M. Falasco Justice Center</v>
      </c>
      <c r="C71" s="482"/>
      <c r="D71" s="384" t="str">
        <f>INDEX(Site_Data_Table,MATCH($A71,'Site Data'!$A$5:$A$37,0),MATCH(D$13,Site_Data_Column_Names,0))</f>
        <v>24-G1</v>
      </c>
      <c r="E71" s="388">
        <f>IF('BESS Savings'!L30="","",'BESS Savings'!L30)</f>
        <v>0</v>
      </c>
      <c r="F71" s="389">
        <f>IF('BESS Savings'!O30="","",'BESS Savings'!O30)</f>
        <v>0</v>
      </c>
    </row>
    <row r="72" spans="1:6" ht="15.3" x14ac:dyDescent="0.55000000000000004">
      <c r="A72" s="203">
        <v>21</v>
      </c>
      <c r="B72" s="481" t="str">
        <f>INDEX(Site_Data_Table,MATCH($A72,'Site Data'!$A$5:$A$37,0),MATCH(B$13,Site_Data_Column_Names,0))</f>
        <v>Mammoth Lakes Courthouse</v>
      </c>
      <c r="C72" s="482"/>
      <c r="D72" s="384" t="str">
        <f>INDEX(Site_Data_Table,MATCH($A72,'Site Data'!$A$5:$A$37,0),MATCH(D$13,Site_Data_Column_Names,0))</f>
        <v>26-B2</v>
      </c>
      <c r="E72" s="388">
        <f>IF('BESS Savings'!L31="","",'BESS Savings'!L31)</f>
        <v>0</v>
      </c>
      <c r="F72" s="389">
        <f>IF('BESS Savings'!O31="","",'BESS Savings'!O31)</f>
        <v>0</v>
      </c>
    </row>
    <row r="73" spans="1:6" ht="15.3" x14ac:dyDescent="0.55000000000000004">
      <c r="A73" s="203">
        <v>22</v>
      </c>
      <c r="B73" s="481" t="str">
        <f>INDEX(Site_Data_Table,MATCH($A73,'Site Data'!$A$5:$A$37,0),MATCH(B$13,Site_Data_Column_Names,0))</f>
        <v>Banning Justice Center</v>
      </c>
      <c r="C73" s="482"/>
      <c r="D73" s="384" t="str">
        <f>INDEX(Site_Data_Table,MATCH($A73,'Site Data'!$A$5:$A$37,0),MATCH(D$13,Site_Data_Column_Names,0))</f>
        <v>33-G4</v>
      </c>
      <c r="E73" s="388">
        <f>IF('BESS Savings'!L32="","",'BESS Savings'!L32)</f>
        <v>0</v>
      </c>
      <c r="F73" s="389">
        <f>IF('BESS Savings'!O32="","",'BESS Savings'!O32)</f>
        <v>0</v>
      </c>
    </row>
    <row r="74" spans="1:6" ht="15.3" x14ac:dyDescent="0.55000000000000004">
      <c r="A74" s="203">
        <v>23</v>
      </c>
      <c r="B74" s="481" t="str">
        <f>INDEX(Site_Data_Table,MATCH($A74,'Site Data'!$A$5:$A$37,0),MATCH(B$13,Site_Data_Column_Names,0))</f>
        <v>San Benito County Superior Court</v>
      </c>
      <c r="C74" s="482"/>
      <c r="D74" s="384" t="str">
        <f>INDEX(Site_Data_Table,MATCH($A74,'Site Data'!$A$5:$A$37,0),MATCH(D$13,Site_Data_Column_Names,0))</f>
        <v>35-C1</v>
      </c>
      <c r="E74" s="388">
        <f>IF('BESS Savings'!L33="","",'BESS Savings'!L33)</f>
        <v>0</v>
      </c>
      <c r="F74" s="389">
        <f>IF('BESS Savings'!O33="","",'BESS Savings'!O33)</f>
        <v>0</v>
      </c>
    </row>
    <row r="75" spans="1:6" ht="15.3" x14ac:dyDescent="0.55000000000000004">
      <c r="A75" s="203">
        <v>24</v>
      </c>
      <c r="B75" s="481" t="str">
        <f>INDEX(Site_Data_Table,MATCH($A75,'Site Data'!$A$5:$A$37,0),MATCH(B$13,Site_Data_Column_Names,0))</f>
        <v>San Bernardino Justice Center</v>
      </c>
      <c r="C75" s="482"/>
      <c r="D75" s="384" t="str">
        <f>INDEX(Site_Data_Table,MATCH($A75,'Site Data'!$A$5:$A$37,0),MATCH(D$13,Site_Data_Column_Names,0))</f>
        <v>36-R1</v>
      </c>
      <c r="E75" s="388">
        <f>IF('BESS Savings'!L34="","",'BESS Savings'!L34)</f>
        <v>0</v>
      </c>
      <c r="F75" s="389">
        <f>IF('BESS Savings'!O34="","",'BESS Savings'!O34)</f>
        <v>0</v>
      </c>
    </row>
    <row r="76" spans="1:6" ht="15.3" x14ac:dyDescent="0.55000000000000004">
      <c r="A76" s="203">
        <v>25</v>
      </c>
      <c r="B76" s="481" t="str">
        <f>INDEX(Site_Data_Table,MATCH($A76,'Site Data'!$A$5:$A$37,0),MATCH(B$13,Site_Data_Column_Names,0))</f>
        <v>Kearny Mesa Court</v>
      </c>
      <c r="C76" s="482"/>
      <c r="D76" s="384" t="str">
        <f>INDEX(Site_Data_Table,MATCH($A76,'Site Data'!$A$5:$A$37,0),MATCH(D$13,Site_Data_Column_Names,0))</f>
        <v>37-C1</v>
      </c>
      <c r="E76" s="388">
        <f>IF('BESS Savings'!L35="","",'BESS Savings'!L35)</f>
        <v>0</v>
      </c>
      <c r="F76" s="389">
        <f>IF('BESS Savings'!O35="","",'BESS Savings'!O35)</f>
        <v>0</v>
      </c>
    </row>
    <row r="77" spans="1:6" ht="15.3" x14ac:dyDescent="0.55000000000000004">
      <c r="A77" s="203">
        <v>26</v>
      </c>
      <c r="B77" s="481" t="str">
        <f>INDEX(Site_Data_Table,MATCH($A77,'Site Data'!$A$5:$A$37,0),MATCH(B$13,Site_Data_Column_Names,0))</f>
        <v>East County Regional Center</v>
      </c>
      <c r="C77" s="482"/>
      <c r="D77" s="384" t="str">
        <f>INDEX(Site_Data_Table,MATCH($A77,'Site Data'!$A$5:$A$37,0),MATCH(D$13,Site_Data_Column_Names,0))</f>
        <v>37-I1</v>
      </c>
      <c r="E77" s="388">
        <f>IF('BESS Savings'!L36="","",'BESS Savings'!L36)</f>
        <v>0</v>
      </c>
      <c r="F77" s="389">
        <f>IF('BESS Savings'!O36="","",'BESS Savings'!O36)</f>
        <v>0</v>
      </c>
    </row>
    <row r="78" spans="1:6" ht="15.3" x14ac:dyDescent="0.55000000000000004">
      <c r="A78" s="203">
        <v>27</v>
      </c>
      <c r="B78" s="481" t="str">
        <f>INDEX(Site_Data_Table,MATCH($A78,'Site Data'!$A$5:$A$37,0),MATCH(B$13,Site_Data_Column_Names,0))</f>
        <v>Northern Branch Courthouse</v>
      </c>
      <c r="C78" s="482"/>
      <c r="D78" s="384" t="str">
        <f>INDEX(Site_Data_Table,MATCH($A78,'Site Data'!$A$5:$A$37,0),MATCH(D$13,Site_Data_Column_Names,0))</f>
        <v>41-C1</v>
      </c>
      <c r="E78" s="388">
        <f>IF('BESS Savings'!L37="","",'BESS Savings'!L37)</f>
        <v>0</v>
      </c>
      <c r="F78" s="389">
        <f>IF('BESS Savings'!O37="","",'BESS Savings'!O37)</f>
        <v>0</v>
      </c>
    </row>
    <row r="79" spans="1:6" ht="15.3" x14ac:dyDescent="0.55000000000000004">
      <c r="A79" s="203">
        <v>28</v>
      </c>
      <c r="B79" s="481" t="str">
        <f>INDEX(Site_Data_Table,MATCH($A79,'Site Data'!$A$5:$A$37,0),MATCH(B$13,Site_Data_Column_Names,0))</f>
        <v>Downtown Superior Court</v>
      </c>
      <c r="C79" s="482"/>
      <c r="D79" s="384" t="str">
        <f>INDEX(Site_Data_Table,MATCH($A79,'Site Data'!$A$5:$A$37,0),MATCH(D$13,Site_Data_Column_Names,0))</f>
        <v>43-B1</v>
      </c>
      <c r="E79" s="388">
        <f>IF('BESS Savings'!L38="","",'BESS Savings'!L38)</f>
        <v>0</v>
      </c>
      <c r="F79" s="389">
        <f>IF('BESS Savings'!O38="","",'BESS Savings'!O38)</f>
        <v>0</v>
      </c>
    </row>
    <row r="80" spans="1:6" ht="15.3" x14ac:dyDescent="0.55000000000000004">
      <c r="A80" s="203">
        <v>29</v>
      </c>
      <c r="B80" s="481" t="str">
        <f>INDEX(Site_Data_Table,MATCH($A80,'Site Data'!$A$5:$A$37,0),MATCH(B$13,Site_Data_Column_Names,0))</f>
        <v>Sutter County Superior Courthouse</v>
      </c>
      <c r="C80" s="482"/>
      <c r="D80" s="384" t="str">
        <f>INDEX(Site_Data_Table,MATCH($A80,'Site Data'!$A$5:$A$37,0),MATCH(D$13,Site_Data_Column_Names,0))</f>
        <v>51-C1</v>
      </c>
      <c r="E80" s="388">
        <f>IF('BESS Savings'!L39="","",'BESS Savings'!L39)</f>
        <v>0</v>
      </c>
      <c r="F80" s="389">
        <f>IF('BESS Savings'!O39="","",'BESS Savings'!O39)</f>
        <v>0</v>
      </c>
    </row>
    <row r="81" spans="1:6" ht="15.3" x14ac:dyDescent="0.55000000000000004">
      <c r="A81" s="203">
        <v>30</v>
      </c>
      <c r="B81" s="481" t="str">
        <f>INDEX(Site_Data_Table,MATCH($A81,'Site Data'!$A$5:$A$37,0),MATCH(B$13,Site_Data_Column_Names,0))</f>
        <v>Tehama County Courthouse</v>
      </c>
      <c r="C81" s="482"/>
      <c r="D81" s="384" t="str">
        <f>INDEX(Site_Data_Table,MATCH($A81,'Site Data'!$A$5:$A$37,0),MATCH(D$13,Site_Data_Column_Names,0))</f>
        <v>52-E1</v>
      </c>
      <c r="E81" s="388">
        <f>IF('BESS Savings'!L40="","",'BESS Savings'!L40)</f>
        <v>0</v>
      </c>
      <c r="F81" s="389">
        <f>IF('BESS Savings'!O40="","",'BESS Savings'!O40)</f>
        <v>0</v>
      </c>
    </row>
    <row r="82" spans="1:6" ht="15.3" x14ac:dyDescent="0.55000000000000004">
      <c r="A82" s="203">
        <v>31</v>
      </c>
      <c r="B82" s="481" t="str">
        <f>INDEX(Site_Data_Table,MATCH($A82,'Site Data'!$A$5:$A$37,0),MATCH(B$13,Site_Data_Column_Names,0))</f>
        <v>South County Justice Center</v>
      </c>
      <c r="C82" s="482"/>
      <c r="D82" s="384" t="str">
        <f>INDEX(Site_Data_Table,MATCH($A82,'Site Data'!$A$5:$A$37,0),MATCH(D$13,Site_Data_Column_Names,0))</f>
        <v>54-I1</v>
      </c>
      <c r="E82" s="388">
        <f>IF('BESS Savings'!L41="","",'BESS Savings'!L41)</f>
        <v>0</v>
      </c>
      <c r="F82" s="389">
        <f>IF('BESS Savings'!O41="","",'BESS Savings'!O41)</f>
        <v>0</v>
      </c>
    </row>
    <row r="83" spans="1:6" ht="15.6" thickBot="1" x14ac:dyDescent="0.6">
      <c r="A83" s="96">
        <v>32</v>
      </c>
      <c r="B83" s="488" t="str">
        <f>INDEX(Site_Data_Table,MATCH($A83,'Site Data'!$A$5:$A$37,0),MATCH(B$13,Site_Data_Column_Names,0))</f>
        <v>Yolo Superior Court</v>
      </c>
      <c r="C83" s="489"/>
      <c r="D83" s="385" t="str">
        <f>INDEX(Site_Data_Table,MATCH($A83,'Site Data'!$A$5:$A$37,0),MATCH(D$13,Site_Data_Column_Names,0))</f>
        <v>57-A10</v>
      </c>
      <c r="E83" s="390">
        <f>IF('BESS Savings'!L42="","",'BESS Savings'!L42)</f>
        <v>0</v>
      </c>
      <c r="F83" s="391">
        <f>IF('BESS Savings'!O42="","",'BESS Savings'!O42)</f>
        <v>0</v>
      </c>
    </row>
    <row r="84" spans="1:6" ht="15.6" thickBot="1" x14ac:dyDescent="0.6">
      <c r="C84" s="94" t="s">
        <v>256</v>
      </c>
      <c r="D84" s="94"/>
      <c r="E84" s="381">
        <f>IF('BESS Savings'!L43="","",'BESS Savings'!L43)</f>
        <v>0</v>
      </c>
      <c r="F84" s="382">
        <f>IF('BESS Savings'!O43="","",'BESS Savings'!O43)</f>
        <v>0</v>
      </c>
    </row>
    <row r="86" spans="1:6" ht="24.9" x14ac:dyDescent="0.8">
      <c r="A86" s="92" t="s">
        <v>331</v>
      </c>
    </row>
    <row r="87" spans="1:6" x14ac:dyDescent="0.5">
      <c r="A87" s="480" t="str">
        <f>PeGu!A9</f>
        <v>Production Guarantee (PeGu) Assumptions</v>
      </c>
      <c r="B87" s="480"/>
      <c r="C87" s="480"/>
      <c r="D87" s="480"/>
      <c r="E87" s="480"/>
    </row>
    <row r="88" spans="1:6" ht="15.3" x14ac:dyDescent="0.55000000000000004">
      <c r="A88" s="479" t="str">
        <f>PeGu!A10</f>
        <v>Year-1 Production Degradation (%)</v>
      </c>
      <c r="B88" s="479"/>
      <c r="C88" s="479"/>
      <c r="D88" s="479"/>
      <c r="E88" s="325">
        <f>PeGu!E10</f>
        <v>0</v>
      </c>
    </row>
    <row r="89" spans="1:6" ht="15.3" x14ac:dyDescent="0.55000000000000004">
      <c r="A89" s="479" t="str">
        <f>PeGu!A11</f>
        <v>Years 2-25 Production Degradation (%)</v>
      </c>
      <c r="B89" s="479"/>
      <c r="C89" s="479"/>
      <c r="D89" s="479"/>
      <c r="E89" s="325">
        <f>PeGu!E11</f>
        <v>0</v>
      </c>
    </row>
    <row r="90" spans="1:6" ht="15.3" x14ac:dyDescent="0.55000000000000004">
      <c r="A90" s="479" t="str">
        <f>PeGu!A12</f>
        <v>Production Guarantee (% of Expected Production, min 90%)</v>
      </c>
      <c r="B90" s="479"/>
      <c r="C90" s="479"/>
      <c r="D90" s="479"/>
      <c r="E90" s="326">
        <f>PeGu!E12</f>
        <v>0</v>
      </c>
    </row>
    <row r="91" spans="1:6" ht="15.3" x14ac:dyDescent="0.55000000000000004">
      <c r="A91" s="479" t="str">
        <f>PeGu!A13</f>
        <v>True-up Term</v>
      </c>
      <c r="B91" s="479"/>
      <c r="C91" s="479"/>
      <c r="D91" s="479"/>
      <c r="E91" s="335">
        <f>PeGu!E13</f>
        <v>1</v>
      </c>
    </row>
    <row r="92" spans="1:6" ht="15.3" x14ac:dyDescent="0.55000000000000004">
      <c r="A92" s="479" t="str">
        <f>PeGu!A14</f>
        <v>Shortfall Payment Rate, Year 1 ($/kWh)</v>
      </c>
      <c r="B92" s="479"/>
      <c r="C92" s="479"/>
      <c r="D92" s="479"/>
      <c r="E92" s="375">
        <f>PeGu!E14</f>
        <v>0.05</v>
      </c>
    </row>
    <row r="93" spans="1:6" ht="15.3" x14ac:dyDescent="0.55000000000000004">
      <c r="A93" s="479" t="str">
        <f>PeGu!A15</f>
        <v>Shortfall Payment Rate, Annual Escalation</v>
      </c>
      <c r="B93" s="479"/>
      <c r="C93" s="479"/>
      <c r="D93" s="479"/>
      <c r="E93" s="334">
        <f>PeGu!E15</f>
        <v>0.03</v>
      </c>
    </row>
    <row r="94" spans="1:6" ht="15.3" x14ac:dyDescent="0.55000000000000004">
      <c r="A94" s="479" t="str">
        <f>PeGu!A16</f>
        <v>Availability Guarantee (% of annual hours, min 95%) for SEL</v>
      </c>
      <c r="B94" s="479"/>
      <c r="C94" s="479"/>
      <c r="D94" s="479"/>
      <c r="E94" s="334">
        <f>PeGu!E16</f>
        <v>0</v>
      </c>
    </row>
    <row r="96" spans="1:6" ht="24.9" x14ac:dyDescent="0.8">
      <c r="A96" s="92" t="s">
        <v>367</v>
      </c>
    </row>
    <row r="97" spans="1:12" x14ac:dyDescent="0.5">
      <c r="A97" s="480" t="str">
        <f>PeGu!G9</f>
        <v>Capacity Guarantee Assumptions</v>
      </c>
      <c r="B97" s="480"/>
      <c r="C97" s="480"/>
      <c r="D97" s="480"/>
      <c r="E97" s="480"/>
    </row>
    <row r="98" spans="1:12" ht="15.3" x14ac:dyDescent="0.55000000000000004">
      <c r="A98" s="479" t="str">
        <f>PeGu!G10</f>
        <v>Average Annual Degradation (%)</v>
      </c>
      <c r="B98" s="479"/>
      <c r="C98" s="479"/>
      <c r="D98" s="479"/>
      <c r="E98" s="325">
        <f>PeGu!K10</f>
        <v>0</v>
      </c>
    </row>
    <row r="99" spans="1:12" ht="15.3" x14ac:dyDescent="0.55000000000000004">
      <c r="A99" s="479" t="str">
        <f>PeGu!G11</f>
        <v>Capacity Guarantee (% of Rated Capacity)</v>
      </c>
      <c r="B99" s="479"/>
      <c r="C99" s="479"/>
      <c r="D99" s="479"/>
      <c r="E99" s="326">
        <f>PeGu!K11</f>
        <v>0</v>
      </c>
    </row>
    <row r="100" spans="1:12" ht="15.3" x14ac:dyDescent="0.55000000000000004">
      <c r="A100" s="479" t="str">
        <f>PeGu!G12</f>
        <v>Shortfall Payment Rate, Year 1 ($/kWh-capacity)</v>
      </c>
      <c r="B100" s="479"/>
      <c r="C100" s="479"/>
      <c r="D100" s="479"/>
      <c r="E100" s="375">
        <f>PeGu!K12</f>
        <v>0</v>
      </c>
    </row>
    <row r="101" spans="1:12" ht="15.3" x14ac:dyDescent="0.55000000000000004">
      <c r="A101" s="479" t="str">
        <f>PeGu!G13</f>
        <v>Shortfall Payment Rate, Annual Escalation</v>
      </c>
      <c r="B101" s="479"/>
      <c r="C101" s="479"/>
      <c r="D101" s="479"/>
      <c r="E101" s="334">
        <f>PeGu!K13</f>
        <v>0.03</v>
      </c>
    </row>
    <row r="102" spans="1:12" ht="15.3" x14ac:dyDescent="0.55000000000000004">
      <c r="A102" s="478"/>
      <c r="B102" s="478"/>
      <c r="C102" s="478"/>
      <c r="D102" s="478"/>
      <c r="E102" s="376"/>
    </row>
    <row r="103" spans="1:12" ht="111.75" customHeight="1" x14ac:dyDescent="0.5">
      <c r="A103" s="486" t="s">
        <v>257</v>
      </c>
      <c r="B103" s="486"/>
      <c r="C103" s="486"/>
      <c r="D103" s="486"/>
      <c r="E103" s="486"/>
      <c r="F103" s="486"/>
      <c r="G103" s="486"/>
      <c r="H103" s="486"/>
      <c r="I103" s="486"/>
      <c r="J103" s="486"/>
      <c r="L103" s="279"/>
    </row>
    <row r="105" spans="1:12" ht="15.6" x14ac:dyDescent="0.6">
      <c r="B105" s="98" t="s">
        <v>258</v>
      </c>
      <c r="C105" s="485">
        <f>Vendor_Name</f>
        <v>0</v>
      </c>
      <c r="D105" s="485"/>
      <c r="E105" s="485"/>
      <c r="F105" s="485"/>
      <c r="G105" s="485"/>
      <c r="H105" s="485"/>
      <c r="I105" s="485"/>
    </row>
    <row r="106" spans="1:12" ht="23.25" customHeight="1" x14ac:dyDescent="0.6">
      <c r="B106" s="98" t="s">
        <v>259</v>
      </c>
      <c r="C106" s="484"/>
      <c r="D106" s="484"/>
      <c r="E106" s="484"/>
      <c r="F106" s="484"/>
      <c r="G106" s="484"/>
      <c r="H106" s="484"/>
      <c r="I106" s="484"/>
    </row>
    <row r="107" spans="1:12" ht="23.25" customHeight="1" x14ac:dyDescent="0.6">
      <c r="B107" s="98" t="s">
        <v>260</v>
      </c>
      <c r="C107" s="484"/>
      <c r="D107" s="484"/>
      <c r="E107" s="484"/>
      <c r="F107" s="484"/>
      <c r="G107" s="484"/>
      <c r="H107" s="484"/>
      <c r="I107" s="484"/>
    </row>
    <row r="108" spans="1:12" ht="15.6" x14ac:dyDescent="0.6">
      <c r="B108" s="82"/>
      <c r="C108" s="99" t="s">
        <v>261</v>
      </c>
      <c r="D108" s="99"/>
      <c r="E108" s="82"/>
      <c r="F108" s="82"/>
      <c r="G108" s="82"/>
      <c r="H108" s="82"/>
      <c r="I108" s="82"/>
    </row>
    <row r="109" spans="1:12" ht="15.6" x14ac:dyDescent="0.6">
      <c r="B109" s="98"/>
      <c r="C109" s="82"/>
      <c r="D109" s="82"/>
      <c r="E109" s="82"/>
      <c r="F109" s="82"/>
      <c r="G109" s="82"/>
      <c r="H109" s="82"/>
      <c r="I109" s="82"/>
    </row>
    <row r="110" spans="1:12" ht="42" customHeight="1" x14ac:dyDescent="0.6">
      <c r="B110" s="98" t="s">
        <v>262</v>
      </c>
      <c r="C110" s="487"/>
      <c r="D110" s="487"/>
      <c r="E110" s="487"/>
      <c r="F110" s="487"/>
      <c r="G110" s="487"/>
      <c r="H110" s="487"/>
      <c r="I110" s="487"/>
    </row>
    <row r="111" spans="1:12" ht="23.25" customHeight="1" x14ac:dyDescent="0.6">
      <c r="B111" s="98" t="s">
        <v>263</v>
      </c>
      <c r="C111" s="483"/>
      <c r="D111" s="483"/>
      <c r="E111" s="483"/>
      <c r="F111" s="483"/>
      <c r="G111" s="483"/>
      <c r="H111" s="483"/>
      <c r="I111" s="483"/>
    </row>
    <row r="112" spans="1:12" ht="23.25" customHeight="1" x14ac:dyDescent="0.6">
      <c r="B112" s="98" t="s">
        <v>264</v>
      </c>
      <c r="C112" s="483"/>
      <c r="D112" s="483"/>
      <c r="E112" s="483"/>
      <c r="F112" s="483"/>
      <c r="G112" s="483"/>
      <c r="H112" s="483"/>
      <c r="I112" s="483"/>
    </row>
    <row r="113" spans="2:9" ht="23.25" customHeight="1" x14ac:dyDescent="0.6">
      <c r="B113" s="98" t="s">
        <v>265</v>
      </c>
      <c r="C113" s="483"/>
      <c r="D113" s="483"/>
      <c r="E113" s="483"/>
      <c r="F113" s="483"/>
      <c r="G113" s="483"/>
      <c r="H113" s="483"/>
      <c r="I113" s="483"/>
    </row>
  </sheetData>
  <sheetProtection algorithmName="SHA-512" hashValue="cmb8PsWqg2haYASTZHsv/ZCpIBVGILqyu+ue3A4x7WBKlHwTFNeHejomD9ukUy+PRmMzYPQNDofqutkoF4CPsg==" saltValue="Dhy/sG4IY6yjjgvRakFOLQ==" spinCount="100000" sheet="1" objects="1" scenarios="1"/>
  <mergeCells count="100">
    <mergeCell ref="B81:C81"/>
    <mergeCell ref="B82:C82"/>
    <mergeCell ref="B83:C83"/>
    <mergeCell ref="E50:F50"/>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A91:D91"/>
    <mergeCell ref="A87:E87"/>
    <mergeCell ref="A88:D88"/>
    <mergeCell ref="A89:D89"/>
    <mergeCell ref="A90:D90"/>
    <mergeCell ref="H11:P11"/>
    <mergeCell ref="Z11:AH11"/>
    <mergeCell ref="Z12:AD12"/>
    <mergeCell ref="Q11:Y11"/>
    <mergeCell ref="Q12:U12"/>
    <mergeCell ref="H12:L12"/>
    <mergeCell ref="M12:P12"/>
    <mergeCell ref="V12:Y12"/>
    <mergeCell ref="AE12:AH12"/>
    <mergeCell ref="B43:C43"/>
    <mergeCell ref="B35:C35"/>
    <mergeCell ref="B36:C36"/>
    <mergeCell ref="B37:C37"/>
    <mergeCell ref="B38:C38"/>
    <mergeCell ref="B39:C39"/>
    <mergeCell ref="B33:C33"/>
    <mergeCell ref="B34:C34"/>
    <mergeCell ref="B40:C40"/>
    <mergeCell ref="B41:C41"/>
    <mergeCell ref="B42:C42"/>
    <mergeCell ref="E8:H8"/>
    <mergeCell ref="A9:I9"/>
    <mergeCell ref="B13:C13"/>
    <mergeCell ref="B14:C14"/>
    <mergeCell ref="B44:C44"/>
    <mergeCell ref="B15:C15"/>
    <mergeCell ref="B16:C16"/>
    <mergeCell ref="B17:C17"/>
    <mergeCell ref="B18:C18"/>
    <mergeCell ref="B19:C19"/>
    <mergeCell ref="B20:C20"/>
    <mergeCell ref="B21:C21"/>
    <mergeCell ref="B22:C22"/>
    <mergeCell ref="B23:C23"/>
    <mergeCell ref="B24:C24"/>
    <mergeCell ref="B26:C26"/>
    <mergeCell ref="B25:C25"/>
    <mergeCell ref="C111:I111"/>
    <mergeCell ref="C112:I112"/>
    <mergeCell ref="C113:I113"/>
    <mergeCell ref="C106:I106"/>
    <mergeCell ref="C105:I105"/>
    <mergeCell ref="A103:J103"/>
    <mergeCell ref="C107:I107"/>
    <mergeCell ref="C110:I110"/>
    <mergeCell ref="B45:C45"/>
    <mergeCell ref="B27:C27"/>
    <mergeCell ref="B28:C28"/>
    <mergeCell ref="B29:C29"/>
    <mergeCell ref="B30:C30"/>
    <mergeCell ref="B31:C31"/>
    <mergeCell ref="B32:C32"/>
    <mergeCell ref="A102:D102"/>
    <mergeCell ref="A92:D92"/>
    <mergeCell ref="A93:D93"/>
    <mergeCell ref="A97:E97"/>
    <mergeCell ref="A98:D98"/>
    <mergeCell ref="A99:D99"/>
    <mergeCell ref="A100:D100"/>
    <mergeCell ref="A101:D101"/>
    <mergeCell ref="A94:D94"/>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A10" sqref="A10:A11"/>
    </sheetView>
  </sheetViews>
  <sheetFormatPr defaultColWidth="8.6796875" defaultRowHeight="14.4" x14ac:dyDescent="0.55000000000000004"/>
  <cols>
    <col min="1" max="3" width="16.54296875" style="20" customWidth="1"/>
    <col min="4" max="4" width="2.2265625" style="20" customWidth="1"/>
    <col min="5" max="5" width="16.54296875" style="20" customWidth="1"/>
    <col min="6" max="6" width="2.2265625" style="20" customWidth="1"/>
    <col min="7" max="7" width="16.54296875" style="20" customWidth="1"/>
    <col min="8" max="16384" width="8.6796875" style="20"/>
  </cols>
  <sheetData>
    <row r="1" spans="1:7" x14ac:dyDescent="0.55000000000000004">
      <c r="A1" s="1" t="str">
        <f>'System Specification'!B4</f>
        <v>Judicial Council of California Proposed Price Quotation Form</v>
      </c>
      <c r="B1" s="1"/>
      <c r="C1" s="154"/>
      <c r="D1" s="154"/>
      <c r="E1" s="154"/>
      <c r="F1" s="154"/>
      <c r="G1" s="154"/>
    </row>
    <row r="2" spans="1:7" ht="28.2" x14ac:dyDescent="1.05">
      <c r="A2" s="12" t="str">
        <f ca="1">"FORM C2, "&amp;MID(CELL("filename",A1),FIND("]",CELL("filename",A1))+1,256)</f>
        <v>FORM C2, Lists</v>
      </c>
      <c r="B2" s="1"/>
      <c r="C2" s="154"/>
      <c r="D2" s="154"/>
      <c r="E2" s="154"/>
      <c r="F2" s="154"/>
      <c r="G2" s="154"/>
    </row>
    <row r="3" spans="1:7" x14ac:dyDescent="0.55000000000000004">
      <c r="A3" s="1"/>
      <c r="B3" s="1"/>
      <c r="C3" s="154"/>
      <c r="D3" s="154"/>
      <c r="E3" s="154"/>
      <c r="F3" s="154"/>
      <c r="G3" s="154"/>
    </row>
    <row r="4" spans="1:7" x14ac:dyDescent="0.55000000000000004">
      <c r="A4" s="15" t="e">
        <f>#REF!</f>
        <v>#REF!</v>
      </c>
      <c r="B4" s="1"/>
      <c r="C4" s="154"/>
      <c r="D4" s="154"/>
      <c r="E4" s="154"/>
      <c r="F4" s="154"/>
      <c r="G4" s="154"/>
    </row>
    <row r="6" spans="1:7" x14ac:dyDescent="0.55000000000000004">
      <c r="A6" s="21" t="s">
        <v>267</v>
      </c>
      <c r="B6" s="154"/>
      <c r="C6" s="154"/>
      <c r="D6" s="154"/>
      <c r="E6" s="154"/>
      <c r="F6" s="154"/>
      <c r="G6" s="154"/>
    </row>
    <row r="7" spans="1:7" x14ac:dyDescent="0.55000000000000004">
      <c r="A7" s="18" t="s">
        <v>28</v>
      </c>
      <c r="B7" s="154"/>
      <c r="C7" s="154"/>
      <c r="D7" s="154"/>
      <c r="E7" s="154"/>
      <c r="F7" s="154"/>
      <c r="G7" s="154"/>
    </row>
    <row r="9" spans="1:7" x14ac:dyDescent="0.55000000000000004">
      <c r="A9" s="22" t="s">
        <v>268</v>
      </c>
      <c r="B9" s="154"/>
      <c r="C9" s="22" t="s">
        <v>269</v>
      </c>
      <c r="D9" s="154"/>
      <c r="E9" s="22" t="s">
        <v>270</v>
      </c>
      <c r="F9" s="154"/>
      <c r="G9" s="27" t="s">
        <v>271</v>
      </c>
    </row>
    <row r="10" spans="1:7" x14ac:dyDescent="0.55000000000000004">
      <c r="A10" s="30" t="s">
        <v>2</v>
      </c>
      <c r="B10" s="154"/>
      <c r="C10" s="28">
        <v>20</v>
      </c>
      <c r="D10" s="154"/>
      <c r="E10" s="28" t="s">
        <v>272</v>
      </c>
      <c r="F10" s="154"/>
      <c r="G10" s="30" t="s">
        <v>273</v>
      </c>
    </row>
    <row r="11" spans="1:7" x14ac:dyDescent="0.55000000000000004">
      <c r="A11" s="29" t="s">
        <v>4</v>
      </c>
      <c r="B11" s="154"/>
      <c r="C11" s="29">
        <v>25</v>
      </c>
      <c r="D11" s="154"/>
      <c r="E11" s="29" t="s">
        <v>274</v>
      </c>
      <c r="F11" s="154"/>
      <c r="G11" s="28" t="s">
        <v>275</v>
      </c>
    </row>
    <row r="12" spans="1:7" x14ac:dyDescent="0.55000000000000004">
      <c r="A12" s="154"/>
      <c r="B12" s="154"/>
      <c r="C12" s="154"/>
      <c r="D12" s="154"/>
      <c r="E12" s="154"/>
      <c r="F12" s="154"/>
      <c r="G12" s="29" t="s">
        <v>276</v>
      </c>
    </row>
    <row r="13" spans="1:7" x14ac:dyDescent="0.55000000000000004">
      <c r="A13" s="23" t="s">
        <v>277</v>
      </c>
      <c r="B13" s="24"/>
      <c r="C13" s="25"/>
      <c r="D13" s="1"/>
      <c r="E13" s="22" t="s">
        <v>278</v>
      </c>
      <c r="F13" s="154"/>
      <c r="G13" s="154"/>
    </row>
    <row r="14" spans="1:7" x14ac:dyDescent="0.55000000000000004">
      <c r="A14" s="155" t="s">
        <v>28</v>
      </c>
      <c r="B14" s="156" t="s">
        <v>61</v>
      </c>
      <c r="C14" s="157" t="s">
        <v>150</v>
      </c>
      <c r="D14" s="154"/>
      <c r="E14" s="158" t="str">
        <f>IF($A$7="PG&amp;E",
IF(Lists!A14="","",Lists!A14),
IF($A$7="SCE",
IF(Lists!B14="","",Lists!B14),
IF(Lists!C14="","",Lists!C14)))</f>
        <v>PG&amp;E</v>
      </c>
      <c r="F14" s="154"/>
      <c r="G14" s="154"/>
    </row>
    <row r="15" spans="1:7" x14ac:dyDescent="0.55000000000000004">
      <c r="A15" s="30" t="s">
        <v>279</v>
      </c>
      <c r="B15" s="30" t="s">
        <v>280</v>
      </c>
      <c r="C15" s="30"/>
      <c r="D15" s="154"/>
      <c r="E15" s="159" t="str">
        <f>IF($A$7="PG&amp;E",
IF(Lists!A15="","",Lists!A15),
IF($A$7="SCE",
IF(Lists!B15="","",Lists!B15),
IF(Lists!C15="","",Lists!C15)))</f>
        <v>A-1</v>
      </c>
      <c r="F15" s="154"/>
      <c r="G15" s="154"/>
    </row>
    <row r="16" spans="1:7" x14ac:dyDescent="0.55000000000000004">
      <c r="A16" s="28" t="s">
        <v>281</v>
      </c>
      <c r="B16" s="28" t="s">
        <v>282</v>
      </c>
      <c r="C16" s="28"/>
      <c r="D16" s="154"/>
      <c r="E16" s="159" t="str">
        <f>IF($A$7="PG&amp;E",
IF(Lists!A16="","",Lists!A16),
IF($A$7="SCE",
IF(Lists!B16="","",Lists!B16),
IF(Lists!C16="","",Lists!C16)))</f>
        <v>A-6</v>
      </c>
      <c r="F16" s="154"/>
      <c r="G16" s="154"/>
    </row>
    <row r="17" spans="1:5" x14ac:dyDescent="0.55000000000000004">
      <c r="A17" s="28" t="s">
        <v>283</v>
      </c>
      <c r="B17" s="28" t="s">
        <v>284</v>
      </c>
      <c r="C17" s="28"/>
      <c r="D17" s="154"/>
      <c r="E17" s="159" t="str">
        <f>IF($A$7="PG&amp;E",
IF(Lists!A17="","",Lists!A17),
IF($A$7="SCE",
IF(Lists!B17="","",Lists!B17),
IF(Lists!C17="","",Lists!C17)))</f>
        <v>A-10-S</v>
      </c>
    </row>
    <row r="18" spans="1:5" x14ac:dyDescent="0.55000000000000004">
      <c r="A18" s="28" t="s">
        <v>285</v>
      </c>
      <c r="B18" s="28" t="s">
        <v>286</v>
      </c>
      <c r="C18" s="28"/>
      <c r="D18" s="154"/>
      <c r="E18" s="159" t="str">
        <f>IF($A$7="PG&amp;E",
IF(Lists!A18="","",Lists!A18),
IF($A$7="SCE",
IF(Lists!B18="","",Lists!B18),
IF(Lists!C18="","",Lists!C18)))</f>
        <v>A-10-P</v>
      </c>
    </row>
    <row r="19" spans="1:5" x14ac:dyDescent="0.55000000000000004">
      <c r="A19" s="28" t="s">
        <v>287</v>
      </c>
      <c r="B19" s="28" t="s">
        <v>288</v>
      </c>
      <c r="C19" s="28"/>
      <c r="D19" s="154"/>
      <c r="E19" s="159" t="str">
        <f>IF($A$7="PG&amp;E",
IF(Lists!A19="","",Lists!A19),
IF($A$7="SCE",
IF(Lists!B19="","",Lists!B19),
IF(Lists!C19="","",Lists!C19)))</f>
        <v>A-10-T</v>
      </c>
    </row>
    <row r="20" spans="1:5" x14ac:dyDescent="0.55000000000000004">
      <c r="A20" s="28" t="s">
        <v>289</v>
      </c>
      <c r="B20" s="28" t="s">
        <v>290</v>
      </c>
      <c r="C20" s="28"/>
      <c r="D20" s="154"/>
      <c r="E20" s="159" t="str">
        <f>IF($A$7="PG&amp;E",
IF(Lists!A20="","",Lists!A20),
IF($A$7="SCE",
IF(Lists!B20="","",Lists!B20),
IF(Lists!C20="","",Lists!C20)))</f>
        <v>A-10 TOU-S</v>
      </c>
    </row>
    <row r="21" spans="1:5" x14ac:dyDescent="0.55000000000000004">
      <c r="A21" s="28" t="s">
        <v>291</v>
      </c>
      <c r="B21" s="28" t="s">
        <v>292</v>
      </c>
      <c r="C21" s="28"/>
      <c r="D21" s="154"/>
      <c r="E21" s="159" t="str">
        <f>IF($A$7="PG&amp;E",
IF(Lists!A21="","",Lists!A21),
IF($A$7="SCE",
IF(Lists!B21="","",Lists!B21),
IF(Lists!C21="","",Lists!C21)))</f>
        <v>A-10 TOU-P</v>
      </c>
    </row>
    <row r="22" spans="1:5" x14ac:dyDescent="0.55000000000000004">
      <c r="A22" s="28" t="s">
        <v>293</v>
      </c>
      <c r="B22" s="28" t="s">
        <v>294</v>
      </c>
      <c r="C22" s="28"/>
      <c r="D22" s="154"/>
      <c r="E22" s="159" t="str">
        <f>IF($A$7="PG&amp;E",
IF(Lists!A22="","",Lists!A22),
IF($A$7="SCE",
IF(Lists!B22="","",Lists!B22),
IF(Lists!C22="","",Lists!C22)))</f>
        <v>A-10 TOU-T</v>
      </c>
    </row>
    <row r="23" spans="1:5" x14ac:dyDescent="0.55000000000000004">
      <c r="A23" s="28" t="s">
        <v>295</v>
      </c>
      <c r="B23" s="28" t="s">
        <v>296</v>
      </c>
      <c r="C23" s="28"/>
      <c r="D23" s="154"/>
      <c r="E23" s="159" t="str">
        <f>IF($A$7="PG&amp;E",
IF(Lists!A23="","",Lists!A23),
IF($A$7="SCE",
IF(Lists!B23="","",Lists!B23),
IF(Lists!C23="","",Lists!C23)))</f>
        <v>E-19-S</v>
      </c>
    </row>
    <row r="24" spans="1:5" x14ac:dyDescent="0.55000000000000004">
      <c r="A24" s="28" t="s">
        <v>297</v>
      </c>
      <c r="B24" s="28" t="s">
        <v>298</v>
      </c>
      <c r="C24" s="28"/>
      <c r="D24" s="154"/>
      <c r="E24" s="159" t="str">
        <f>IF($A$7="PG&amp;E",
IF(Lists!A24="","",Lists!A24),
IF($A$7="SCE",
IF(Lists!B24="","",Lists!B24),
IF(Lists!C24="","",Lists!C24)))</f>
        <v>E-19-P</v>
      </c>
    </row>
    <row r="25" spans="1:5" x14ac:dyDescent="0.55000000000000004">
      <c r="A25" s="28" t="s">
        <v>299</v>
      </c>
      <c r="B25" s="28" t="s">
        <v>300</v>
      </c>
      <c r="C25" s="28"/>
      <c r="D25" s="154"/>
      <c r="E25" s="159" t="str">
        <f>IF($A$7="PG&amp;E",
IF(Lists!A25="","",Lists!A25),
IF($A$7="SCE",
IF(Lists!B25="","",Lists!B25),
IF(Lists!C25="","",Lists!C25)))</f>
        <v>E-19-T</v>
      </c>
    </row>
    <row r="26" spans="1:5" x14ac:dyDescent="0.55000000000000004">
      <c r="A26" s="28"/>
      <c r="B26" s="28" t="s">
        <v>301</v>
      </c>
      <c r="C26" s="28"/>
      <c r="D26" s="154"/>
      <c r="E26" s="159" t="str">
        <f>IF($A$7="PG&amp;E",
IF(Lists!A26="","",Lists!A26),
IF($A$7="SCE",
IF(Lists!B26="","",Lists!B26),
IF(Lists!C26="","",Lists!C26)))</f>
        <v/>
      </c>
    </row>
    <row r="27" spans="1:5" x14ac:dyDescent="0.55000000000000004">
      <c r="A27" s="28"/>
      <c r="B27" s="28"/>
      <c r="C27" s="28"/>
      <c r="D27" s="154"/>
      <c r="E27" s="159" t="str">
        <f>IF($A$7="PG&amp;E",
IF(Lists!A27="","",Lists!A27),
IF($A$7="SCE",
IF(Lists!B27="","",Lists!B27),
IF(Lists!C27="","",Lists!C27)))</f>
        <v/>
      </c>
    </row>
    <row r="28" spans="1:5" x14ac:dyDescent="0.55000000000000004">
      <c r="A28" s="28"/>
      <c r="B28" s="28"/>
      <c r="C28" s="28"/>
      <c r="D28" s="154"/>
      <c r="E28" s="159" t="str">
        <f>IF($A$7="PG&amp;E",
IF(Lists!A28="","",Lists!A28),
IF($A$7="SCE",
IF(Lists!B28="","",Lists!B28),
IF(Lists!C28="","",Lists!C28)))</f>
        <v/>
      </c>
    </row>
    <row r="29" spans="1:5" x14ac:dyDescent="0.55000000000000004">
      <c r="A29" s="28"/>
      <c r="B29" s="28"/>
      <c r="C29" s="28"/>
      <c r="D29" s="154"/>
      <c r="E29" s="159" t="str">
        <f>IF($A$7="PG&amp;E",
IF(Lists!A29="","",Lists!A29),
IF($A$7="SCE",
IF(Lists!B29="","",Lists!B29),
IF(Lists!C29="","",Lists!C29)))</f>
        <v/>
      </c>
    </row>
    <row r="30" spans="1:5" x14ac:dyDescent="0.55000000000000004">
      <c r="A30" s="28"/>
      <c r="B30" s="28"/>
      <c r="C30" s="28"/>
      <c r="D30" s="154"/>
      <c r="E30" s="159" t="str">
        <f>IF($A$7="PG&amp;E",
IF(Lists!A30="","",Lists!A30),
IF($A$7="SCE",
IF(Lists!B30="","",Lists!B30),
IF(Lists!C30="","",Lists!C30)))</f>
        <v/>
      </c>
    </row>
    <row r="31" spans="1:5" x14ac:dyDescent="0.55000000000000004">
      <c r="A31" s="28"/>
      <c r="B31" s="28"/>
      <c r="C31" s="28"/>
      <c r="D31" s="154"/>
      <c r="E31" s="159" t="str">
        <f>IF($A$7="PG&amp;E",
IF(Lists!A31="","",Lists!A31),
IF($A$7="SCE",
IF(Lists!B31="","",Lists!B31),
IF(Lists!C31="","",Lists!C31)))</f>
        <v/>
      </c>
    </row>
    <row r="32" spans="1:5" x14ac:dyDescent="0.55000000000000004">
      <c r="A32" s="28"/>
      <c r="B32" s="28"/>
      <c r="C32" s="28"/>
      <c r="D32" s="154"/>
      <c r="E32" s="159" t="str">
        <f>IF($A$7="PG&amp;E",
IF(Lists!A32="","",Lists!A32),
IF($A$7="SCE",
IF(Lists!B32="","",Lists!B32),
IF(Lists!C32="","",Lists!C32)))</f>
        <v/>
      </c>
    </row>
    <row r="33" spans="1:5" x14ac:dyDescent="0.55000000000000004">
      <c r="A33" s="28"/>
      <c r="B33" s="28"/>
      <c r="C33" s="28"/>
      <c r="D33" s="154"/>
      <c r="E33" s="159" t="str">
        <f>IF($A$7="PG&amp;E",
IF(Lists!A33="","",Lists!A33),
IF($A$7="SCE",
IF(Lists!B33="","",Lists!B33),
IF(Lists!C33="","",Lists!C33)))</f>
        <v/>
      </c>
    </row>
    <row r="34" spans="1:5" x14ac:dyDescent="0.55000000000000004">
      <c r="A34" s="29"/>
      <c r="B34" s="29"/>
      <c r="C34" s="29"/>
      <c r="D34" s="154"/>
      <c r="E34" s="160" t="str">
        <f>IF($A$7="PG&amp;E",
IF(Lists!A34="","",Lists!A34),
IF($A$7="SCE",
IF(Lists!B34="","",Lists!B34),
IF(Lists!C34="","",Lists!C34)))</f>
        <v/>
      </c>
    </row>
    <row r="36" spans="1:5" x14ac:dyDescent="0.55000000000000004">
      <c r="A36" s="506" t="s">
        <v>302</v>
      </c>
      <c r="B36" s="507"/>
      <c r="C36" s="154"/>
      <c r="D36" s="154"/>
      <c r="E36" s="154"/>
    </row>
    <row r="37" spans="1:5" x14ac:dyDescent="0.55000000000000004">
      <c r="A37" s="161" t="s">
        <v>303</v>
      </c>
      <c r="B37" s="162"/>
      <c r="C37" s="154"/>
      <c r="D37" s="154"/>
      <c r="E37" s="26" t="s">
        <v>304</v>
      </c>
    </row>
    <row r="38" spans="1:5" x14ac:dyDescent="0.55000000000000004">
      <c r="A38" s="163" t="s">
        <v>305</v>
      </c>
      <c r="B38" s="164"/>
      <c r="C38" s="154"/>
      <c r="D38" s="154"/>
      <c r="E38" s="13" t="s">
        <v>306</v>
      </c>
    </row>
    <row r="39" spans="1:5" x14ac:dyDescent="0.55000000000000004">
      <c r="A39" s="163" t="s">
        <v>28</v>
      </c>
      <c r="B39" s="164">
        <v>0.55900000000000005</v>
      </c>
      <c r="C39" s="154"/>
      <c r="D39" s="154"/>
      <c r="E39" s="13" t="s">
        <v>307</v>
      </c>
    </row>
    <row r="40" spans="1:5" x14ac:dyDescent="0.55000000000000004">
      <c r="A40" s="163" t="s">
        <v>61</v>
      </c>
      <c r="B40" s="164">
        <v>0.66500000000000004</v>
      </c>
      <c r="C40" s="154"/>
      <c r="D40" s="154"/>
      <c r="E40" s="13" t="s">
        <v>308</v>
      </c>
    </row>
    <row r="41" spans="1:5" x14ac:dyDescent="0.55000000000000004">
      <c r="A41" s="163" t="s">
        <v>150</v>
      </c>
      <c r="B41" s="164">
        <v>0.91500000000000004</v>
      </c>
      <c r="C41" s="154"/>
      <c r="D41" s="154"/>
      <c r="E41" s="13" t="s">
        <v>309</v>
      </c>
    </row>
    <row r="42" spans="1:5" x14ac:dyDescent="0.55000000000000004">
      <c r="A42" s="161" t="s">
        <v>310</v>
      </c>
      <c r="B42" s="162"/>
      <c r="C42" s="154"/>
      <c r="D42" s="154"/>
      <c r="E42" s="14" t="s">
        <v>311</v>
      </c>
    </row>
    <row r="43" spans="1:5" x14ac:dyDescent="0.55000000000000004">
      <c r="A43" s="163" t="s">
        <v>312</v>
      </c>
      <c r="B43" s="164">
        <v>19.643000000000001</v>
      </c>
      <c r="C43" s="154"/>
      <c r="D43" s="154"/>
      <c r="E43" s="154"/>
    </row>
    <row r="44" spans="1:5" x14ac:dyDescent="0.55000000000000004">
      <c r="A44" s="163" t="s">
        <v>313</v>
      </c>
      <c r="B44" s="164">
        <v>12500</v>
      </c>
      <c r="C44" s="154"/>
      <c r="D44" s="154"/>
      <c r="E44" s="27" t="s">
        <v>314</v>
      </c>
    </row>
    <row r="45" spans="1:5" x14ac:dyDescent="0.55000000000000004">
      <c r="A45" s="163" t="s">
        <v>315</v>
      </c>
      <c r="B45" s="164">
        <v>25</v>
      </c>
      <c r="C45" s="154"/>
      <c r="D45" s="154"/>
      <c r="E45" s="28" t="s">
        <v>316</v>
      </c>
    </row>
    <row r="46" spans="1:5" x14ac:dyDescent="0.55000000000000004">
      <c r="A46" s="163" t="s">
        <v>317</v>
      </c>
      <c r="B46" s="164">
        <v>9821.5</v>
      </c>
      <c r="C46" s="154"/>
      <c r="D46" s="154"/>
      <c r="E46" s="28" t="s">
        <v>318</v>
      </c>
    </row>
    <row r="47" spans="1:5" x14ac:dyDescent="0.55000000000000004">
      <c r="A47" s="161" t="s">
        <v>319</v>
      </c>
      <c r="B47" s="162"/>
      <c r="C47" s="154"/>
      <c r="D47" s="154"/>
      <c r="E47" s="29" t="s">
        <v>320</v>
      </c>
    </row>
    <row r="48" spans="1:5" x14ac:dyDescent="0.55000000000000004">
      <c r="A48" s="163" t="s">
        <v>321</v>
      </c>
      <c r="B48" s="164">
        <v>13</v>
      </c>
      <c r="C48" s="154"/>
      <c r="D48" s="154"/>
      <c r="E48" s="154"/>
    </row>
    <row r="49" spans="1:2" x14ac:dyDescent="0.55000000000000004">
      <c r="A49" s="165" t="s">
        <v>322</v>
      </c>
      <c r="B49" s="166">
        <v>5200</v>
      </c>
    </row>
  </sheetData>
  <mergeCells count="1">
    <mergeCell ref="A36:B36"/>
  </mergeCells>
  <phoneticPr fontId="17"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vt:i4>
      </vt:variant>
    </vt:vector>
  </HeadingPairs>
  <TitlesOfParts>
    <vt:vector size="43" baseType="lpstr">
      <vt:lpstr>Instructions</vt:lpstr>
      <vt:lpstr>Site Data</vt:lpstr>
      <vt:lpstr>System Specification</vt:lpstr>
      <vt:lpstr>BESS Savings</vt:lpstr>
      <vt:lpstr>PeGu</vt:lpstr>
      <vt:lpstr>Microgrid Proposal</vt:lpstr>
      <vt:lpstr>Solar+Storage Proposal</vt:lpstr>
      <vt:lpstr>Solar-Only Proposal</vt:lpstr>
      <vt:lpstr>Summary &amp; Signature</vt:lpstr>
      <vt:lpstr>Lists</vt:lpstr>
      <vt:lpstr>Active_Tariffs</vt:lpstr>
      <vt:lpstr>BESS_Savings_Column_Names</vt:lpstr>
      <vt:lpstr>BESS_Savings_Table</vt:lpstr>
      <vt:lpstr>CO2_Table</vt:lpstr>
      <vt:lpstr>Environ_Table</vt:lpstr>
      <vt:lpstr>IOUs</vt:lpstr>
      <vt:lpstr>Lease_Types</vt:lpstr>
      <vt:lpstr>List_Mount_Type</vt:lpstr>
      <vt:lpstr>List_Shade_Structures</vt:lpstr>
      <vt:lpstr>List_Wire_Type</vt:lpstr>
      <vt:lpstr>PGE_Tariffs</vt:lpstr>
      <vt:lpstr>PPA_Contract_Term</vt:lpstr>
      <vt:lpstr>Instructions!Print_Area</vt:lpstr>
      <vt:lpstr>'Microgrid Proposal'!Print_Area</vt:lpstr>
      <vt:lpstr>'Site Data'!Print_Area</vt:lpstr>
      <vt:lpstr>'Solar+Storage Proposal'!Print_Area</vt:lpstr>
      <vt:lpstr>'Solar-Only Proposal'!Print_Area</vt:lpstr>
      <vt:lpstr>'System Specification'!Print_Area</vt:lpstr>
      <vt:lpstr>'Microgrid Proposal'!Print_Titles</vt:lpstr>
      <vt:lpstr>'Site Data'!Print_Titles</vt:lpstr>
      <vt:lpstr>'Solar+Storage Proposal'!Print_Titles</vt:lpstr>
      <vt:lpstr>'Solar-Only Proposal'!Print_Titles</vt:lpstr>
      <vt:lpstr>'System Specification'!Print_Titles</vt:lpstr>
      <vt:lpstr>Prod_Yr_1</vt:lpstr>
      <vt:lpstr>SCE_Tariffs</vt:lpstr>
      <vt:lpstr>Site_Data_Column_Names</vt:lpstr>
      <vt:lpstr>Site_Data_Table</vt:lpstr>
      <vt:lpstr>System_Spec_Column_Names</vt:lpstr>
      <vt:lpstr>System_Spec_Site_Num</vt:lpstr>
      <vt:lpstr>System_Spec_Table</vt:lpstr>
      <vt:lpstr>Vendor_Name</vt:lpstr>
      <vt:lpstr>Yes_No</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Ryan Satterlee</cp:lastModifiedBy>
  <cp:revision/>
  <dcterms:created xsi:type="dcterms:W3CDTF">2010-07-03T20:41:43Z</dcterms:created>
  <dcterms:modified xsi:type="dcterms:W3CDTF">2022-09-06T21:02:41Z</dcterms:modified>
  <cp:category/>
  <cp:contentStatus/>
</cp:coreProperties>
</file>