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ctrlProps/ctrlProp23.xml" ContentType="application/vnd.ms-excel.controlproperties+xml"/>
  <Override PartName="/xl/ctrlProps/ctrlProp22.xml" ContentType="application/vnd.ms-excel.controlproperties+xml"/>
  <Override PartName="/xl/ctrlProps/ctrlProp33.xml" ContentType="application/vnd.ms-excel.controlproperties+xml"/>
  <Override PartName="/xl/ctrlProps/ctrlProp32.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21.xml" ContentType="application/vnd.ms-excel.controlproperties+xml"/>
  <Override PartName="/xl/ctrlProps/ctrlProp20.xml" ContentType="application/vnd.ms-excel.controlproperties+xml"/>
  <Override PartName="/xl/ctrlProps/ctrlProp31.xml" ContentType="application/vnd.ms-excel.controlproperties+xml"/>
  <Override PartName="/xl/worksheets/sheet19.xml" ContentType="application/vnd.openxmlformats-officedocument.spreadsheetml.worksheet+xml"/>
  <Override PartName="/xl/sharedStrings.xml" ContentType="application/vnd.openxmlformats-officedocument.spreadsheetml.sharedStrings+xml"/>
  <Override PartName="/xl/ctrlProps/ctrlProp3.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175" yWindow="-165" windowWidth="11340" windowHeight="8835" tabRatio="972" firstSheet="4" activeTab="15"/>
  </bookViews>
  <sheets>
    <sheet name="Drop-Down List" sheetId="85" state="hidden" r:id="rId1"/>
    <sheet name="2009 UPDATE" sheetId="83" state="hidden" r:id="rId2"/>
    <sheet name="Cover Page" sheetId="162" r:id="rId3"/>
    <sheet name="Worksheets Included" sheetId="163" r:id="rId4"/>
    <sheet name="2014 UPDATE" sheetId="164" r:id="rId5"/>
    <sheet name="2013 UPDATE" sheetId="161" r:id="rId6"/>
    <sheet name="2012 UPDATE" sheetId="156" r:id="rId7"/>
    <sheet name="2011 UPDATE" sheetId="155" r:id="rId8"/>
    <sheet name="2010 UPDATE" sheetId="84" r:id="rId9"/>
    <sheet name="Local Penalties" sheetId="166" r:id="rId10"/>
    <sheet name="Sheet1" sheetId="82" state="hidden" r:id="rId11"/>
    <sheet name="Section" sheetId="42" state="hidden" r:id="rId12"/>
    <sheet name="Acct Mapping" sheetId="50" state="hidden" r:id="rId13"/>
    <sheet name="Pmt Plan Tmpl" sheetId="73" state="hidden" r:id="rId14"/>
    <sheet name="1-DUI (ALT)" sheetId="52" state="hidden" r:id="rId15"/>
    <sheet name="10-SpTS" sheetId="111" r:id="rId16"/>
    <sheet name="6-RLBF" sheetId="108" r:id="rId17"/>
    <sheet name="7-RLTS" sheetId="98" r:id="rId18"/>
    <sheet name="Top-Down Method 1" sheetId="167" r:id="rId19"/>
    <sheet name="Top-Down Method 2" sheetId="168" r:id="rId20"/>
  </sheets>
  <externalReferences>
    <externalReference r:id="rId21"/>
  </externalReferences>
  <definedNames>
    <definedName name="Answer">#REF!</definedName>
    <definedName name="Counties">'Local Penalties'!$A$21:$A$78</definedName>
    <definedName name="County">#REF!</definedName>
    <definedName name="County_Name">#REF!</definedName>
    <definedName name="Court_Name">Sheet1!$D$1:$D$59</definedName>
    <definedName name="dbo_Fund" localSheetId="15">#REF!</definedName>
    <definedName name="dbo_Fund" localSheetId="8">#REF!</definedName>
    <definedName name="dbo_Fund" localSheetId="7">#REF!</definedName>
    <definedName name="dbo_Fund" localSheetId="6">#REF!</definedName>
    <definedName name="dbo_Fund" localSheetId="5">#REF!</definedName>
    <definedName name="dbo_Fund" localSheetId="16">#REF!</definedName>
    <definedName name="dbo_Fund" localSheetId="17">#REF!</definedName>
    <definedName name="dbo_Fund" localSheetId="3">#REF!</definedName>
    <definedName name="dbo_Fund">#REF!</definedName>
    <definedName name="Distribution_Method">'Drop-Down List'!$A$1:$A$2</definedName>
    <definedName name="_xlnm.Print_Area" localSheetId="15">'10-SpTS'!$A$1:$V$51</definedName>
    <definedName name="_xlnm.Print_Area" localSheetId="14">'1-DUI (ALT)'!$A$1:$S$49</definedName>
    <definedName name="_xlnm.Print_Area" localSheetId="16">'6-RLBF'!$A$1:$Y$51</definedName>
    <definedName name="_xlnm.Print_Area" localSheetId="17">'7-RLTS'!$A$1:$W$52</definedName>
    <definedName name="_xlnm.Print_Area" localSheetId="2">'Cover Page'!$A$1:$Q$8</definedName>
    <definedName name="_xlnm.Print_Area" localSheetId="3">'Worksheets Included'!$A$1:$C$4</definedName>
    <definedName name="Yes_No">'Drop-Down List'!$A$12:$A$13</definedName>
    <definedName name="Yes_No_NA">'Drop-Down List'!$A$4:$A$6</definedName>
    <definedName name="Yes_No_NA_City">'Drop-Down List'!$A$8:$A$10</definedName>
    <definedName name="Z_07F1F502_9FC7_4878_A746_52E1655BD4FA_.wvu.Cols" localSheetId="15" hidden="1">'10-SpTS'!#REF!,'10-SpTS'!#REF!</definedName>
    <definedName name="Z_07F1F502_9FC7_4878_A746_52E1655BD4FA_.wvu.Cols" localSheetId="14" hidden="1">'1-DUI (ALT)'!#REF!,'1-DUI (ALT)'!#REF!</definedName>
    <definedName name="Z_07F1F502_9FC7_4878_A746_52E1655BD4FA_.wvu.Cols" localSheetId="16" hidden="1">'6-RLBF'!#REF!,'6-RLBF'!#REF!</definedName>
    <definedName name="Z_07F1F502_9FC7_4878_A746_52E1655BD4FA_.wvu.Cols" localSheetId="17" hidden="1">'7-RLTS'!#REF!,'7-RLTS'!#REF!</definedName>
    <definedName name="Z_07F1F502_9FC7_4878_A746_52E1655BD4FA_.wvu.Cols" localSheetId="3" hidden="1">'Worksheets Included'!#REF!,'Worksheets Included'!#REF!</definedName>
    <definedName name="Z_07F1F502_9FC7_4878_A746_52E1655BD4FA_.wvu.PrintArea" localSheetId="3" hidden="1">'Worksheets Included'!$A$1:$C$4</definedName>
  </definedNames>
  <calcPr calcId="125725"/>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B32" i="168"/>
  <c r="B33" s="1"/>
  <c r="B30"/>
  <c r="B29"/>
  <c r="B28"/>
  <c r="B27"/>
  <c r="B26"/>
  <c r="B25"/>
  <c r="B32" i="167"/>
  <c r="B33" s="1"/>
  <c r="B30"/>
  <c r="B29"/>
  <c r="B28"/>
  <c r="B27"/>
  <c r="B26"/>
  <c r="B25"/>
  <c r="O11" i="168"/>
  <c r="O11" i="167"/>
  <c r="E25" s="1"/>
  <c r="O43" i="168"/>
  <c r="R40"/>
  <c r="J40"/>
  <c r="K40" s="1"/>
  <c r="R39"/>
  <c r="K39"/>
  <c r="J39"/>
  <c r="R38"/>
  <c r="J38"/>
  <c r="K38" s="1"/>
  <c r="R37"/>
  <c r="K37"/>
  <c r="J37"/>
  <c r="R36"/>
  <c r="J36"/>
  <c r="K36" s="1"/>
  <c r="R34"/>
  <c r="J34"/>
  <c r="K31"/>
  <c r="J31"/>
  <c r="O10"/>
  <c r="AA9"/>
  <c r="Z9"/>
  <c r="D9"/>
  <c r="O6"/>
  <c r="D10" s="1"/>
  <c r="D4"/>
  <c r="E25" l="1"/>
  <c r="Z8"/>
  <c r="I19"/>
  <c r="I34"/>
  <c r="D11"/>
  <c r="I20"/>
  <c r="K34" l="1"/>
  <c r="I28"/>
  <c r="I26"/>
  <c r="I24"/>
  <c r="I27"/>
  <c r="I25"/>
  <c r="I29"/>
  <c r="I33"/>
  <c r="I32"/>
  <c r="I23"/>
  <c r="I22"/>
  <c r="I30"/>
  <c r="I21"/>
  <c r="J20"/>
  <c r="K20" s="1"/>
  <c r="K19"/>
  <c r="J19"/>
  <c r="I35" l="1"/>
  <c r="I43" s="1"/>
  <c r="Q15" s="1"/>
  <c r="Q38" s="1"/>
  <c r="S38" s="1"/>
  <c r="Z7"/>
  <c r="K22"/>
  <c r="J22"/>
  <c r="J26"/>
  <c r="K26" s="1"/>
  <c r="J30"/>
  <c r="K30" s="1"/>
  <c r="J24"/>
  <c r="K24" s="1"/>
  <c r="K21"/>
  <c r="J21"/>
  <c r="K27"/>
  <c r="J27"/>
  <c r="J25"/>
  <c r="K25" s="1"/>
  <c r="J29"/>
  <c r="K29" s="1"/>
  <c r="J33"/>
  <c r="K33" s="1"/>
  <c r="J32"/>
  <c r="K32" s="1"/>
  <c r="J23"/>
  <c r="K23" s="1"/>
  <c r="K28"/>
  <c r="J28"/>
  <c r="J42" l="1"/>
  <c r="K41" s="1"/>
  <c r="Q37"/>
  <c r="S37" s="1"/>
  <c r="U37" s="1"/>
  <c r="Q23"/>
  <c r="R23" s="1"/>
  <c r="S23" s="1"/>
  <c r="U23" s="1"/>
  <c r="Q31"/>
  <c r="Q20"/>
  <c r="Q29"/>
  <c r="R29" s="1"/>
  <c r="S29" s="1"/>
  <c r="U29" s="1"/>
  <c r="Q27"/>
  <c r="R27" s="1"/>
  <c r="S27" s="1"/>
  <c r="U27" s="1"/>
  <c r="Q34"/>
  <c r="S34" s="1"/>
  <c r="U34" s="1"/>
  <c r="Q25"/>
  <c r="R25" s="1"/>
  <c r="S25" s="1"/>
  <c r="U25" s="1"/>
  <c r="Q24"/>
  <c r="R24" s="1"/>
  <c r="S24" s="1"/>
  <c r="U24" s="1"/>
  <c r="Q22"/>
  <c r="R22" s="1"/>
  <c r="S22" s="1"/>
  <c r="U22" s="1"/>
  <c r="Q39"/>
  <c r="S39" s="1"/>
  <c r="U39" s="1"/>
  <c r="Q28"/>
  <c r="Q21"/>
  <c r="R21" s="1"/>
  <c r="S21" s="1"/>
  <c r="U21" s="1"/>
  <c r="Q40"/>
  <c r="S40" s="1"/>
  <c r="U40" s="1"/>
  <c r="Q33"/>
  <c r="R33" s="1"/>
  <c r="S33" s="1"/>
  <c r="U33" s="1"/>
  <c r="Q26"/>
  <c r="R26" s="1"/>
  <c r="S26" s="1"/>
  <c r="U26" s="1"/>
  <c r="Q36"/>
  <c r="Q19"/>
  <c r="R19" s="1"/>
  <c r="Q32"/>
  <c r="R32" s="1"/>
  <c r="S32" s="1"/>
  <c r="U32" s="1"/>
  <c r="Q30"/>
  <c r="U38"/>
  <c r="Z5"/>
  <c r="R28"/>
  <c r="S28" s="1"/>
  <c r="U28" s="1"/>
  <c r="R30"/>
  <c r="S30" s="1"/>
  <c r="U30" s="1"/>
  <c r="R31"/>
  <c r="S31" s="1"/>
  <c r="U31" s="1"/>
  <c r="R20"/>
  <c r="S20" s="1"/>
  <c r="K35"/>
  <c r="Z6"/>
  <c r="K43" l="1"/>
  <c r="AA8"/>
  <c r="Q35"/>
  <c r="S36"/>
  <c r="U36" s="1"/>
  <c r="AA7"/>
  <c r="U20"/>
  <c r="Z10"/>
  <c r="R42"/>
  <c r="S41" s="1"/>
  <c r="U41" s="1"/>
  <c r="S19"/>
  <c r="U19" s="1"/>
  <c r="U35" l="1"/>
  <c r="U43" s="1"/>
  <c r="Z11"/>
  <c r="AA5"/>
  <c r="AA6"/>
  <c r="S35"/>
  <c r="S43" s="1"/>
  <c r="AA10" l="1"/>
  <c r="AA11" s="1"/>
  <c r="O43" i="167" l="1"/>
  <c r="R40"/>
  <c r="Q40"/>
  <c r="J40"/>
  <c r="K40" s="1"/>
  <c r="R39"/>
  <c r="Q39"/>
  <c r="K39"/>
  <c r="J39"/>
  <c r="R38"/>
  <c r="Q38"/>
  <c r="J38"/>
  <c r="K38" s="1"/>
  <c r="Z8" s="1"/>
  <c r="R37"/>
  <c r="Q37"/>
  <c r="K37"/>
  <c r="J37"/>
  <c r="R36"/>
  <c r="Q36"/>
  <c r="Q35" s="1"/>
  <c r="J36"/>
  <c r="K36" s="1"/>
  <c r="R34"/>
  <c r="J34"/>
  <c r="Q31"/>
  <c r="R31" s="1"/>
  <c r="S31" s="1"/>
  <c r="U31" s="1"/>
  <c r="K31"/>
  <c r="J31"/>
  <c r="O10"/>
  <c r="AA9"/>
  <c r="Z9"/>
  <c r="D9"/>
  <c r="O6"/>
  <c r="D10" s="1"/>
  <c r="D4"/>
  <c r="S40" l="1"/>
  <c r="U40" s="1"/>
  <c r="S37"/>
  <c r="U37" s="1"/>
  <c r="S38"/>
  <c r="S39"/>
  <c r="U39" s="1"/>
  <c r="S36"/>
  <c r="U36" s="1"/>
  <c r="I20"/>
  <c r="I34"/>
  <c r="I19"/>
  <c r="D11"/>
  <c r="U38"/>
  <c r="AA8"/>
  <c r="I29" l="1"/>
  <c r="I25"/>
  <c r="I28"/>
  <c r="I26"/>
  <c r="I24"/>
  <c r="I27"/>
  <c r="I33"/>
  <c r="I32"/>
  <c r="I23"/>
  <c r="I22"/>
  <c r="I30"/>
  <c r="I21"/>
  <c r="J20"/>
  <c r="K20" s="1"/>
  <c r="Z7" s="1"/>
  <c r="K34"/>
  <c r="J19"/>
  <c r="J21" l="1"/>
  <c r="K21" s="1"/>
  <c r="J26"/>
  <c r="K26" s="1"/>
  <c r="J24"/>
  <c r="K24" s="1"/>
  <c r="J27"/>
  <c r="K27" s="1"/>
  <c r="J33"/>
  <c r="K33" s="1"/>
  <c r="J32"/>
  <c r="K32" s="1"/>
  <c r="J23"/>
  <c r="K23" s="1"/>
  <c r="J29"/>
  <c r="K29" s="1"/>
  <c r="J22"/>
  <c r="K22" s="1"/>
  <c r="J25"/>
  <c r="K25" s="1"/>
  <c r="J30"/>
  <c r="K30" s="1"/>
  <c r="J28"/>
  <c r="K28" s="1"/>
  <c r="K19"/>
  <c r="I35"/>
  <c r="Z6" l="1"/>
  <c r="K35"/>
  <c r="I43"/>
  <c r="Q15"/>
  <c r="J42"/>
  <c r="K41" s="1"/>
  <c r="Z5" s="1"/>
  <c r="Z10" l="1"/>
  <c r="Q19"/>
  <c r="Q34"/>
  <c r="S34" s="1"/>
  <c r="U34" s="1"/>
  <c r="Q20"/>
  <c r="Q21"/>
  <c r="Q23"/>
  <c r="Q28"/>
  <c r="Q22"/>
  <c r="Q24"/>
  <c r="Q30"/>
  <c r="Q32"/>
  <c r="Q29"/>
  <c r="Q26"/>
  <c r="Q25"/>
  <c r="Q33"/>
  <c r="Q27"/>
  <c r="K43"/>
  <c r="Z11" s="1"/>
  <c r="R24" l="1"/>
  <c r="S24" s="1"/>
  <c r="U24" s="1"/>
  <c r="R30"/>
  <c r="S30" s="1"/>
  <c r="U30" s="1"/>
  <c r="R19"/>
  <c r="R32"/>
  <c r="S32" s="1"/>
  <c r="U32" s="1"/>
  <c r="R29"/>
  <c r="S29" s="1"/>
  <c r="U29" s="1"/>
  <c r="R20"/>
  <c r="S20" s="1"/>
  <c r="R26"/>
  <c r="S26" s="1"/>
  <c r="U26" s="1"/>
  <c r="R21"/>
  <c r="S21" s="1"/>
  <c r="R25"/>
  <c r="S25" s="1"/>
  <c r="U25" s="1"/>
  <c r="R23"/>
  <c r="S23" s="1"/>
  <c r="U23" s="1"/>
  <c r="R33"/>
  <c r="S33" s="1"/>
  <c r="U33" s="1"/>
  <c r="R28"/>
  <c r="S28" s="1"/>
  <c r="U28" s="1"/>
  <c r="R27"/>
  <c r="S27" s="1"/>
  <c r="U27" s="1"/>
  <c r="R22"/>
  <c r="S22" s="1"/>
  <c r="U22" s="1"/>
  <c r="U21" l="1"/>
  <c r="AA7"/>
  <c r="U20"/>
  <c r="R42"/>
  <c r="S41" s="1"/>
  <c r="U41" s="1"/>
  <c r="S19"/>
  <c r="AA5" l="1"/>
  <c r="AA6"/>
  <c r="S35"/>
  <c r="S43" s="1"/>
  <c r="U19"/>
  <c r="U35" s="1"/>
  <c r="U43" s="1"/>
  <c r="AA10" l="1"/>
  <c r="AA11" s="1"/>
  <c r="B31" i="111"/>
  <c r="B32" i="98"/>
  <c r="B32" i="108"/>
  <c r="B29" i="111"/>
  <c r="B30" i="98"/>
  <c r="B30" i="108"/>
  <c r="B25" i="111"/>
  <c r="B26"/>
  <c r="B27"/>
  <c r="B28"/>
  <c r="B24"/>
  <c r="B26" i="98"/>
  <c r="B27"/>
  <c r="B28"/>
  <c r="B29"/>
  <c r="B25"/>
  <c r="B26" i="108"/>
  <c r="B27"/>
  <c r="B28"/>
  <c r="B29"/>
  <c r="B25"/>
  <c r="A8" i="166"/>
  <c r="B14"/>
  <c r="B8"/>
  <c r="N11" i="111" l="1"/>
  <c r="E24" s="1"/>
  <c r="O11" i="98"/>
  <c r="E25" s="1"/>
  <c r="Q11" i="108"/>
  <c r="B32" i="111"/>
  <c r="B33" i="98"/>
  <c r="B33" i="108"/>
  <c r="D9" i="111"/>
  <c r="V1"/>
  <c r="Y1" i="108"/>
  <c r="W1" i="98"/>
  <c r="E25" i="108" l="1"/>
  <c r="R32" i="111" l="1"/>
  <c r="R33"/>
  <c r="R31"/>
  <c r="R27"/>
  <c r="R28"/>
  <c r="R29"/>
  <c r="R26"/>
  <c r="R19"/>
  <c r="R20"/>
  <c r="R21"/>
  <c r="R22"/>
  <c r="R23"/>
  <c r="R18"/>
  <c r="R17"/>
  <c r="R24"/>
  <c r="R25"/>
  <c r="R30"/>
  <c r="R34"/>
  <c r="R36"/>
  <c r="R37"/>
  <c r="R35"/>
  <c r="S33" i="98"/>
  <c r="S34"/>
  <c r="S32"/>
  <c r="S31"/>
  <c r="S29"/>
  <c r="S30"/>
  <c r="S26"/>
  <c r="S25"/>
  <c r="S19"/>
  <c r="S20"/>
  <c r="S21"/>
  <c r="S22"/>
  <c r="S23"/>
  <c r="S24"/>
  <c r="S18"/>
  <c r="S17"/>
  <c r="S27"/>
  <c r="S28"/>
  <c r="S35"/>
  <c r="S38"/>
  <c r="S37"/>
  <c r="S36"/>
  <c r="L34" i="108"/>
  <c r="S41" i="98" l="1"/>
  <c r="R40" i="111"/>
  <c r="S31" i="108" l="1"/>
  <c r="T34"/>
  <c r="T36"/>
  <c r="S36"/>
  <c r="U36" l="1"/>
  <c r="K27" i="111"/>
  <c r="L28" i="98"/>
  <c r="M31"/>
  <c r="K36"/>
  <c r="M36" s="1"/>
  <c r="U36" s="1"/>
  <c r="K41"/>
  <c r="L41"/>
  <c r="M41" s="1"/>
  <c r="U41" s="1"/>
  <c r="J40" i="111"/>
  <c r="L40" s="1"/>
  <c r="T40" s="1"/>
  <c r="J35"/>
  <c r="L35" s="1"/>
  <c r="T35" s="1"/>
  <c r="K35"/>
  <c r="J31" i="98"/>
  <c r="J31" i="108"/>
  <c r="K31" s="1"/>
  <c r="K36"/>
  <c r="L36"/>
  <c r="M36" s="1"/>
  <c r="W36" s="1"/>
  <c r="S38"/>
  <c r="S39"/>
  <c r="S40"/>
  <c r="S41"/>
  <c r="T41" s="1"/>
  <c r="S42"/>
  <c r="S43"/>
  <c r="S44"/>
  <c r="S37"/>
  <c r="S35" s="1"/>
  <c r="S42" i="98"/>
  <c r="S43"/>
  <c r="S44"/>
  <c r="S39"/>
  <c r="R39" i="111"/>
  <c r="R41"/>
  <c r="R42"/>
  <c r="R43"/>
  <c r="R38"/>
  <c r="L44"/>
  <c r="T44" s="1"/>
  <c r="K43"/>
  <c r="J43"/>
  <c r="K42"/>
  <c r="J42"/>
  <c r="K41"/>
  <c r="J41"/>
  <c r="K39"/>
  <c r="J39"/>
  <c r="K38"/>
  <c r="I38"/>
  <c r="J38" s="1"/>
  <c r="K37"/>
  <c r="I37"/>
  <c r="J37" s="1"/>
  <c r="K36"/>
  <c r="J36"/>
  <c r="K30"/>
  <c r="P34"/>
  <c r="P47" s="1"/>
  <c r="K32"/>
  <c r="K31"/>
  <c r="K29"/>
  <c r="K28"/>
  <c r="L28" s="1"/>
  <c r="T28" s="1"/>
  <c r="K26"/>
  <c r="K25"/>
  <c r="J25"/>
  <c r="K24"/>
  <c r="J24"/>
  <c r="K23"/>
  <c r="L23" s="1"/>
  <c r="T23" s="1"/>
  <c r="K22"/>
  <c r="L22" s="1"/>
  <c r="T22" s="1"/>
  <c r="K21"/>
  <c r="L21" s="1"/>
  <c r="T21" s="1"/>
  <c r="K20"/>
  <c r="L20" s="1"/>
  <c r="T20" s="1"/>
  <c r="K19"/>
  <c r="K18"/>
  <c r="L18" s="1"/>
  <c r="T18" s="1"/>
  <c r="K17"/>
  <c r="N10"/>
  <c r="N6"/>
  <c r="D10" s="1"/>
  <c r="D4"/>
  <c r="T44" i="108"/>
  <c r="L44"/>
  <c r="M44" s="1"/>
  <c r="W44" s="1"/>
  <c r="K44"/>
  <c r="T43"/>
  <c r="L43"/>
  <c r="M43" s="1"/>
  <c r="W43" s="1"/>
  <c r="K43"/>
  <c r="T42"/>
  <c r="L42"/>
  <c r="M42"/>
  <c r="W42" s="1"/>
  <c r="K42"/>
  <c r="L41"/>
  <c r="M41" s="1"/>
  <c r="W41" s="1"/>
  <c r="K41"/>
  <c r="T40"/>
  <c r="L40"/>
  <c r="M40" s="1"/>
  <c r="W40" s="1"/>
  <c r="K40"/>
  <c r="T39"/>
  <c r="L39"/>
  <c r="M39"/>
  <c r="W39" s="1"/>
  <c r="K39"/>
  <c r="T38"/>
  <c r="L38"/>
  <c r="M38" s="1"/>
  <c r="W38" s="1"/>
  <c r="K38"/>
  <c r="T37"/>
  <c r="L37"/>
  <c r="M37" s="1"/>
  <c r="W37" s="1"/>
  <c r="K37"/>
  <c r="Q35"/>
  <c r="Q47"/>
  <c r="Q10"/>
  <c r="D9"/>
  <c r="G18" s="1"/>
  <c r="Q6"/>
  <c r="D10" s="1"/>
  <c r="D4"/>
  <c r="L19" i="98"/>
  <c r="M19" s="1"/>
  <c r="U19" s="1"/>
  <c r="L20"/>
  <c r="L21"/>
  <c r="M21" s="1"/>
  <c r="U21" s="1"/>
  <c r="L22"/>
  <c r="M22" s="1"/>
  <c r="U22" s="1"/>
  <c r="L23"/>
  <c r="M23" s="1"/>
  <c r="L24"/>
  <c r="M24" s="1"/>
  <c r="U24" s="1"/>
  <c r="L25"/>
  <c r="L26"/>
  <c r="L27"/>
  <c r="L29"/>
  <c r="L30"/>
  <c r="L32"/>
  <c r="L18"/>
  <c r="M45"/>
  <c r="L17"/>
  <c r="U45"/>
  <c r="M29"/>
  <c r="L33"/>
  <c r="Q35"/>
  <c r="Q48" s="1"/>
  <c r="L44"/>
  <c r="K44"/>
  <c r="L43"/>
  <c r="K43"/>
  <c r="L42"/>
  <c r="K42"/>
  <c r="L40"/>
  <c r="K40"/>
  <c r="L39"/>
  <c r="I39"/>
  <c r="K39" s="1"/>
  <c r="L38"/>
  <c r="I38"/>
  <c r="L37"/>
  <c r="K37"/>
  <c r="K26"/>
  <c r="K25"/>
  <c r="O10"/>
  <c r="D9"/>
  <c r="G18" s="1"/>
  <c r="O6"/>
  <c r="D4"/>
  <c r="E25" i="52"/>
  <c r="K17"/>
  <c r="L17" s="1"/>
  <c r="R17" s="1"/>
  <c r="K18"/>
  <c r="K34"/>
  <c r="K35"/>
  <c r="K36"/>
  <c r="K37"/>
  <c r="L37" s="1"/>
  <c r="R37" s="1"/>
  <c r="K38"/>
  <c r="K39"/>
  <c r="K40"/>
  <c r="K41"/>
  <c r="K42"/>
  <c r="D4"/>
  <c r="D9"/>
  <c r="P33"/>
  <c r="P45"/>
  <c r="N10"/>
  <c r="N6"/>
  <c r="J17"/>
  <c r="J18"/>
  <c r="L18"/>
  <c r="R18" s="1"/>
  <c r="J16"/>
  <c r="J35"/>
  <c r="J37"/>
  <c r="J38"/>
  <c r="J39"/>
  <c r="J41"/>
  <c r="L41"/>
  <c r="R41" s="1"/>
  <c r="J42"/>
  <c r="J34"/>
  <c r="K16"/>
  <c r="L16" s="1"/>
  <c r="J40"/>
  <c r="B31"/>
  <c r="B30"/>
  <c r="D3" i="82"/>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2"/>
  <c r="C24" i="73"/>
  <c r="D24"/>
  <c r="E24"/>
  <c r="F24"/>
  <c r="G24"/>
  <c r="H24"/>
  <c r="B10"/>
  <c r="B11"/>
  <c r="B12"/>
  <c r="B13"/>
  <c r="B14"/>
  <c r="B15"/>
  <c r="B16"/>
  <c r="B17"/>
  <c r="B18"/>
  <c r="B19"/>
  <c r="B20"/>
  <c r="B21"/>
  <c r="B22"/>
  <c r="A1" i="50"/>
  <c r="J36" i="52"/>
  <c r="S40" i="98"/>
  <c r="L42" i="111"/>
  <c r="T42" s="1"/>
  <c r="L38"/>
  <c r="T38" s="1"/>
  <c r="L30"/>
  <c r="T30" s="1"/>
  <c r="U31" i="98"/>
  <c r="K38"/>
  <c r="M38" s="1"/>
  <c r="U38" s="1"/>
  <c r="D10" i="52"/>
  <c r="L40"/>
  <c r="R40" s="1"/>
  <c r="L34"/>
  <c r="R34" s="1"/>
  <c r="L39"/>
  <c r="R39" s="1"/>
  <c r="L38"/>
  <c r="R38" s="1"/>
  <c r="L42"/>
  <c r="R42" s="1"/>
  <c r="L35"/>
  <c r="R35"/>
  <c r="V7"/>
  <c r="J33"/>
  <c r="L36"/>
  <c r="M28" i="98"/>
  <c r="U28" s="1"/>
  <c r="I19" i="52"/>
  <c r="D11"/>
  <c r="I30" s="1"/>
  <c r="K30" s="1"/>
  <c r="I20"/>
  <c r="I32"/>
  <c r="L32" s="1"/>
  <c r="R32" s="1"/>
  <c r="R36"/>
  <c r="V8"/>
  <c r="I22"/>
  <c r="K22" s="1"/>
  <c r="I24"/>
  <c r="K24" s="1"/>
  <c r="I26"/>
  <c r="K26" s="1"/>
  <c r="I28"/>
  <c r="I21"/>
  <c r="I23"/>
  <c r="I33" s="1"/>
  <c r="I45" s="1"/>
  <c r="I25"/>
  <c r="I27"/>
  <c r="K27" s="1"/>
  <c r="I29"/>
  <c r="I31"/>
  <c r="K31" s="1"/>
  <c r="K19"/>
  <c r="K23"/>
  <c r="K25"/>
  <c r="K29"/>
  <c r="K21"/>
  <c r="L30"/>
  <c r="R30" s="1"/>
  <c r="L22"/>
  <c r="R22" s="1"/>
  <c r="L25"/>
  <c r="R25" s="1"/>
  <c r="L23"/>
  <c r="R23" s="1"/>
  <c r="U29" i="98"/>
  <c r="U23"/>
  <c r="L21" i="52"/>
  <c r="R21" s="1"/>
  <c r="L27" i="111"/>
  <c r="T27" s="1"/>
  <c r="L31" i="108"/>
  <c r="M31"/>
  <c r="W31" s="1"/>
  <c r="AC9" l="1"/>
  <c r="AB9"/>
  <c r="M42" i="98"/>
  <c r="U42" s="1"/>
  <c r="M44"/>
  <c r="U44" s="1"/>
  <c r="L37" i="111"/>
  <c r="T37" s="1"/>
  <c r="L43"/>
  <c r="T43" s="1"/>
  <c r="L24"/>
  <c r="T24" s="1"/>
  <c r="L39"/>
  <c r="T39" s="1"/>
  <c r="Y9"/>
  <c r="Z9"/>
  <c r="Z8"/>
  <c r="L41"/>
  <c r="L36"/>
  <c r="T36" s="1"/>
  <c r="M40" i="98"/>
  <c r="U40" s="1"/>
  <c r="Z9"/>
  <c r="AA9"/>
  <c r="M37"/>
  <c r="U37" s="1"/>
  <c r="M39"/>
  <c r="U39" s="1"/>
  <c r="M43"/>
  <c r="U43" s="1"/>
  <c r="M25"/>
  <c r="U25" s="1"/>
  <c r="M26"/>
  <c r="U26" s="1"/>
  <c r="K45" i="111"/>
  <c r="L25"/>
  <c r="U37" i="108"/>
  <c r="L46" i="98"/>
  <c r="I18" i="111"/>
  <c r="I33"/>
  <c r="J33" s="1"/>
  <c r="L33" s="1"/>
  <c r="T33" s="1"/>
  <c r="D11"/>
  <c r="I24" s="1"/>
  <c r="I19"/>
  <c r="J19" s="1"/>
  <c r="L19" s="1"/>
  <c r="D10" i="98"/>
  <c r="D11" s="1"/>
  <c r="U43" i="108"/>
  <c r="U40"/>
  <c r="I19"/>
  <c r="I34"/>
  <c r="D11"/>
  <c r="I25" s="1"/>
  <c r="I20"/>
  <c r="J20" s="1"/>
  <c r="K20" s="1"/>
  <c r="L20" s="1"/>
  <c r="U41"/>
  <c r="U39"/>
  <c r="U38"/>
  <c r="U44"/>
  <c r="U42"/>
  <c r="AB8"/>
  <c r="L19" i="52"/>
  <c r="R19" s="1"/>
  <c r="B24" i="73"/>
  <c r="J15" i="52"/>
  <c r="L27"/>
  <c r="R27" s="1"/>
  <c r="L31"/>
  <c r="R31" s="1"/>
  <c r="L24"/>
  <c r="K28"/>
  <c r="L28" s="1"/>
  <c r="L26"/>
  <c r="R26" s="1"/>
  <c r="C25" i="73"/>
  <c r="Z8" i="98"/>
  <c r="K20" i="52"/>
  <c r="K44" s="1"/>
  <c r="L43" s="1"/>
  <c r="R43" s="1"/>
  <c r="R16"/>
  <c r="L29"/>
  <c r="R29" s="1"/>
  <c r="AA8" i="98"/>
  <c r="T41" i="111"/>
  <c r="R28" i="52" l="1"/>
  <c r="V5"/>
  <c r="L20"/>
  <c r="L33" s="1"/>
  <c r="AC8" i="108"/>
  <c r="I25" i="111"/>
  <c r="Y8"/>
  <c r="J29"/>
  <c r="L29" s="1"/>
  <c r="T29" s="1"/>
  <c r="J26"/>
  <c r="L26" s="1"/>
  <c r="T26" s="1"/>
  <c r="T25"/>
  <c r="I28" i="98"/>
  <c r="J28" s="1"/>
  <c r="K30"/>
  <c r="M30" s="1"/>
  <c r="U30" s="1"/>
  <c r="K27"/>
  <c r="M27" s="1"/>
  <c r="U27" s="1"/>
  <c r="I31" i="111"/>
  <c r="J31" s="1"/>
  <c r="I27"/>
  <c r="I32"/>
  <c r="J32" s="1"/>
  <c r="L32" s="1"/>
  <c r="T32" s="1"/>
  <c r="I22"/>
  <c r="T19"/>
  <c r="I28"/>
  <c r="I20"/>
  <c r="I21"/>
  <c r="I23"/>
  <c r="I26"/>
  <c r="I29"/>
  <c r="I33" i="98"/>
  <c r="K33" s="1"/>
  <c r="M33" s="1"/>
  <c r="U33" s="1"/>
  <c r="I22"/>
  <c r="J22" s="1"/>
  <c r="I25"/>
  <c r="J25" s="1"/>
  <c r="I30"/>
  <c r="J30" s="1"/>
  <c r="I23"/>
  <c r="J23" s="1"/>
  <c r="I32"/>
  <c r="I26"/>
  <c r="J26" s="1"/>
  <c r="I21"/>
  <c r="J21" s="1"/>
  <c r="I20"/>
  <c r="K20" s="1"/>
  <c r="I24"/>
  <c r="J24" s="1"/>
  <c r="I34"/>
  <c r="K34" s="1"/>
  <c r="M34" s="1"/>
  <c r="U34" s="1"/>
  <c r="I29"/>
  <c r="J29" s="1"/>
  <c r="I27"/>
  <c r="J27" s="1"/>
  <c r="I19"/>
  <c r="J19" s="1"/>
  <c r="J19" i="108"/>
  <c r="K19" s="1"/>
  <c r="M34"/>
  <c r="W34" s="1"/>
  <c r="K34"/>
  <c r="I24"/>
  <c r="K24" s="1"/>
  <c r="L24" s="1"/>
  <c r="M24" s="1"/>
  <c r="W24" s="1"/>
  <c r="M20"/>
  <c r="I22"/>
  <c r="J22" s="1"/>
  <c r="I33"/>
  <c r="J33" s="1"/>
  <c r="I23"/>
  <c r="K23" s="1"/>
  <c r="L23" s="1"/>
  <c r="M23" s="1"/>
  <c r="W23" s="1"/>
  <c r="I21"/>
  <c r="I27"/>
  <c r="J27" s="1"/>
  <c r="K27" s="1"/>
  <c r="L27" s="1"/>
  <c r="I30"/>
  <c r="K30" s="1"/>
  <c r="I28"/>
  <c r="I29"/>
  <c r="I32"/>
  <c r="J32" s="1"/>
  <c r="K32" s="1"/>
  <c r="L32" s="1"/>
  <c r="M32" s="1"/>
  <c r="W32" s="1"/>
  <c r="I26"/>
  <c r="J26" s="1"/>
  <c r="K26" s="1"/>
  <c r="L45" i="52"/>
  <c r="R33"/>
  <c r="R45" s="1"/>
  <c r="R24"/>
  <c r="V4"/>
  <c r="V9" s="1"/>
  <c r="V10" s="1"/>
  <c r="V6"/>
  <c r="R20"/>
  <c r="J25" i="108"/>
  <c r="K25" s="1"/>
  <c r="J29" i="52"/>
  <c r="J22"/>
  <c r="J30"/>
  <c r="J27"/>
  <c r="J20"/>
  <c r="J28"/>
  <c r="J19"/>
  <c r="J23"/>
  <c r="J26"/>
  <c r="J32"/>
  <c r="J21"/>
  <c r="J25"/>
  <c r="J31"/>
  <c r="J24"/>
  <c r="I35" i="108" l="1"/>
  <c r="I47" s="1"/>
  <c r="M27"/>
  <c r="W27" s="1"/>
  <c r="K33"/>
  <c r="L33" s="1"/>
  <c r="M33" s="1"/>
  <c r="W33" s="1"/>
  <c r="I35" i="98"/>
  <c r="S15" s="1"/>
  <c r="I34" i="111"/>
  <c r="L31"/>
  <c r="J34"/>
  <c r="J47" s="1"/>
  <c r="J20" i="98"/>
  <c r="M20" s="1"/>
  <c r="U20" s="1"/>
  <c r="J32"/>
  <c r="K32"/>
  <c r="M32" s="1"/>
  <c r="U32" s="1"/>
  <c r="J33"/>
  <c r="T31" i="108"/>
  <c r="U31" s="1"/>
  <c r="L19"/>
  <c r="M19" s="1"/>
  <c r="W19" s="1"/>
  <c r="J28"/>
  <c r="J21"/>
  <c r="K21" s="1"/>
  <c r="L21" s="1"/>
  <c r="M21" s="1"/>
  <c r="W21" s="1"/>
  <c r="L30"/>
  <c r="M30" s="1"/>
  <c r="W30" s="1"/>
  <c r="J29"/>
  <c r="K29" s="1"/>
  <c r="W20"/>
  <c r="K22"/>
  <c r="L25"/>
  <c r="M25" s="1"/>
  <c r="W25" s="1"/>
  <c r="L26"/>
  <c r="M26" s="1"/>
  <c r="W26" s="1"/>
  <c r="I47" i="111" l="1"/>
  <c r="L17" s="1"/>
  <c r="R15"/>
  <c r="I48" i="98"/>
  <c r="J46" i="108"/>
  <c r="K18" s="1"/>
  <c r="L18" s="1"/>
  <c r="M18" s="1"/>
  <c r="Z5" i="98"/>
  <c r="J46"/>
  <c r="K18" s="1"/>
  <c r="M18" s="1"/>
  <c r="Y5" i="111"/>
  <c r="T31"/>
  <c r="L29" i="108"/>
  <c r="M29" s="1"/>
  <c r="W29" s="1"/>
  <c r="K28"/>
  <c r="L22"/>
  <c r="M22" s="1"/>
  <c r="Y6" i="111" l="1"/>
  <c r="Y7"/>
  <c r="L34"/>
  <c r="T34" s="1"/>
  <c r="T47" s="1"/>
  <c r="T17"/>
  <c r="W18" i="108"/>
  <c r="AB7"/>
  <c r="K35" i="98"/>
  <c r="K48" s="1"/>
  <c r="M17" s="1"/>
  <c r="M35" s="1"/>
  <c r="L28" i="108"/>
  <c r="L46" s="1"/>
  <c r="M45" s="1"/>
  <c r="K35"/>
  <c r="W22"/>
  <c r="U18" i="98"/>
  <c r="Z7"/>
  <c r="M28" i="108" l="1"/>
  <c r="W28" s="1"/>
  <c r="W35" s="1"/>
  <c r="Y10" i="111"/>
  <c r="L47"/>
  <c r="K47" i="108"/>
  <c r="S15"/>
  <c r="Z6" i="98"/>
  <c r="Z10" s="1"/>
  <c r="U17"/>
  <c r="W45" i="108"/>
  <c r="AB5"/>
  <c r="M48" i="98"/>
  <c r="U35"/>
  <c r="U48" s="1"/>
  <c r="M35" i="108" l="1"/>
  <c r="M47" s="1"/>
  <c r="AB6"/>
  <c r="AB10" s="1"/>
  <c r="Y11" i="111"/>
  <c r="Z11" i="98"/>
  <c r="S22" i="108"/>
  <c r="T22" s="1"/>
  <c r="U22" s="1"/>
  <c r="S19"/>
  <c r="T19" s="1"/>
  <c r="U19" s="1"/>
  <c r="S29"/>
  <c r="T29" s="1"/>
  <c r="U29" s="1"/>
  <c r="S23"/>
  <c r="T23" s="1"/>
  <c r="U23" s="1"/>
  <c r="S28"/>
  <c r="T28" s="1"/>
  <c r="U28" s="1"/>
  <c r="S24"/>
  <c r="T24" s="1"/>
  <c r="U24" s="1"/>
  <c r="S32"/>
  <c r="T32" s="1"/>
  <c r="U32" s="1"/>
  <c r="S21"/>
  <c r="T21" s="1"/>
  <c r="U21" s="1"/>
  <c r="S18"/>
  <c r="T18" s="1"/>
  <c r="S27"/>
  <c r="T27" s="1"/>
  <c r="U27" s="1"/>
  <c r="S26"/>
  <c r="T26" s="1"/>
  <c r="U26" s="1"/>
  <c r="S20"/>
  <c r="T20" s="1"/>
  <c r="U20" s="1"/>
  <c r="S25"/>
  <c r="T25" s="1"/>
  <c r="U25" s="1"/>
  <c r="S33"/>
  <c r="T33" s="1"/>
  <c r="U33" s="1"/>
  <c r="S30"/>
  <c r="T30" s="1"/>
  <c r="U30" s="1"/>
  <c r="S34"/>
  <c r="U34" s="1"/>
  <c r="W47"/>
  <c r="AB11" l="1"/>
  <c r="AC7"/>
  <c r="U18"/>
  <c r="U35" s="1"/>
  <c r="T46"/>
  <c r="U45" s="1"/>
  <c r="AC5" s="1"/>
  <c r="AC6" l="1"/>
  <c r="AC10" s="1"/>
  <c r="U47"/>
  <c r="AC11" l="1"/>
  <c r="AA6" i="98" l="1"/>
  <c r="AA5"/>
  <c r="AA7"/>
  <c r="AA10" l="1"/>
  <c r="AA11" s="1"/>
  <c r="Z7" i="111"/>
  <c r="Z5" l="1"/>
  <c r="Z6"/>
  <c r="Z10" l="1"/>
  <c r="Z11" s="1"/>
</calcChain>
</file>

<file path=xl/comments1.xml><?xml version="1.0" encoding="utf-8"?>
<comments xmlns="http://schemas.openxmlformats.org/spreadsheetml/2006/main">
  <authors>
    <author>Ryan Mendoza</author>
  </authors>
  <commentList>
    <comment ref="E11" author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text>
        <r>
          <rPr>
            <sz val="8"/>
            <color indexed="81"/>
            <rFont val="Tahoma"/>
            <family val="2"/>
          </rPr>
          <t xml:space="preserve">Sunset changed to 7/1/13 per SB 78 Ch.10.  If not extended fee will revert to $30.
</t>
        </r>
      </text>
    </comment>
  </commentList>
</comments>
</file>

<file path=xl/comments2.xml><?xml version="1.0" encoding="utf-8"?>
<comments xmlns="http://schemas.openxmlformats.org/spreadsheetml/2006/main">
  <authors>
    <author>Ryan Mendoza</author>
  </authors>
  <commentList>
    <comment ref="D8" authorId="0">
      <text>
        <r>
          <rPr>
            <b/>
            <sz val="8"/>
            <color indexed="81"/>
            <rFont val="Tahoma"/>
            <family val="2"/>
          </rPr>
          <t>If CITY ARREST, Enter County % under PC 1463.002 list. Else, enter 100.</t>
        </r>
        <r>
          <rPr>
            <sz val="8"/>
            <color indexed="81"/>
            <rFont val="Tahoma"/>
            <family val="2"/>
          </rPr>
          <t xml:space="preserve">
</t>
        </r>
      </text>
    </comment>
    <comment ref="C34" author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3.xml><?xml version="1.0" encoding="utf-8"?>
<comments xmlns="http://schemas.openxmlformats.org/spreadsheetml/2006/main">
  <authors>
    <author>Ryan Mendoza</author>
    <author>AOC User</author>
  </authors>
  <commentList>
    <comment ref="P5" author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text>
        <r>
          <rPr>
            <b/>
            <sz val="8"/>
            <color indexed="81"/>
            <rFont val="Tahoma"/>
            <family val="2"/>
          </rPr>
          <t>If CITY ARREST, Enter County % under PC 1463.002 list. Else, enter 100.</t>
        </r>
        <r>
          <rPr>
            <sz val="8"/>
            <color indexed="81"/>
            <rFont val="Tahoma"/>
            <family val="2"/>
          </rPr>
          <t xml:space="preserve">
</t>
        </r>
      </text>
    </comment>
    <comment ref="C30" authorId="1">
      <text>
        <r>
          <rPr>
            <b/>
            <sz val="10"/>
            <color indexed="81"/>
            <rFont val="Tahoma"/>
            <family val="2"/>
          </rPr>
          <t>ASSESSED FOR EVERY CONVICTION OF VC VIOLATION</t>
        </r>
        <r>
          <rPr>
            <sz val="10"/>
            <color indexed="81"/>
            <rFont val="Tahoma"/>
            <family val="2"/>
          </rPr>
          <t xml:space="preserve">
</t>
        </r>
      </text>
    </comment>
    <comment ref="C35" authorId="1">
      <text>
        <r>
          <rPr>
            <b/>
            <sz val="10"/>
            <color indexed="81"/>
            <rFont val="Tahoma"/>
            <family val="2"/>
          </rPr>
          <t>ASSESSED FOR EVERY CONVICTION</t>
        </r>
        <r>
          <rPr>
            <sz val="10"/>
            <color indexed="81"/>
            <rFont val="Tahoma"/>
            <family val="2"/>
          </rPr>
          <t xml:space="preserve">
</t>
        </r>
      </text>
    </comment>
    <comment ref="C36" authorId="1">
      <text>
        <r>
          <rPr>
            <b/>
            <sz val="10"/>
            <color indexed="81"/>
            <rFont val="Tahoma"/>
            <family val="2"/>
          </rPr>
          <t>ASSESSED FOR EVERY CONVICTION</t>
        </r>
        <r>
          <rPr>
            <sz val="10"/>
            <color indexed="81"/>
            <rFont val="Tahoma"/>
            <family val="2"/>
          </rPr>
          <t xml:space="preserve">
</t>
        </r>
      </text>
    </comment>
    <comment ref="C42" author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s>
  <commentList>
    <comment ref="S5" author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text>
        <r>
          <rPr>
            <b/>
            <sz val="8"/>
            <color indexed="81"/>
            <rFont val="Tahoma"/>
            <family val="2"/>
          </rPr>
          <t>If CITY ARREST, Enter County % under PC 1463.002 list. Else, enter 100.</t>
        </r>
        <r>
          <rPr>
            <sz val="8"/>
            <color indexed="81"/>
            <rFont val="Tahoma"/>
            <family val="2"/>
          </rPr>
          <t xml:space="preserve">
</t>
        </r>
      </text>
    </comment>
    <comment ref="C31" authorId="1">
      <text>
        <r>
          <rPr>
            <b/>
            <sz val="10"/>
            <color indexed="81"/>
            <rFont val="Tahoma"/>
            <family val="2"/>
          </rPr>
          <t>ASSESSED FOR EVERY CONVICTION OF VC VIOLATION</t>
        </r>
        <r>
          <rPr>
            <sz val="10"/>
            <color indexed="81"/>
            <rFont val="Tahoma"/>
            <family val="2"/>
          </rPr>
          <t xml:space="preserve">
</t>
        </r>
      </text>
    </comment>
    <comment ref="C36" authorId="1">
      <text>
        <r>
          <rPr>
            <b/>
            <sz val="10"/>
            <color indexed="81"/>
            <rFont val="Tahoma"/>
            <family val="2"/>
          </rPr>
          <t>ASSESSED FOR EVERY CONVICTION</t>
        </r>
        <r>
          <rPr>
            <sz val="10"/>
            <color indexed="81"/>
            <rFont val="Tahoma"/>
            <family val="2"/>
          </rPr>
          <t xml:space="preserve">
</t>
        </r>
      </text>
    </comment>
    <comment ref="C37" authorId="1">
      <text>
        <r>
          <rPr>
            <b/>
            <sz val="10"/>
            <color indexed="81"/>
            <rFont val="Tahoma"/>
            <family val="2"/>
          </rPr>
          <t>ASSESSED FOR EVERY CONVICTION</t>
        </r>
        <r>
          <rPr>
            <sz val="10"/>
            <color indexed="81"/>
            <rFont val="Tahoma"/>
            <family val="2"/>
          </rPr>
          <t xml:space="preserve">
</t>
        </r>
      </text>
    </comment>
    <comment ref="C43" author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authors>
    <author>Ryan Mendoza</author>
    <author>AOC User</author>
  </authors>
  <commentList>
    <comment ref="Q5" author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text>
        <r>
          <rPr>
            <b/>
            <sz val="8"/>
            <color indexed="81"/>
            <rFont val="Tahoma"/>
            <family val="2"/>
          </rPr>
          <t>If CITY ARREST, Enter County % under PC 1463.002 list. Else, enter 100.</t>
        </r>
        <r>
          <rPr>
            <sz val="8"/>
            <color indexed="81"/>
            <rFont val="Tahoma"/>
            <family val="2"/>
          </rPr>
          <t xml:space="preserve">
</t>
        </r>
      </text>
    </comment>
    <comment ref="C31" authorId="1">
      <text>
        <r>
          <rPr>
            <b/>
            <sz val="10"/>
            <color indexed="81"/>
            <rFont val="Tahoma"/>
            <family val="2"/>
          </rPr>
          <t>ASSESSED FOR EVERY CONVICTION OF VC VIOLATION</t>
        </r>
        <r>
          <rPr>
            <sz val="10"/>
            <color indexed="81"/>
            <rFont val="Tahoma"/>
            <family val="2"/>
          </rPr>
          <t xml:space="preserve">
</t>
        </r>
      </text>
    </comment>
    <comment ref="C36" authorId="1">
      <text>
        <r>
          <rPr>
            <b/>
            <sz val="10"/>
            <color indexed="81"/>
            <rFont val="Tahoma"/>
            <family val="2"/>
          </rPr>
          <t>ASSESSED FOR EVERY CONVICTION</t>
        </r>
        <r>
          <rPr>
            <sz val="10"/>
            <color indexed="81"/>
            <rFont val="Tahoma"/>
            <family val="2"/>
          </rPr>
          <t xml:space="preserve">
</t>
        </r>
      </text>
    </comment>
    <comment ref="C37" authorId="1">
      <text>
        <r>
          <rPr>
            <b/>
            <sz val="10"/>
            <color indexed="81"/>
            <rFont val="Tahoma"/>
            <family val="2"/>
          </rPr>
          <t>ASSESSED FOR EVERY CONVICTION</t>
        </r>
        <r>
          <rPr>
            <sz val="10"/>
            <color indexed="81"/>
            <rFont val="Tahoma"/>
            <family val="2"/>
          </rPr>
          <t xml:space="preserve">
</t>
        </r>
      </text>
    </comment>
    <comment ref="C43" author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6.xml><?xml version="1.0" encoding="utf-8"?>
<comments xmlns="http://schemas.openxmlformats.org/spreadsheetml/2006/main">
  <authors>
    <author>Ryan Mendoza</author>
    <author>AOC User</author>
  </authors>
  <commentList>
    <comment ref="Q5" author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text>
        <r>
          <rPr>
            <b/>
            <sz val="8"/>
            <color indexed="81"/>
            <rFont val="Tahoma"/>
            <family val="2"/>
          </rPr>
          <t>If CITY ARREST, Enter County % under PC 1463.002 list. Else, enter 100.</t>
        </r>
        <r>
          <rPr>
            <sz val="8"/>
            <color indexed="81"/>
            <rFont val="Tahoma"/>
            <family val="2"/>
          </rPr>
          <t xml:space="preserve">
</t>
        </r>
      </text>
    </comment>
    <comment ref="C31" authorId="1">
      <text>
        <r>
          <rPr>
            <b/>
            <sz val="10"/>
            <color indexed="81"/>
            <rFont val="Tahoma"/>
            <family val="2"/>
          </rPr>
          <t>ASSESSED FOR EVERY CONVICTION</t>
        </r>
        <r>
          <rPr>
            <sz val="10"/>
            <color indexed="81"/>
            <rFont val="Tahoma"/>
            <family val="2"/>
          </rPr>
          <t xml:space="preserve">
</t>
        </r>
      </text>
    </comment>
    <comment ref="C36" authorId="1">
      <text>
        <r>
          <rPr>
            <b/>
            <sz val="10"/>
            <color indexed="81"/>
            <rFont val="Tahoma"/>
            <family val="2"/>
          </rPr>
          <t>ASSESSED FOR EVERY CONVICTION</t>
        </r>
        <r>
          <rPr>
            <sz val="10"/>
            <color indexed="81"/>
            <rFont val="Tahoma"/>
            <family val="2"/>
          </rPr>
          <t xml:space="preserve">
</t>
        </r>
      </text>
    </comment>
    <comment ref="C37" authorId="1">
      <text>
        <r>
          <rPr>
            <b/>
            <sz val="10"/>
            <color indexed="81"/>
            <rFont val="Tahoma"/>
            <family val="2"/>
          </rPr>
          <t>ASSESSED FOR EVERY CONVICTION</t>
        </r>
        <r>
          <rPr>
            <sz val="10"/>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s>
  <commentList>
    <comment ref="Q5" author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text>
        <r>
          <rPr>
            <b/>
            <sz val="8"/>
            <color indexed="81"/>
            <rFont val="Tahoma"/>
            <family val="2"/>
          </rPr>
          <t>If CITY ARREST, Enter County % under PC 1463.002 list. Else, enter 100.</t>
        </r>
        <r>
          <rPr>
            <sz val="8"/>
            <color indexed="81"/>
            <rFont val="Tahoma"/>
            <family val="2"/>
          </rPr>
          <t xml:space="preserve">
</t>
        </r>
      </text>
    </comment>
    <comment ref="C31" authorId="1">
      <text>
        <r>
          <rPr>
            <b/>
            <sz val="10"/>
            <color indexed="81"/>
            <rFont val="Tahoma"/>
            <family val="2"/>
          </rPr>
          <t>ASSESSED FOR EVERY CONVICTION</t>
        </r>
        <r>
          <rPr>
            <sz val="10"/>
            <color indexed="81"/>
            <rFont val="Tahoma"/>
            <family val="2"/>
          </rPr>
          <t xml:space="preserve">
</t>
        </r>
      </text>
    </comment>
    <comment ref="C36" authorId="1">
      <text>
        <r>
          <rPr>
            <b/>
            <sz val="10"/>
            <color indexed="81"/>
            <rFont val="Tahoma"/>
            <family val="2"/>
          </rPr>
          <t>ASSESSED FOR EVERY CONVICTION</t>
        </r>
        <r>
          <rPr>
            <sz val="10"/>
            <color indexed="81"/>
            <rFont val="Tahoma"/>
            <family val="2"/>
          </rPr>
          <t xml:space="preserve">
</t>
        </r>
      </text>
    </comment>
    <comment ref="C37" authorId="1">
      <text>
        <r>
          <rPr>
            <b/>
            <sz val="10"/>
            <color indexed="81"/>
            <rFont val="Tahoma"/>
            <family val="2"/>
          </rPr>
          <t>ASSESSED FOR EVERY CONVICTION</t>
        </r>
        <r>
          <rPr>
            <sz val="10"/>
            <color indexed="81"/>
            <rFont val="Tahoma"/>
            <family val="2"/>
          </rPr>
          <t xml:space="preserve">
</t>
        </r>
      </text>
    </comment>
  </commentList>
</comments>
</file>

<file path=xl/sharedStrings.xml><?xml version="1.0" encoding="utf-8"?>
<sst xmlns="http://schemas.openxmlformats.org/spreadsheetml/2006/main" count="1546" uniqueCount="452">
  <si>
    <t>Fund</t>
  </si>
  <si>
    <t>TOTAL</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</si>
  <si>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</si>
  <si>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</si>
  <si>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</si>
  <si>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</si>
  <si>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</si>
  <si>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</si>
  <si>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</si>
  <si>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</si>
  <si>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</si>
  <si>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</si>
  <si>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</si>
  <si>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</si>
  <si>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</si>
  <si>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</si>
  <si>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Total Fine</t>
  </si>
  <si>
    <t>Violation Type</t>
  </si>
  <si>
    <t>Disposition</t>
  </si>
  <si>
    <t>Priors</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</si>
  <si>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</si>
  <si>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</si>
  <si>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</si>
  <si>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</si>
  <si>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</si>
  <si>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</si>
  <si>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</si>
  <si>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</si>
  <si>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</si>
  <si>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</si>
  <si>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</si>
  <si>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</si>
  <si>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</si>
  <si>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</si>
  <si>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</si>
  <si>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</si>
  <si>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</si>
  <si>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</si>
  <si>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</si>
  <si>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</si>
  <si>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</si>
  <si>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</si>
  <si>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</si>
  <si>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</si>
  <si>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</si>
  <si>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</si>
  <si>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</si>
  <si>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</si>
  <si>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</si>
  <si>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</si>
  <si>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</si>
  <si>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</si>
  <si>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</si>
  <si>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</si>
  <si>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</si>
  <si>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</si>
  <si>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</si>
  <si>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</si>
  <si>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</si>
  <si>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</si>
  <si>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</si>
  <si>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</si>
  <si>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</si>
  <si>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</si>
  <si>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</si>
  <si>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State DNA Identification Fund3</t>
  </si>
  <si>
    <t>PC 1465.8</t>
  </si>
  <si>
    <t>Test No.</t>
  </si>
  <si>
    <t>Case No.</t>
  </si>
  <si>
    <t>Arrtg Agy</t>
  </si>
  <si>
    <t>VC 42006</t>
  </si>
  <si>
    <t>County Night Court Session Fund</t>
  </si>
  <si>
    <t>TOTAL FINE</t>
  </si>
  <si>
    <t xml:space="preserve">Court </t>
  </si>
  <si>
    <t>RLBF</t>
  </si>
  <si>
    <t>SpTS</t>
  </si>
  <si>
    <t>TOTALS</t>
  </si>
  <si>
    <t>USE IF THE TEST CASE IS UNDER A PAYMENT PLAN</t>
  </si>
  <si>
    <t>Payment Dates</t>
  </si>
  <si>
    <t>Fund Accounts</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</si>
  <si>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</si>
  <si>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</si>
  <si>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</si>
  <si>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</si>
  <si>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</si>
  <si>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</si>
  <si>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</si>
  <si>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</si>
  <si>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</si>
  <si>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</si>
  <si>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</si>
  <si>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</si>
  <si>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</si>
  <si>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</si>
  <si>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</si>
  <si>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</si>
  <si>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</si>
  <si>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</si>
  <si>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</si>
  <si>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</si>
  <si>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</si>
  <si>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</si>
  <si>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</si>
  <si>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</si>
  <si>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</si>
  <si>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</si>
  <si>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</si>
  <si>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</si>
  <si>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</si>
  <si>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</si>
  <si>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</si>
  <si>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</si>
  <si>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</si>
  <si>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</si>
  <si>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</si>
  <si>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</si>
  <si>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</si>
  <si>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</si>
  <si>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</si>
  <si>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</si>
  <si>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</si>
  <si>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</si>
  <si>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</si>
  <si>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</si>
  <si>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</si>
  <si>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</si>
  <si>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</si>
  <si>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</si>
  <si>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</si>
  <si>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</si>
  <si>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</si>
  <si>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</si>
  <si>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</si>
  <si>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</si>
  <si>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</si>
  <si>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</si>
  <si>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</si>
  <si>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</si>
  <si>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</si>
  <si>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</si>
  <si>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</si>
  <si>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</si>
  <si>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</si>
  <si>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</si>
  <si>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</si>
  <si>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</si>
  <si>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</si>
  <si>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</si>
  <si>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</si>
  <si>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</si>
  <si>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</si>
  <si>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</si>
  <si>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</si>
  <si>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</si>
  <si>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</si>
  <si>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</si>
  <si>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</si>
  <si>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</si>
  <si>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</si>
  <si>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</si>
  <si>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</si>
  <si>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</si>
  <si>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</si>
  <si>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</si>
  <si>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</si>
  <si>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</si>
  <si>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</si>
  <si>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</si>
  <si>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</si>
  <si>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</si>
  <si>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</si>
  <si>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</si>
  <si>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</si>
  <si>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</si>
  <si>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</si>
  <si>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</si>
  <si>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</si>
  <si>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</si>
  <si>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</si>
  <si>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</si>
  <si>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</si>
  <si>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</si>
  <si>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</si>
  <si>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</si>
  <si>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</si>
  <si>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</si>
  <si>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</si>
  <si>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</si>
  <si>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</si>
  <si>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</si>
  <si>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</si>
  <si>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</si>
  <si>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</si>
  <si>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</si>
  <si>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</si>
  <si>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</si>
  <si>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</si>
  <si>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</si>
  <si>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</si>
  <si>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</si>
  <si>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</si>
  <si>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</si>
  <si>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</si>
  <si>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</si>
  <si>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</si>
  <si>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</si>
  <si>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</si>
  <si>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</si>
  <si>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</si>
  <si>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</si>
  <si>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</si>
  <si>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</si>
  <si>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</si>
  <si>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</si>
  <si>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</si>
  <si>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</si>
  <si>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</si>
  <si>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</si>
  <si>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</si>
  <si>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</si>
  <si>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</si>
  <si>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</si>
  <si>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</si>
  <si>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</si>
  <si>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</si>
  <si>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</si>
  <si>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</si>
  <si>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</si>
  <si>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</si>
  <si>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</si>
  <si>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</si>
  <si>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</si>
  <si>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</si>
  <si>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</si>
  <si>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</si>
  <si>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</si>
  <si>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Std Distrib (UBS)</t>
  </si>
  <si>
    <t>Traffic infraction</t>
  </si>
  <si>
    <t xml:space="preserve">6 - Red Light Bail Forfeiture - </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</si>
  <si>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</si>
  <si>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</si>
  <si>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</si>
  <si>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</si>
  <si>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</si>
  <si>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</si>
  <si>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</si>
  <si>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</si>
  <si>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</si>
  <si>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</si>
  <si>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</si>
  <si>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</si>
  <si>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</si>
  <si>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</si>
  <si>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</si>
  <si>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</si>
  <si>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</si>
  <si>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</si>
  <si>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</si>
  <si>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</si>
  <si>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</si>
  <si>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</si>
  <si>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</si>
  <si>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</si>
  <si>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</si>
  <si>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</si>
  <si>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</si>
  <si>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</si>
  <si>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</si>
  <si>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</si>
  <si>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</si>
  <si>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</si>
  <si>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</si>
  <si>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</si>
  <si>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</si>
  <si>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</si>
  <si>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</si>
  <si>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</si>
  <si>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</si>
  <si>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</si>
  <si>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</si>
  <si>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10 - Speeding Traffic School - </t>
  </si>
  <si>
    <t>Traffic Infraction</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</si>
  <si>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</si>
  <si>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</si>
  <si>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</si>
  <si>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</si>
  <si>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</si>
  <si>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</si>
  <si>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</si>
  <si>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</si>
  <si>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</si>
  <si>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</si>
  <si>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</si>
  <si>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</si>
  <si>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</si>
  <si>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</si>
  <si>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</si>
  <si>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</si>
  <si>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</si>
  <si>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</si>
  <si>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</si>
  <si>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COMMENTS</t>
  </si>
  <si>
    <t>GC 76000.10(c) - EMAT Penalty ($4 eff 1-1-11)</t>
  </si>
  <si>
    <t>CMS Account Code</t>
  </si>
  <si>
    <t>Code Description</t>
  </si>
  <si>
    <t>Chaptered on 9/30/10</t>
  </si>
  <si>
    <t>per conviction</t>
  </si>
  <si>
    <t xml:space="preserve">2011 Criminal Justice Realignment Act transferred trial court security funding from the Judicial branch to the counties. </t>
  </si>
  <si>
    <t>GC 76104.5 - DNA ID</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</si>
  <si>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</si>
  <si>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</si>
  <si>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</si>
  <si>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</si>
  <si>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</si>
  <si>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</si>
  <si>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</si>
  <si>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</si>
  <si>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</si>
  <si>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</si>
  <si>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</si>
  <si>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</si>
  <si>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</si>
  <si>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</si>
  <si>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</si>
  <si>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</si>
  <si>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</si>
  <si>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</si>
  <si>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</si>
  <si>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</si>
  <si>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</si>
  <si>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</si>
  <si>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</si>
  <si>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</si>
  <si>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</si>
  <si>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7. Tickmark any FINDINGS numerically then detail below</t>
  </si>
  <si>
    <t>Yes</t>
  </si>
  <si>
    <t>No</t>
  </si>
  <si>
    <t>NA-County Arrest</t>
  </si>
  <si>
    <t>NA-City Arrest</t>
  </si>
  <si>
    <t>CNTY or CTY</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</si>
  <si>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</si>
  <si>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</si>
  <si>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</si>
  <si>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</si>
  <si>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</si>
  <si>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</si>
  <si>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</si>
  <si>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</si>
  <si>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</si>
  <si>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</si>
  <si>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</si>
  <si>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t>GC 76104.7 - DNA Addl PA (4/10 eff 6-27-12; prev 3/10)</t>
  </si>
  <si>
    <t>Domestic Violence Probation Fee</t>
  </si>
  <si>
    <t>PC 1203.097(a)(5)</t>
  </si>
  <si>
    <t>per violation with probation granted</t>
  </si>
  <si>
    <t>Chaptered on 9/24/12</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</si>
  <si>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</si>
  <si>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</si>
  <si>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</si>
  <si>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</si>
  <si>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</si>
  <si>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</si>
  <si>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</si>
  <si>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</si>
  <si>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</si>
  <si>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</si>
  <si>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</si>
  <si>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</si>
  <si>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</si>
  <si>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</si>
  <si>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</si>
  <si>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</si>
  <si>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</si>
  <si>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</si>
  <si>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</si>
  <si>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</si>
  <si>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</si>
  <si>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</si>
  <si>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</si>
  <si>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</si>
  <si>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</si>
  <si>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</si>
  <si>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</si>
  <si>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</si>
  <si>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</si>
  <si>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</si>
  <si>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</si>
  <si>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</si>
  <si>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</si>
  <si>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Distribution Spreadsheets</t>
  </si>
  <si>
    <t>DESCRIPTION</t>
  </si>
  <si>
    <t>RED LIGHT Violation disposed as Bail Forfeiture</t>
  </si>
  <si>
    <t>RED LIGHT Violation disposed as Traffic School</t>
  </si>
  <si>
    <t>SPEEDING Violation disposed as Traffic School</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</si>
  <si>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</si>
  <si>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</si>
  <si>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</si>
  <si>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</si>
  <si>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</si>
  <si>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</si>
  <si>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</si>
  <si>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</si>
  <si>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</si>
  <si>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t>GC 70372(a): ICNA (=LCCF on 1/1/1998)</t>
  </si>
  <si>
    <t>GC 70372(a): SCFCF (=5/10 - ICNA)</t>
  </si>
  <si>
    <t>January 2014</t>
  </si>
  <si>
    <t>Calaveras</t>
  </si>
  <si>
    <t>County</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</si>
  <si>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</si>
  <si>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</si>
  <si>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</si>
  <si>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</si>
  <si>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</si>
  <si>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</si>
  <si>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</si>
  <si>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</si>
  <si>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Enter: GC 76104 - BOS EMS Penalty</t>
  </si>
  <si>
    <t>Enter: GC 76100 - BOS LCCF Penalty</t>
  </si>
  <si>
    <t>Enter: GC 76101 - BOS LCJF Penalty</t>
  </si>
  <si>
    <t>Enter: GC 76104.5 - BOS DNA ID Penalty</t>
  </si>
  <si>
    <t>Enter: GC 76102 - BOS Auto Fingerprint Penalty</t>
  </si>
  <si>
    <t>Total BOS Penalties</t>
  </si>
  <si>
    <r>
      <t xml:space="preserve">Enter: GC 70372(a) ICNA = LCCF on </t>
    </r>
    <r>
      <rPr>
        <b/>
        <sz val="12"/>
        <rFont val="Arial"/>
        <family val="2"/>
      </rPr>
      <t>1/1/1998</t>
    </r>
  </si>
  <si>
    <t>Enter: GC 76000.5 - BOS EMS Additional Penalty (2/10)</t>
  </si>
  <si>
    <t>Used by Judicial Council Audit Services</t>
  </si>
  <si>
    <t xml:space="preserve">9 - Speeding Bail Forfeiture - </t>
  </si>
  <si>
    <t>RDTR-0313-SPBF004</t>
  </si>
  <si>
    <t>VC 22349 (b)</t>
  </si>
  <si>
    <t>Over 65MPH (16-25MPH)</t>
  </si>
  <si>
    <t>County Sheriff</t>
  </si>
  <si>
    <t>Base County</t>
  </si>
  <si>
    <t>PC 1464 State</t>
  </si>
  <si>
    <t>PC 1464 County</t>
  </si>
  <si>
    <t>DNA</t>
  </si>
  <si>
    <t>DNA 2</t>
  </si>
  <si>
    <t>LCCF</t>
  </si>
  <si>
    <t>LCJF</t>
  </si>
  <si>
    <t>EMS</t>
  </si>
  <si>
    <t>DNA ID</t>
  </si>
  <si>
    <t>Auto Fingerprint</t>
  </si>
  <si>
    <t>EMS 2</t>
  </si>
  <si>
    <t>EMAT</t>
  </si>
  <si>
    <t>SCFCF</t>
  </si>
  <si>
    <t>SCFCF-ICNA</t>
  </si>
  <si>
    <t>Surcharge</t>
  </si>
  <si>
    <t>Court Ops</t>
  </si>
  <si>
    <t>Crim Conviction</t>
  </si>
  <si>
    <t>PC 1205(e) - Install Fee OR AR Fee (BOS: Actual Costs OR up to $30)</t>
  </si>
  <si>
    <t>Night Court</t>
  </si>
  <si>
    <t>TOP-DOWN  (B-C)</t>
  </si>
  <si>
    <t>SMALL ROUNDING VARIANCES MAY OCCUR WITH TOP-DOWN CALCULATIONS.</t>
  </si>
  <si>
    <t xml:space="preserve">COMPARED TO METHOD 1, "HARD" AMOUNTS (EMAT, Fees, &amp; Assessments) ARE LESS WHILE "SOFT" AMOUNTS (Base, Penalties, &amp; Surcharge) ARE MORE IN METHOD 2 </t>
  </si>
</sst>
</file>

<file path=xl/styles.xml><?xml version="1.0" encoding="utf-8"?>
<styleSheet xmlns="http://schemas.openxmlformats.org/spreadsheetml/2006/main">
  <numFmts count="8">
    <numFmt numFmtId="6" formatCode="&quot;$&quot;#,##0_);[Red]\(&quot;$&quot;#,##0\)"/>
    <numFmt numFmtId="7" formatCode="&quot;$&quot;#,##0.00_);\(&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70">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1"/>
      <name val="Calibri"/>
      <family val="2"/>
    </font>
    <font>
      <b/>
      <sz val="14"/>
      <name val="Calibri"/>
      <family val="2"/>
    </font>
    <font>
      <b/>
      <sz val="11"/>
      <name val="Calibri"/>
      <family val="2"/>
    </font>
    <font>
      <b/>
      <sz val="10"/>
      <name val="Calibri"/>
      <family val="2"/>
    </font>
    <font>
      <b/>
      <sz val="12"/>
      <name val="Calibri"/>
      <family val="2"/>
    </font>
    <font>
      <sz val="12"/>
      <name val="Calibri"/>
      <family val="2"/>
    </font>
    <font>
      <u/>
      <sz val="10"/>
      <name val="Arial"/>
      <family val="2"/>
    </font>
    <font>
      <sz val="10"/>
      <name val="Arial"/>
      <family val="2"/>
    </font>
    <font>
      <b/>
      <sz val="10"/>
      <color indexed="10"/>
      <name val="Calibri"/>
      <family val="2"/>
    </font>
    <font>
      <b/>
      <sz val="12"/>
      <color indexed="10"/>
      <name val="Calibri"/>
      <family val="2"/>
    </font>
    <font>
      <sz val="10"/>
      <name val="Arial"/>
      <family val="2"/>
    </font>
    <font>
      <b/>
      <u/>
      <sz val="8"/>
      <color indexed="81"/>
      <name val="Tahoma"/>
      <family val="2"/>
    </font>
    <font>
      <i/>
      <sz val="10"/>
      <name val="Arial"/>
      <family val="2"/>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sz val="9"/>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sz val="11"/>
      <name val="Arial"/>
      <family val="2"/>
    </font>
    <font>
      <b/>
      <sz val="11"/>
      <name val="Arial"/>
      <family val="2"/>
    </font>
  </fonts>
  <fills count="2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8">
    <xf numFmtId="0" fontId="0" fillId="0" borderId="0"/>
    <xf numFmtId="44" fontId="20"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7" fillId="0" borderId="0" applyFont="0" applyFill="0" applyBorder="0" applyAlignment="0" applyProtection="0"/>
    <xf numFmtId="9" fontId="5" fillId="0" borderId="0" applyFont="0" applyFill="0" applyBorder="0" applyAlignment="0" applyProtection="0"/>
    <xf numFmtId="0" fontId="1" fillId="0" borderId="0"/>
  </cellStyleXfs>
  <cellXfs count="758">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3" fillId="0" borderId="2" xfId="0" applyFont="1" applyBorder="1" applyAlignment="1">
      <alignment horizontal="left" vertical="top"/>
    </xf>
    <xf numFmtId="0" fontId="23" fillId="0" borderId="1" xfId="0" applyFont="1" applyBorder="1" applyAlignment="1">
      <alignment horizontal="left" vertical="top"/>
    </xf>
    <xf numFmtId="0" fontId="5" fillId="0" borderId="0" xfId="0" applyFont="1"/>
    <xf numFmtId="0" fontId="24"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7"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25" fillId="0" borderId="0" xfId="0" applyFont="1" applyAlignment="1" applyProtection="1">
      <alignment vertical="top"/>
      <protection locked="0"/>
    </xf>
    <xf numFmtId="0" fontId="26" fillId="8" borderId="0" xfId="0" applyFont="1" applyFill="1" applyBorder="1" applyAlignment="1" applyProtection="1">
      <alignment horizontal="right" vertical="top"/>
      <protection locked="0"/>
    </xf>
    <xf numFmtId="0" fontId="26" fillId="8" borderId="0" xfId="0" applyFont="1" applyFill="1" applyBorder="1" applyAlignment="1" applyProtection="1">
      <alignment horizontal="left" vertical="top"/>
      <protection locked="0"/>
    </xf>
    <xf numFmtId="0" fontId="26" fillId="8" borderId="4" xfId="0" applyFont="1" applyFill="1" applyBorder="1" applyAlignment="1" applyProtection="1">
      <alignment horizontal="left" vertical="top"/>
      <protection locked="0"/>
    </xf>
    <xf numFmtId="0" fontId="25" fillId="8" borderId="0" xfId="0" applyFont="1" applyFill="1" applyAlignment="1" applyProtection="1">
      <alignment vertical="top"/>
      <protection locked="0"/>
    </xf>
    <xf numFmtId="0" fontId="27" fillId="9" borderId="5" xfId="0" applyFont="1" applyFill="1" applyBorder="1" applyAlignment="1" applyProtection="1">
      <alignment horizontal="center" vertical="top"/>
      <protection locked="0"/>
    </xf>
    <xf numFmtId="0" fontId="27" fillId="8" borderId="0" xfId="0" applyFont="1" applyFill="1" applyBorder="1" applyAlignment="1" applyProtection="1">
      <alignment horizontal="center" vertical="top"/>
      <protection locked="0"/>
    </xf>
    <xf numFmtId="0" fontId="27" fillId="8" borderId="0" xfId="0" applyFont="1" applyFill="1" applyAlignment="1" applyProtection="1">
      <alignment vertical="top"/>
      <protection locked="0"/>
    </xf>
    <xf numFmtId="0" fontId="27" fillId="10" borderId="6" xfId="0" applyFont="1" applyFill="1" applyBorder="1" applyAlignment="1" applyProtection="1">
      <alignment horizontal="center" vertical="top"/>
      <protection locked="0"/>
    </xf>
    <xf numFmtId="6" fontId="27" fillId="8" borderId="0" xfId="0" applyNumberFormat="1" applyFont="1" applyFill="1" applyBorder="1" applyAlignment="1" applyProtection="1">
      <alignment horizontal="right" vertical="top" wrapText="1"/>
      <protection locked="0"/>
    </xf>
    <xf numFmtId="0" fontId="27" fillId="8" borderId="0" xfId="0" applyFont="1" applyFill="1" applyBorder="1" applyAlignment="1" applyProtection="1">
      <alignment vertical="top" wrapText="1"/>
      <protection locked="0"/>
    </xf>
    <xf numFmtId="0" fontId="27" fillId="8" borderId="0" xfId="0" applyFont="1" applyFill="1" applyBorder="1" applyAlignment="1" applyProtection="1">
      <alignment horizontal="right" vertical="top" wrapText="1"/>
      <protection locked="0"/>
    </xf>
    <xf numFmtId="0" fontId="27" fillId="8" borderId="0" xfId="0" applyFont="1" applyFill="1" applyAlignment="1" applyProtection="1">
      <alignment horizontal="center" vertical="top"/>
      <protection locked="0"/>
    </xf>
    <xf numFmtId="165" fontId="28" fillId="8" borderId="0" xfId="0" applyNumberFormat="1" applyFont="1" applyFill="1" applyAlignment="1" applyProtection="1">
      <alignment vertical="top"/>
      <protection locked="0"/>
    </xf>
    <xf numFmtId="0" fontId="27" fillId="8" borderId="0" xfId="0" applyFont="1" applyFill="1" applyAlignment="1" applyProtection="1">
      <alignment vertical="top" wrapText="1"/>
      <protection locked="0"/>
    </xf>
    <xf numFmtId="164" fontId="27" fillId="8" borderId="0" xfId="0" applyNumberFormat="1" applyFont="1" applyFill="1" applyAlignment="1" applyProtection="1">
      <alignment vertical="top"/>
      <protection locked="0"/>
    </xf>
    <xf numFmtId="0" fontId="27" fillId="8" borderId="0" xfId="0" applyFont="1" applyFill="1" applyBorder="1" applyAlignment="1" applyProtection="1">
      <alignment horizontal="left" vertical="top" wrapText="1"/>
      <protection locked="0"/>
    </xf>
    <xf numFmtId="9" fontId="29" fillId="8" borderId="7" xfId="0" applyNumberFormat="1" applyFont="1" applyFill="1" applyBorder="1" applyAlignment="1" applyProtection="1">
      <alignment horizontal="center" vertical="top" textRotation="90" wrapText="1"/>
      <protection locked="0"/>
    </xf>
    <xf numFmtId="9" fontId="29" fillId="5" borderId="0" xfId="0" applyNumberFormat="1" applyFont="1" applyFill="1" applyBorder="1" applyAlignment="1" applyProtection="1">
      <alignment horizontal="center" vertical="top" textRotation="90" wrapText="1"/>
      <protection locked="0"/>
    </xf>
    <xf numFmtId="0" fontId="24" fillId="0" borderId="3" xfId="0" applyFont="1" applyFill="1" applyBorder="1" applyAlignment="1" applyProtection="1">
      <alignment horizontal="center" vertical="top" wrapText="1"/>
      <protection locked="0"/>
    </xf>
    <xf numFmtId="0" fontId="24" fillId="0" borderId="3" xfId="0" applyFont="1" applyBorder="1" applyAlignment="1" applyProtection="1">
      <alignment horizontal="right" vertical="top" wrapText="1"/>
      <protection locked="0"/>
    </xf>
    <xf numFmtId="0" fontId="24" fillId="0" borderId="3" xfId="0" applyFont="1" applyBorder="1" applyAlignment="1" applyProtection="1">
      <alignment vertical="top" wrapText="1"/>
      <protection locked="0"/>
    </xf>
    <xf numFmtId="2" fontId="24" fillId="5" borderId="0" xfId="0" applyNumberFormat="1" applyFont="1" applyFill="1" applyBorder="1" applyAlignment="1" applyProtection="1">
      <alignment vertical="top"/>
      <protection locked="0"/>
    </xf>
    <xf numFmtId="164" fontId="24" fillId="0" borderId="1" xfId="0" applyNumberFormat="1" applyFont="1" applyBorder="1" applyAlignment="1" applyProtection="1">
      <alignment vertical="top" wrapText="1"/>
      <protection locked="0"/>
    </xf>
    <xf numFmtId="0" fontId="24" fillId="0" borderId="0" xfId="0" applyFont="1" applyAlignment="1" applyProtection="1">
      <alignment vertical="top"/>
      <protection locked="0"/>
    </xf>
    <xf numFmtId="0" fontId="24" fillId="0" borderId="1" xfId="0" applyFont="1" applyFill="1" applyBorder="1" applyAlignment="1" applyProtection="1">
      <alignment horizontal="center" vertical="top" wrapText="1"/>
      <protection locked="0"/>
    </xf>
    <xf numFmtId="0" fontId="24" fillId="0" borderId="1" xfId="0" applyFont="1" applyBorder="1" applyAlignment="1" applyProtection="1">
      <alignment horizontal="right" vertical="top" wrapText="1"/>
      <protection locked="0"/>
    </xf>
    <xf numFmtId="0" fontId="24" fillId="0" borderId="1" xfId="0" applyFont="1" applyBorder="1" applyAlignment="1" applyProtection="1">
      <alignment vertical="top" wrapText="1"/>
      <protection locked="0"/>
    </xf>
    <xf numFmtId="2" fontId="24" fillId="0" borderId="8" xfId="0" applyNumberFormat="1" applyFont="1" applyBorder="1" applyAlignment="1" applyProtection="1">
      <alignment vertical="top"/>
      <protection locked="0"/>
    </xf>
    <xf numFmtId="0" fontId="24" fillId="11" borderId="1" xfId="0" applyFont="1" applyFill="1" applyBorder="1" applyAlignment="1" applyProtection="1">
      <alignment horizontal="center" vertical="top" wrapText="1"/>
      <protection locked="0"/>
    </xf>
    <xf numFmtId="0" fontId="24" fillId="0" borderId="9" xfId="0" applyFont="1" applyBorder="1" applyAlignment="1" applyProtection="1">
      <alignment vertical="top"/>
      <protection locked="0"/>
    </xf>
    <xf numFmtId="0" fontId="24" fillId="5" borderId="0" xfId="0" applyFont="1" applyFill="1" applyBorder="1" applyAlignment="1" applyProtection="1">
      <alignment vertical="top"/>
      <protection locked="0"/>
    </xf>
    <xf numFmtId="164" fontId="24" fillId="0" borderId="1" xfId="0" applyNumberFormat="1" applyFont="1" applyFill="1" applyBorder="1" applyAlignment="1" applyProtection="1">
      <alignment vertical="top" wrapText="1"/>
      <protection locked="0"/>
    </xf>
    <xf numFmtId="0" fontId="24" fillId="0" borderId="1" xfId="0" applyFont="1" applyFill="1" applyBorder="1" applyAlignment="1" applyProtection="1">
      <alignment horizontal="right" vertical="top" wrapText="1"/>
      <protection locked="0"/>
    </xf>
    <xf numFmtId="0" fontId="24" fillId="0" borderId="1" xfId="0" applyFont="1" applyFill="1" applyBorder="1" applyAlignment="1" applyProtection="1">
      <alignment vertical="top" wrapText="1"/>
      <protection locked="0"/>
    </xf>
    <xf numFmtId="0" fontId="24" fillId="0" borderId="0" xfId="0" applyFont="1" applyBorder="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164" fontId="30" fillId="0" borderId="1" xfId="0" applyNumberFormat="1" applyFont="1" applyFill="1" applyBorder="1" applyAlignment="1" applyProtection="1">
      <alignment vertical="top" wrapText="1"/>
      <protection locked="0"/>
    </xf>
    <xf numFmtId="0" fontId="30" fillId="0" borderId="0" xfId="0" applyFont="1" applyFill="1" applyBorder="1" applyAlignment="1" applyProtection="1">
      <alignment vertical="top"/>
      <protection locked="0"/>
    </xf>
    <xf numFmtId="0" fontId="24" fillId="12" borderId="1" xfId="0" applyFont="1" applyFill="1" applyBorder="1" applyAlignment="1" applyProtection="1">
      <alignment vertical="top" wrapText="1"/>
      <protection locked="0"/>
    </xf>
    <xf numFmtId="0" fontId="24" fillId="12" borderId="1" xfId="0" applyFont="1" applyFill="1" applyBorder="1" applyAlignment="1" applyProtection="1">
      <alignment vertical="top"/>
      <protection locked="0"/>
    </xf>
    <xf numFmtId="0" fontId="24" fillId="0" borderId="1" xfId="0" applyFont="1" applyFill="1" applyBorder="1" applyAlignment="1" applyProtection="1">
      <alignment horizontal="center" vertical="top"/>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right" vertical="top"/>
      <protection locked="0"/>
    </xf>
    <xf numFmtId="0" fontId="24" fillId="0" borderId="1" xfId="0" applyFont="1" applyBorder="1" applyAlignment="1" applyProtection="1">
      <alignment vertical="top"/>
      <protection locked="0"/>
    </xf>
    <xf numFmtId="2" fontId="24" fillId="0" borderId="1" xfId="0" applyNumberFormat="1" applyFont="1" applyFill="1" applyBorder="1" applyAlignment="1" applyProtection="1">
      <alignment vertical="top"/>
      <protection locked="0"/>
    </xf>
    <xf numFmtId="0" fontId="25" fillId="0" borderId="0" xfId="0" applyFont="1" applyAlignment="1" applyProtection="1">
      <alignment horizontal="center" vertical="top"/>
      <protection locked="0"/>
    </xf>
    <xf numFmtId="0" fontId="25" fillId="0" borderId="0" xfId="0" applyFont="1" applyAlignment="1" applyProtection="1">
      <alignment horizontal="left" vertical="top"/>
      <protection locked="0"/>
    </xf>
    <xf numFmtId="0" fontId="25" fillId="5" borderId="0" xfId="0" applyFont="1" applyFill="1" applyBorder="1" applyAlignment="1" applyProtection="1">
      <alignment vertical="top"/>
      <protection locked="0"/>
    </xf>
    <xf numFmtId="165" fontId="31" fillId="0" borderId="0" xfId="0" applyNumberFormat="1" applyFont="1" applyAlignment="1" applyProtection="1">
      <alignment vertical="top"/>
      <protection locked="0"/>
    </xf>
    <xf numFmtId="0" fontId="25" fillId="0" borderId="0" xfId="0" applyFont="1" applyAlignment="1" applyProtection="1">
      <alignment vertical="top" wrapText="1"/>
      <protection locked="0"/>
    </xf>
    <xf numFmtId="0" fontId="32" fillId="0" borderId="0" xfId="0" applyFont="1" applyAlignment="1" applyProtection="1">
      <alignment vertical="top"/>
      <protection locked="0"/>
    </xf>
    <xf numFmtId="2" fontId="24" fillId="0" borderId="1" xfId="0" applyNumberFormat="1" applyFont="1" applyFill="1" applyBorder="1" applyAlignment="1" applyProtection="1">
      <alignment vertical="top" wrapText="1"/>
    </xf>
    <xf numFmtId="164" fontId="24" fillId="0" borderId="3" xfId="0" applyNumberFormat="1" applyFont="1" applyBorder="1" applyAlignment="1" applyProtection="1">
      <alignment vertical="top" wrapText="1"/>
      <protection locked="0"/>
    </xf>
    <xf numFmtId="0" fontId="33" fillId="8" borderId="0" xfId="0" applyFont="1" applyFill="1" applyAlignment="1" applyProtection="1">
      <alignment vertical="top"/>
      <protection locked="0"/>
    </xf>
    <xf numFmtId="0" fontId="33" fillId="8" borderId="0" xfId="0" applyFont="1" applyFill="1" applyBorder="1" applyAlignment="1" applyProtection="1">
      <alignment horizontal="left" vertical="top" wrapText="1"/>
    </xf>
    <xf numFmtId="0" fontId="33" fillId="8" borderId="0" xfId="0" applyFont="1" applyFill="1" applyAlignment="1" applyProtection="1">
      <alignment vertical="top"/>
    </xf>
    <xf numFmtId="0" fontId="33" fillId="0" borderId="0" xfId="0" applyFont="1" applyAlignment="1" applyProtection="1">
      <alignment vertical="top"/>
    </xf>
    <xf numFmtId="0" fontId="33" fillId="5" borderId="0" xfId="0" applyFont="1" applyFill="1" applyBorder="1" applyAlignment="1" applyProtection="1">
      <alignment horizontal="center" vertical="top" wrapText="1"/>
    </xf>
    <xf numFmtId="0" fontId="33" fillId="5" borderId="0" xfId="0" applyFont="1" applyFill="1" applyBorder="1" applyAlignment="1" applyProtection="1">
      <alignment horizontal="center" vertical="top"/>
    </xf>
    <xf numFmtId="9" fontId="29" fillId="7" borderId="10" xfId="0" applyNumberFormat="1" applyFont="1" applyFill="1" applyBorder="1" applyAlignment="1" applyProtection="1">
      <alignment horizontal="center" vertical="top" wrapText="1"/>
    </xf>
    <xf numFmtId="0" fontId="29" fillId="7" borderId="10" xfId="0" applyFont="1" applyFill="1" applyBorder="1" applyAlignment="1" applyProtection="1">
      <alignment horizontal="center" vertical="top" wrapText="1"/>
    </xf>
    <xf numFmtId="0" fontId="29" fillId="7" borderId="11" xfId="0" applyFont="1" applyFill="1" applyBorder="1" applyAlignment="1" applyProtection="1">
      <alignment horizontal="center" vertical="top" wrapText="1"/>
    </xf>
    <xf numFmtId="9" fontId="29" fillId="7" borderId="12" xfId="0" applyNumberFormat="1" applyFont="1" applyFill="1" applyBorder="1" applyAlignment="1" applyProtection="1">
      <alignment horizontal="center" vertical="top" wrapText="1"/>
    </xf>
    <xf numFmtId="0" fontId="29" fillId="7" borderId="12" xfId="0" applyFont="1" applyFill="1" applyBorder="1" applyAlignment="1" applyProtection="1">
      <alignment horizontal="center" vertical="top" wrapText="1"/>
    </xf>
    <xf numFmtId="2" fontId="29" fillId="7" borderId="12" xfId="0" applyNumberFormat="1" applyFont="1" applyFill="1" applyBorder="1" applyAlignment="1" applyProtection="1">
      <alignment horizontal="center" vertical="top" wrapText="1"/>
    </xf>
    <xf numFmtId="9" fontId="33" fillId="7" borderId="13" xfId="0" applyNumberFormat="1" applyFont="1" applyFill="1" applyBorder="1" applyAlignment="1" applyProtection="1">
      <alignment horizontal="center" vertical="top" wrapText="1"/>
    </xf>
    <xf numFmtId="0" fontId="33" fillId="7" borderId="0" xfId="0" applyFont="1" applyFill="1" applyBorder="1" applyAlignment="1" applyProtection="1">
      <alignment horizontal="center" vertical="top" wrapText="1"/>
    </xf>
    <xf numFmtId="2" fontId="33" fillId="7" borderId="10" xfId="0" applyNumberFormat="1" applyFont="1" applyFill="1" applyBorder="1" applyAlignment="1" applyProtection="1">
      <alignment horizontal="center" vertical="top" wrapText="1"/>
    </xf>
    <xf numFmtId="2" fontId="34" fillId="5" borderId="0" xfId="0" applyNumberFormat="1" applyFont="1" applyFill="1" applyBorder="1" applyAlignment="1" applyProtection="1">
      <alignment horizontal="center" vertical="top" wrapText="1"/>
    </xf>
    <xf numFmtId="2" fontId="30" fillId="0" borderId="0" xfId="0" applyNumberFormat="1" applyFont="1" applyFill="1" applyBorder="1" applyAlignment="1" applyProtection="1">
      <alignment vertical="top"/>
    </xf>
    <xf numFmtId="0" fontId="24" fillId="8" borderId="0" xfId="0" applyFont="1" applyFill="1" applyAlignment="1" applyProtection="1">
      <alignment horizontal="center" vertical="top"/>
      <protection locked="0"/>
    </xf>
    <xf numFmtId="0" fontId="24" fillId="8" borderId="0" xfId="0" applyFont="1" applyFill="1" applyAlignment="1" applyProtection="1">
      <alignment horizontal="left" vertical="top"/>
      <protection locked="0"/>
    </xf>
    <xf numFmtId="0" fontId="24" fillId="8" borderId="0" xfId="0" applyFont="1" applyFill="1" applyAlignment="1" applyProtection="1">
      <alignment vertical="top"/>
      <protection locked="0"/>
    </xf>
    <xf numFmtId="2" fontId="24" fillId="8" borderId="0" xfId="0" applyNumberFormat="1" applyFont="1" applyFill="1" applyAlignment="1" applyProtection="1">
      <alignment vertical="top"/>
    </xf>
    <xf numFmtId="0" fontId="24" fillId="8" borderId="0" xfId="0" applyFont="1" applyFill="1" applyBorder="1" applyAlignment="1" applyProtection="1">
      <alignment vertical="top"/>
      <protection locked="0"/>
    </xf>
    <xf numFmtId="2" fontId="24" fillId="8" borderId="9" xfId="0" applyNumberFormat="1" applyFont="1" applyFill="1" applyBorder="1" applyAlignment="1" applyProtection="1">
      <alignment vertical="top"/>
      <protection locked="0"/>
    </xf>
    <xf numFmtId="2" fontId="24" fillId="8" borderId="0" xfId="0" applyNumberFormat="1" applyFont="1" applyFill="1" applyBorder="1" applyAlignment="1" applyProtection="1">
      <alignment vertical="top"/>
      <protection locked="0"/>
    </xf>
    <xf numFmtId="0" fontId="24" fillId="8" borderId="0" xfId="0" applyFont="1" applyFill="1" applyAlignment="1" applyProtection="1">
      <alignment vertical="top" wrapText="1"/>
      <protection locked="0"/>
    </xf>
    <xf numFmtId="0" fontId="33" fillId="8" borderId="0" xfId="0" applyFont="1" applyFill="1" applyAlignment="1" applyProtection="1">
      <alignment horizontal="left" vertical="top"/>
      <protection locked="0"/>
    </xf>
    <xf numFmtId="0" fontId="25" fillId="8" borderId="0" xfId="0" applyFont="1" applyFill="1" applyAlignment="1" applyProtection="1">
      <alignment horizontal="center" vertical="top"/>
      <protection locked="0"/>
    </xf>
    <xf numFmtId="0" fontId="25" fillId="8" borderId="0" xfId="0" applyFont="1" applyFill="1" applyAlignment="1" applyProtection="1">
      <alignment horizontal="left" vertical="top"/>
      <protection locked="0"/>
    </xf>
    <xf numFmtId="2" fontId="25" fillId="8" borderId="0" xfId="0" applyNumberFormat="1" applyFont="1" applyFill="1" applyAlignment="1" applyProtection="1">
      <alignment vertical="top"/>
      <protection locked="0"/>
    </xf>
    <xf numFmtId="2" fontId="32" fillId="8" borderId="0" xfId="0" applyNumberFormat="1" applyFont="1" applyFill="1" applyAlignment="1" applyProtection="1">
      <alignment vertical="top"/>
      <protection locked="0"/>
    </xf>
    <xf numFmtId="2" fontId="25" fillId="8" borderId="0" xfId="0" applyNumberFormat="1" applyFont="1" applyFill="1" applyBorder="1" applyAlignment="1" applyProtection="1">
      <alignment vertical="top"/>
      <protection locked="0"/>
    </xf>
    <xf numFmtId="0" fontId="25" fillId="8" borderId="0" xfId="0" applyFont="1" applyFill="1" applyBorder="1" applyAlignment="1" applyProtection="1">
      <alignment vertical="top"/>
      <protection locked="0"/>
    </xf>
    <xf numFmtId="165" fontId="31" fillId="8" borderId="0" xfId="0" applyNumberFormat="1" applyFont="1" applyFill="1" applyAlignment="1" applyProtection="1">
      <alignment vertical="top"/>
      <protection locked="0"/>
    </xf>
    <xf numFmtId="0" fontId="25" fillId="8" borderId="0" xfId="0" applyFont="1" applyFill="1" applyAlignment="1" applyProtection="1">
      <alignment vertical="top" wrapText="1"/>
      <protection locked="0"/>
    </xf>
    <xf numFmtId="0" fontId="35" fillId="8" borderId="1" xfId="0" applyFont="1" applyFill="1" applyBorder="1" applyAlignment="1" applyProtection="1">
      <alignment horizontal="center" vertical="top"/>
      <protection locked="0"/>
    </xf>
    <xf numFmtId="0" fontId="35" fillId="8" borderId="0" xfId="0" applyFont="1" applyFill="1" applyAlignment="1" applyProtection="1">
      <alignment vertical="top"/>
      <protection locked="0"/>
    </xf>
    <xf numFmtId="0" fontId="32" fillId="8" borderId="0" xfId="0" applyFont="1" applyFill="1" applyAlignment="1" applyProtection="1">
      <alignment vertical="top"/>
      <protection locked="0"/>
    </xf>
    <xf numFmtId="0" fontId="30" fillId="8" borderId="0" xfId="0" applyFont="1" applyFill="1" applyBorder="1" applyAlignment="1" applyProtection="1">
      <alignment vertical="top"/>
      <protection locked="0"/>
    </xf>
    <xf numFmtId="0" fontId="33" fillId="8" borderId="0" xfId="0" applyFont="1" applyFill="1" applyAlignment="1" applyProtection="1">
      <alignment horizontal="center" vertical="top"/>
      <protection locked="0"/>
    </xf>
    <xf numFmtId="0" fontId="33" fillId="8" borderId="0" xfId="0" applyFont="1" applyFill="1" applyAlignment="1" applyProtection="1">
      <alignment horizontal="right" vertical="top"/>
      <protection locked="0"/>
    </xf>
    <xf numFmtId="164" fontId="33" fillId="8" borderId="0" xfId="0" applyNumberFormat="1" applyFont="1" applyFill="1" applyAlignment="1" applyProtection="1">
      <alignment vertical="top"/>
      <protection locked="0"/>
    </xf>
    <xf numFmtId="164" fontId="33" fillId="8" borderId="0" xfId="0" applyNumberFormat="1" applyFont="1" applyFill="1" applyAlignment="1" applyProtection="1">
      <alignment horizontal="center" vertical="top"/>
      <protection locked="0"/>
    </xf>
    <xf numFmtId="2" fontId="33" fillId="8" borderId="1" xfId="0" applyNumberFormat="1" applyFont="1" applyFill="1" applyBorder="1" applyAlignment="1" applyProtection="1">
      <alignment vertical="top"/>
    </xf>
    <xf numFmtId="2" fontId="33" fillId="8" borderId="0" xfId="0" applyNumberFormat="1" applyFont="1" applyFill="1" applyBorder="1" applyAlignment="1" applyProtection="1">
      <alignment vertical="top"/>
    </xf>
    <xf numFmtId="2" fontId="33" fillId="8" borderId="0" xfId="0" applyNumberFormat="1" applyFont="1" applyFill="1" applyBorder="1" applyAlignment="1" applyProtection="1">
      <alignment vertical="top"/>
      <protection locked="0"/>
    </xf>
    <xf numFmtId="2" fontId="33" fillId="8" borderId="14" xfId="0" applyNumberFormat="1" applyFont="1" applyFill="1" applyBorder="1" applyAlignment="1" applyProtection="1">
      <alignment vertical="top"/>
    </xf>
    <xf numFmtId="0" fontId="33" fillId="8" borderId="0" xfId="0" applyFont="1" applyFill="1" applyAlignment="1" applyProtection="1">
      <alignment vertical="top" wrapText="1"/>
      <protection locked="0"/>
    </xf>
    <xf numFmtId="0" fontId="24" fillId="0" borderId="1" xfId="0" applyFont="1" applyFill="1" applyBorder="1" applyAlignment="1" applyProtection="1">
      <alignment horizontal="right" vertical="top"/>
      <protection locked="0"/>
    </xf>
    <xf numFmtId="166" fontId="24" fillId="0" borderId="3" xfId="0" applyNumberFormat="1" applyFont="1" applyFill="1" applyBorder="1" applyAlignment="1" applyProtection="1">
      <alignment vertical="top" wrapText="1"/>
      <protection locked="0"/>
    </xf>
    <xf numFmtId="166" fontId="24" fillId="0" borderId="1" xfId="0" applyNumberFormat="1" applyFont="1" applyFill="1" applyBorder="1" applyAlignment="1" applyProtection="1">
      <alignment vertical="top" wrapText="1"/>
    </xf>
    <xf numFmtId="166" fontId="24" fillId="0" borderId="1"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5" fontId="36" fillId="8" borderId="0" xfId="0" applyNumberFormat="1" applyFont="1" applyFill="1" applyAlignment="1" applyProtection="1">
      <alignment vertical="top"/>
    </xf>
    <xf numFmtId="0" fontId="33" fillId="8" borderId="0" xfId="0" applyFont="1" applyFill="1" applyAlignment="1" applyProtection="1">
      <alignment vertical="top" wrapText="1"/>
    </xf>
    <xf numFmtId="166" fontId="24" fillId="0" borderId="3" xfId="0" applyNumberFormat="1" applyFont="1" applyFill="1" applyBorder="1" applyAlignment="1" applyProtection="1">
      <alignment vertical="top" wrapText="1"/>
    </xf>
    <xf numFmtId="10" fontId="37" fillId="7" borderId="12" xfId="5" applyNumberFormat="1" applyFont="1" applyFill="1" applyBorder="1" applyAlignment="1" applyProtection="1">
      <alignment horizontal="center" vertical="top" wrapText="1"/>
    </xf>
    <xf numFmtId="166" fontId="24" fillId="0" borderId="15" xfId="0" applyNumberFormat="1" applyFont="1" applyFill="1" applyBorder="1" applyAlignment="1" applyProtection="1">
      <alignment vertical="top" wrapText="1"/>
    </xf>
    <xf numFmtId="2" fontId="24" fillId="0" borderId="16" xfId="0" applyNumberFormat="1" applyFont="1" applyFill="1" applyBorder="1" applyAlignment="1" applyProtection="1">
      <alignment vertical="top" wrapText="1"/>
    </xf>
    <xf numFmtId="2" fontId="24" fillId="5" borderId="0" xfId="0" applyNumberFormat="1" applyFont="1" applyFill="1" applyBorder="1" applyAlignment="1" applyProtection="1">
      <alignment vertical="top" wrapText="1"/>
      <protection locked="0"/>
    </xf>
    <xf numFmtId="2" fontId="30" fillId="0" borderId="0" xfId="0" applyNumberFormat="1" applyFont="1" applyFill="1" applyBorder="1" applyAlignment="1" applyProtection="1">
      <alignment vertical="top" wrapText="1"/>
      <protection locked="0"/>
    </xf>
    <xf numFmtId="166" fontId="24" fillId="0" borderId="17" xfId="0" applyNumberFormat="1" applyFont="1" applyFill="1" applyBorder="1" applyAlignment="1" applyProtection="1">
      <alignment vertical="top" wrapText="1"/>
    </xf>
    <xf numFmtId="166" fontId="24" fillId="0" borderId="8"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2" fontId="24" fillId="0" borderId="8" xfId="0" applyNumberFormat="1" applyFont="1" applyFill="1" applyBorder="1" applyAlignment="1" applyProtection="1">
      <alignment vertical="top" wrapText="1"/>
    </xf>
    <xf numFmtId="0" fontId="24" fillId="8" borderId="9" xfId="0" applyFont="1" applyFill="1" applyBorder="1" applyAlignment="1" applyProtection="1">
      <alignment vertical="top"/>
      <protection locked="0"/>
    </xf>
    <xf numFmtId="2" fontId="33" fillId="8" borderId="18" xfId="0" applyNumberFormat="1" applyFont="1" applyFill="1" applyBorder="1" applyAlignment="1" applyProtection="1">
      <alignment vertical="top"/>
    </xf>
    <xf numFmtId="0" fontId="27" fillId="8" borderId="1" xfId="0" applyFont="1" applyFill="1" applyBorder="1" applyAlignment="1" applyProtection="1">
      <alignment vertical="top"/>
      <protection locked="0"/>
    </xf>
    <xf numFmtId="0" fontId="33" fillId="8" borderId="1" xfId="0" applyFont="1" applyFill="1" applyBorder="1" applyAlignment="1" applyProtection="1">
      <alignment horizontal="right" vertical="top"/>
      <protection locked="0"/>
    </xf>
    <xf numFmtId="0" fontId="26" fillId="8" borderId="0" xfId="0" applyFont="1" applyFill="1" applyAlignment="1" applyProtection="1">
      <alignment vertical="top"/>
      <protection locked="0"/>
    </xf>
    <xf numFmtId="0" fontId="26" fillId="8" borderId="7" xfId="0" applyFont="1" applyFill="1" applyBorder="1" applyAlignment="1" applyProtection="1">
      <alignment horizontal="center" vertical="top"/>
      <protection locked="0"/>
    </xf>
    <xf numFmtId="2" fontId="27" fillId="8" borderId="1" xfId="0" applyNumberFormat="1" applyFont="1" applyFill="1" applyBorder="1" applyAlignment="1" applyProtection="1">
      <alignment vertical="top"/>
    </xf>
    <xf numFmtId="2" fontId="37" fillId="8" borderId="0" xfId="0" applyNumberFormat="1" applyFont="1" applyFill="1" applyAlignment="1" applyProtection="1">
      <alignment vertical="top"/>
    </xf>
    <xf numFmtId="2" fontId="24" fillId="11" borderId="1" xfId="0" applyNumberFormat="1" applyFont="1" applyFill="1" applyBorder="1" applyAlignment="1" applyProtection="1">
      <alignment horizontal="center" vertical="top" wrapText="1"/>
      <protection locked="0"/>
    </xf>
    <xf numFmtId="2" fontId="24" fillId="0" borderId="1" xfId="0" applyNumberFormat="1" applyFont="1" applyFill="1" applyBorder="1" applyAlignment="1" applyProtection="1">
      <alignment horizontal="center" vertical="top" wrapText="1"/>
    </xf>
    <xf numFmtId="165" fontId="24" fillId="8" borderId="0" xfId="0" applyNumberFormat="1" applyFont="1" applyFill="1" applyAlignment="1" applyProtection="1">
      <alignment vertical="top"/>
    </xf>
    <xf numFmtId="166" fontId="24" fillId="0" borderId="3" xfId="0" applyNumberFormat="1" applyFont="1" applyBorder="1" applyAlignment="1" applyProtection="1">
      <alignment vertical="top" wrapText="1"/>
    </xf>
    <xf numFmtId="166" fontId="24" fillId="0" borderId="1"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2" fontId="30" fillId="0" borderId="8" xfId="0" applyNumberFormat="1" applyFont="1" applyFill="1" applyBorder="1" applyAlignment="1" applyProtection="1">
      <alignment vertical="top"/>
    </xf>
    <xf numFmtId="0" fontId="33" fillId="8" borderId="19" xfId="0" applyFont="1" applyFill="1" applyBorder="1" applyAlignment="1" applyProtection="1">
      <alignment vertical="top"/>
      <protection locked="0"/>
    </xf>
    <xf numFmtId="0" fontId="33" fillId="8" borderId="20" xfId="0" applyFont="1" applyFill="1" applyBorder="1" applyAlignment="1" applyProtection="1">
      <alignment vertical="top"/>
      <protection locked="0"/>
    </xf>
    <xf numFmtId="0" fontId="33" fillId="8" borderId="21" xfId="0" applyFont="1" applyFill="1" applyBorder="1" applyAlignment="1" applyProtection="1">
      <alignment vertical="top"/>
      <protection locked="0"/>
    </xf>
    <xf numFmtId="2" fontId="29" fillId="7" borderId="10" xfId="0" applyNumberFormat="1" applyFont="1" applyFill="1" applyBorder="1" applyAlignment="1" applyProtection="1">
      <alignment horizontal="center" vertical="top" wrapText="1"/>
    </xf>
    <xf numFmtId="2" fontId="34" fillId="7" borderId="22" xfId="0" applyNumberFormat="1" applyFont="1" applyFill="1" applyBorder="1" applyAlignment="1" applyProtection="1">
      <alignment horizontal="center" vertical="top" wrapText="1"/>
    </xf>
    <xf numFmtId="2" fontId="24" fillId="0" borderId="17" xfId="0" applyNumberFormat="1" applyFont="1" applyBorder="1" applyAlignment="1" applyProtection="1">
      <alignment vertical="top"/>
      <protection locked="0"/>
    </xf>
    <xf numFmtId="0" fontId="38" fillId="8" borderId="0" xfId="0" applyFont="1" applyFill="1" applyAlignment="1" applyProtection="1">
      <alignment vertical="center" wrapText="1"/>
    </xf>
    <xf numFmtId="0" fontId="38" fillId="8" borderId="23" xfId="0" applyFont="1" applyFill="1" applyBorder="1" applyAlignment="1" applyProtection="1">
      <alignment vertical="center" wrapText="1"/>
    </xf>
    <xf numFmtId="166" fontId="33" fillId="8" borderId="1" xfId="0" applyNumberFormat="1" applyFont="1" applyFill="1" applyBorder="1" applyAlignment="1" applyProtection="1">
      <alignment vertical="top"/>
    </xf>
    <xf numFmtId="0" fontId="27" fillId="8" borderId="1" xfId="0" applyFont="1" applyFill="1" applyBorder="1" applyAlignment="1" applyProtection="1">
      <alignment horizontal="right" vertical="top"/>
      <protection locked="0"/>
    </xf>
    <xf numFmtId="0" fontId="24" fillId="0" borderId="24" xfId="0" applyFont="1" applyBorder="1" applyAlignment="1" applyProtection="1">
      <alignment vertical="center" textRotation="90" wrapText="1"/>
      <protection locked="0"/>
    </xf>
    <xf numFmtId="166" fontId="24" fillId="0" borderId="1" xfId="0" applyNumberFormat="1" applyFont="1" applyFill="1" applyBorder="1" applyAlignment="1" applyProtection="1">
      <alignment vertical="top"/>
    </xf>
    <xf numFmtId="2" fontId="24" fillId="0" borderId="1" xfId="0" applyNumberFormat="1" applyFont="1" applyFill="1" applyBorder="1" applyAlignment="1" applyProtection="1">
      <alignment vertical="top"/>
    </xf>
    <xf numFmtId="166" fontId="24" fillId="0" borderId="25" xfId="0" applyNumberFormat="1" applyFont="1" applyFill="1" applyBorder="1" applyAlignment="1" applyProtection="1">
      <alignment vertical="top" wrapText="1"/>
    </xf>
    <xf numFmtId="0" fontId="39" fillId="8" borderId="23" xfId="0" applyFont="1" applyFill="1" applyBorder="1" applyAlignment="1" applyProtection="1">
      <alignment vertical="top" wrapText="1"/>
    </xf>
    <xf numFmtId="0" fontId="24" fillId="8" borderId="26" xfId="0" applyFont="1" applyFill="1" applyBorder="1" applyAlignment="1" applyProtection="1">
      <alignment horizontal="center" vertical="top" wrapText="1"/>
      <protection locked="0"/>
    </xf>
    <xf numFmtId="0" fontId="24" fillId="8" borderId="0" xfId="0" applyFont="1" applyFill="1" applyBorder="1" applyAlignment="1" applyProtection="1">
      <alignment horizontal="center" vertical="top" wrapText="1"/>
      <protection locked="0"/>
    </xf>
    <xf numFmtId="166" fontId="24" fillId="13" borderId="1" xfId="0" applyNumberFormat="1" applyFont="1" applyFill="1" applyBorder="1" applyAlignment="1" applyProtection="1">
      <alignment horizontal="right" vertical="top" wrapText="1"/>
      <protection locked="0"/>
    </xf>
    <xf numFmtId="166" fontId="24" fillId="13" borderId="1" xfId="0" applyNumberFormat="1" applyFont="1" applyFill="1" applyBorder="1" applyAlignment="1" applyProtection="1">
      <alignment horizontal="right" vertical="top"/>
      <protection locked="0"/>
    </xf>
    <xf numFmtId="166" fontId="24" fillId="13" borderId="1" xfId="0" applyNumberFormat="1" applyFont="1" applyFill="1" applyBorder="1" applyAlignment="1" applyProtection="1">
      <alignment vertical="top" wrapText="1"/>
      <protection locked="0"/>
    </xf>
    <xf numFmtId="166" fontId="24" fillId="13" borderId="1" xfId="0" applyNumberFormat="1" applyFont="1" applyFill="1" applyBorder="1" applyAlignment="1" applyProtection="1">
      <alignment vertical="top"/>
      <protection locked="0"/>
    </xf>
    <xf numFmtId="2" fontId="33" fillId="14" borderId="1" xfId="0" applyNumberFormat="1" applyFont="1" applyFill="1" applyBorder="1" applyAlignment="1" applyProtection="1">
      <alignment vertical="top"/>
      <protection locked="0"/>
    </xf>
    <xf numFmtId="165" fontId="40" fillId="0" borderId="10" xfId="0" applyNumberFormat="1" applyFont="1" applyFill="1" applyBorder="1" applyAlignment="1" applyProtection="1">
      <alignment horizontal="center" vertical="top" wrapText="1"/>
    </xf>
    <xf numFmtId="0" fontId="33" fillId="8" borderId="27" xfId="0" applyFont="1" applyFill="1" applyBorder="1" applyAlignment="1" applyProtection="1">
      <alignment vertical="top"/>
      <protection locked="0"/>
    </xf>
    <xf numFmtId="0" fontId="27" fillId="9" borderId="28" xfId="0" applyFont="1" applyFill="1" applyBorder="1" applyAlignment="1" applyProtection="1">
      <alignment horizontal="center" vertical="top"/>
      <protection locked="0"/>
    </xf>
    <xf numFmtId="0" fontId="38" fillId="8" borderId="0" xfId="0" applyFont="1" applyFill="1" applyBorder="1" applyAlignment="1" applyProtection="1">
      <alignment horizontal="left" vertical="top"/>
      <protection locked="0"/>
    </xf>
    <xf numFmtId="0" fontId="29" fillId="8" borderId="0" xfId="0" applyFont="1" applyFill="1" applyAlignment="1" applyProtection="1">
      <alignment vertical="center" wrapText="1"/>
    </xf>
    <xf numFmtId="0" fontId="27" fillId="8" borderId="29" xfId="0" applyFont="1" applyFill="1" applyBorder="1" applyAlignment="1" applyProtection="1">
      <alignment horizontal="center" vertical="top"/>
    </xf>
    <xf numFmtId="0" fontId="27" fillId="8" borderId="30" xfId="0" applyFont="1" applyFill="1" applyBorder="1" applyAlignment="1" applyProtection="1">
      <alignment horizontal="center" vertical="top"/>
    </xf>
    <xf numFmtId="0" fontId="27" fillId="8" borderId="4" xfId="0" applyFont="1" applyFill="1" applyBorder="1" applyAlignment="1" applyProtection="1">
      <alignment horizontal="center" vertical="top"/>
    </xf>
    <xf numFmtId="2" fontId="24" fillId="0" borderId="25" xfId="0" applyNumberFormat="1" applyFont="1" applyBorder="1" applyAlignment="1" applyProtection="1">
      <alignment vertical="top"/>
      <protection locked="0"/>
    </xf>
    <xf numFmtId="0" fontId="24" fillId="0" borderId="1" xfId="0" applyFont="1" applyBorder="1" applyAlignment="1" applyProtection="1">
      <alignment vertical="center" textRotation="90" wrapText="1"/>
      <protection locked="0"/>
    </xf>
    <xf numFmtId="9" fontId="33" fillId="7" borderId="31" xfId="0" applyNumberFormat="1" applyFont="1" applyFill="1" applyBorder="1" applyAlignment="1" applyProtection="1">
      <alignment horizontal="center" vertical="top" wrapText="1"/>
    </xf>
    <xf numFmtId="9" fontId="33" fillId="7" borderId="23" xfId="0" applyNumberFormat="1" applyFont="1" applyFill="1" applyBorder="1" applyAlignment="1" applyProtection="1">
      <alignment horizontal="center" vertical="top" wrapText="1"/>
    </xf>
    <xf numFmtId="9" fontId="33" fillId="7" borderId="32" xfId="0" applyNumberFormat="1" applyFont="1" applyFill="1" applyBorder="1" applyAlignment="1" applyProtection="1">
      <alignment horizontal="center" vertical="top" wrapText="1"/>
    </xf>
    <xf numFmtId="0" fontId="29" fillId="7" borderId="31" xfId="0" applyFont="1" applyFill="1" applyBorder="1" applyAlignment="1" applyProtection="1">
      <alignment horizontal="center" vertical="top"/>
    </xf>
    <xf numFmtId="0" fontId="29" fillId="7" borderId="32" xfId="0" applyFont="1" applyFill="1" applyBorder="1" applyAlignment="1" applyProtection="1">
      <alignment horizontal="center" vertical="top"/>
    </xf>
    <xf numFmtId="9" fontId="29" fillId="7" borderId="10" xfId="5" applyFont="1" applyFill="1" applyBorder="1" applyAlignment="1" applyProtection="1">
      <alignment horizontal="center" vertical="top" wrapText="1"/>
    </xf>
    <xf numFmtId="9" fontId="29" fillId="7" borderId="12" xfId="5" applyFont="1" applyFill="1" applyBorder="1" applyAlignment="1" applyProtection="1">
      <alignment horizontal="center" vertical="top" wrapText="1"/>
    </xf>
    <xf numFmtId="2" fontId="29" fillId="7" borderId="12" xfId="0" applyNumberFormat="1" applyFont="1" applyFill="1" applyBorder="1" applyAlignment="1" applyProtection="1">
      <alignment horizontal="center" vertical="top" wrapText="1"/>
    </xf>
    <xf numFmtId="0" fontId="33" fillId="8" borderId="0" xfId="0" applyFont="1" applyFill="1" applyBorder="1" applyAlignment="1" applyProtection="1">
      <alignment horizontal="center" vertical="top"/>
    </xf>
    <xf numFmtId="2" fontId="33" fillId="8" borderId="22" xfId="0" applyNumberFormat="1" applyFont="1" applyFill="1" applyBorder="1" applyAlignment="1" applyProtection="1">
      <alignment horizontal="center" vertical="top" wrapText="1"/>
    </xf>
    <xf numFmtId="2" fontId="34" fillId="8" borderId="0" xfId="0" applyNumberFormat="1" applyFont="1" applyFill="1" applyBorder="1" applyAlignment="1" applyProtection="1">
      <alignment horizontal="center" vertical="top" wrapText="1"/>
    </xf>
    <xf numFmtId="166" fontId="24" fillId="8" borderId="33" xfId="0" applyNumberFormat="1" applyFont="1" applyFill="1" applyBorder="1" applyAlignment="1" applyProtection="1">
      <alignment vertical="top" wrapText="1"/>
    </xf>
    <xf numFmtId="166" fontId="30" fillId="8" borderId="33" xfId="0" applyNumberFormat="1" applyFont="1" applyFill="1" applyBorder="1" applyAlignment="1" applyProtection="1">
      <alignment vertical="top" wrapText="1"/>
    </xf>
    <xf numFmtId="2" fontId="24" fillId="8" borderId="33" xfId="0" applyNumberFormat="1" applyFont="1" applyFill="1" applyBorder="1" applyAlignment="1" applyProtection="1">
      <alignment vertical="top" wrapText="1"/>
    </xf>
    <xf numFmtId="0" fontId="24" fillId="8" borderId="33" xfId="0" applyFont="1" applyFill="1" applyBorder="1" applyAlignment="1" applyProtection="1">
      <alignment vertical="top"/>
      <protection locked="0"/>
    </xf>
    <xf numFmtId="2" fontId="33" fillId="8" borderId="33" xfId="0" applyNumberFormat="1" applyFont="1" applyFill="1" applyBorder="1" applyAlignment="1" applyProtection="1">
      <alignment vertical="top"/>
    </xf>
    <xf numFmtId="0" fontId="33" fillId="7" borderId="10" xfId="0" applyFont="1" applyFill="1" applyBorder="1" applyAlignment="1" applyProtection="1">
      <alignment horizontal="center" vertical="top" wrapText="1"/>
    </xf>
    <xf numFmtId="0" fontId="33" fillId="8" borderId="34" xfId="0" applyFont="1" applyFill="1" applyBorder="1" applyAlignment="1" applyProtection="1">
      <alignment vertical="top"/>
      <protection locked="0"/>
    </xf>
    <xf numFmtId="0" fontId="33" fillId="8" borderId="4" xfId="0" applyFont="1" applyFill="1" applyBorder="1" applyAlignment="1" applyProtection="1">
      <alignment vertical="top"/>
      <protection locked="0"/>
    </xf>
    <xf numFmtId="0" fontId="26" fillId="8" borderId="0" xfId="0" applyFont="1" applyFill="1" applyBorder="1" applyAlignment="1" applyProtection="1">
      <alignment vertical="top"/>
      <protection locked="0"/>
    </xf>
    <xf numFmtId="0" fontId="33" fillId="8" borderId="0" xfId="0" applyFont="1" applyFill="1" applyBorder="1" applyAlignment="1" applyProtection="1">
      <alignment vertical="top"/>
      <protection locked="0"/>
    </xf>
    <xf numFmtId="0" fontId="33" fillId="8" borderId="0" xfId="0" applyFont="1" applyFill="1" applyBorder="1" applyAlignment="1" applyProtection="1">
      <alignment vertical="top" wrapText="1"/>
      <protection locked="0"/>
    </xf>
    <xf numFmtId="0" fontId="39" fillId="8" borderId="0" xfId="0" applyFont="1" applyFill="1" applyBorder="1" applyAlignment="1" applyProtection="1">
      <alignment vertical="top"/>
      <protection locked="0"/>
    </xf>
    <xf numFmtId="0" fontId="27" fillId="8" borderId="4" xfId="0" applyFont="1" applyFill="1" applyBorder="1" applyAlignment="1" applyProtection="1">
      <alignment horizontal="center" vertical="top"/>
      <protection locked="0"/>
    </xf>
    <xf numFmtId="0" fontId="5" fillId="0" borderId="0" xfId="0" applyFont="1" applyAlignment="1">
      <alignment wrapText="1"/>
    </xf>
    <xf numFmtId="0" fontId="33" fillId="8" borderId="36" xfId="0" applyFont="1" applyFill="1" applyBorder="1" applyAlignment="1" applyProtection="1">
      <alignment horizontal="center" vertical="center" wrapText="1"/>
    </xf>
    <xf numFmtId="2" fontId="33" fillId="8" borderId="22" xfId="0" applyNumberFormat="1" applyFont="1" applyFill="1" applyBorder="1" applyAlignment="1" applyProtection="1">
      <alignment horizontal="center" vertical="center" wrapText="1"/>
    </xf>
    <xf numFmtId="10" fontId="37" fillId="7" borderId="12" xfId="5" applyNumberFormat="1" applyFont="1" applyFill="1" applyBorder="1" applyAlignment="1" applyProtection="1">
      <alignment horizontal="center" vertical="center" wrapText="1"/>
    </xf>
    <xf numFmtId="0" fontId="34" fillId="5" borderId="0" xfId="0" applyFont="1" applyFill="1" applyBorder="1" applyAlignment="1" applyProtection="1">
      <alignment horizontal="center" vertical="top" wrapText="1"/>
    </xf>
    <xf numFmtId="0" fontId="34" fillId="5" borderId="0" xfId="0" applyFont="1" applyFill="1" applyBorder="1" applyAlignment="1" applyProtection="1">
      <alignment horizontal="center" vertical="top"/>
    </xf>
    <xf numFmtId="0" fontId="33" fillId="8" borderId="1" xfId="0" applyFont="1" applyFill="1" applyBorder="1" applyAlignment="1" applyProtection="1">
      <alignment horizontal="right" vertical="top"/>
      <protection locked="0"/>
    </xf>
    <xf numFmtId="2" fontId="29" fillId="7" borderId="10" xfId="0" applyNumberFormat="1" applyFont="1" applyFill="1" applyBorder="1" applyAlignment="1" applyProtection="1">
      <alignment horizontal="center" vertical="top" wrapText="1"/>
    </xf>
    <xf numFmtId="166" fontId="24" fillId="8" borderId="37" xfId="0" applyNumberFormat="1" applyFont="1" applyFill="1" applyBorder="1" applyAlignment="1" applyProtection="1">
      <alignment vertical="top" wrapText="1"/>
    </xf>
    <xf numFmtId="166" fontId="30" fillId="8" borderId="37" xfId="0" applyNumberFormat="1" applyFont="1" applyFill="1" applyBorder="1" applyAlignment="1" applyProtection="1">
      <alignment vertical="top" wrapText="1"/>
    </xf>
    <xf numFmtId="2" fontId="24" fillId="8" borderId="37" xfId="0" applyNumberFormat="1" applyFont="1" applyFill="1" applyBorder="1" applyAlignment="1" applyProtection="1">
      <alignment vertical="top" wrapText="1"/>
    </xf>
    <xf numFmtId="2" fontId="33" fillId="8" borderId="37" xfId="0" applyNumberFormat="1" applyFont="1" applyFill="1" applyBorder="1" applyAlignment="1" applyProtection="1">
      <alignment vertical="top"/>
      <protection locked="0"/>
    </xf>
    <xf numFmtId="2" fontId="33" fillId="14" borderId="18" xfId="0" applyNumberFormat="1" applyFont="1" applyFill="1" applyBorder="1" applyAlignment="1" applyProtection="1">
      <alignment vertical="top"/>
      <protection locked="0"/>
    </xf>
    <xf numFmtId="10" fontId="37" fillId="7" borderId="22" xfId="5" applyNumberFormat="1" applyFont="1" applyFill="1" applyBorder="1" applyAlignment="1" applyProtection="1">
      <alignment horizontal="center" vertical="center" wrapText="1"/>
    </xf>
    <xf numFmtId="9" fontId="29" fillId="7" borderId="22" xfId="0" applyNumberFormat="1" applyFont="1" applyFill="1" applyBorder="1" applyAlignment="1" applyProtection="1">
      <alignment horizontal="center" vertical="top" wrapText="1"/>
    </xf>
    <xf numFmtId="0" fontId="29" fillId="7" borderId="22" xfId="0" applyFont="1" applyFill="1" applyBorder="1" applyAlignment="1" applyProtection="1">
      <alignment horizontal="center" vertical="top" wrapText="1"/>
    </xf>
    <xf numFmtId="9" fontId="29" fillId="7" borderId="22" xfId="5" applyFont="1" applyFill="1" applyBorder="1" applyAlignment="1" applyProtection="1">
      <alignment horizontal="center" vertical="top" wrapText="1"/>
    </xf>
    <xf numFmtId="9" fontId="33" fillId="7" borderId="0" xfId="0" applyNumberFormat="1" applyFont="1" applyFill="1" applyBorder="1" applyAlignment="1" applyProtection="1">
      <alignment horizontal="center" vertical="top" wrapText="1"/>
    </xf>
    <xf numFmtId="10" fontId="37" fillId="8" borderId="0" xfId="5" applyNumberFormat="1" applyFont="1" applyFill="1" applyBorder="1" applyAlignment="1" applyProtection="1">
      <alignment horizontal="center" vertical="top" wrapText="1"/>
    </xf>
    <xf numFmtId="0" fontId="24" fillId="0" borderId="38" xfId="0" applyFont="1" applyBorder="1" applyAlignment="1" applyProtection="1">
      <alignment vertical="center" textRotation="90" wrapText="1"/>
      <protection locked="0"/>
    </xf>
    <xf numFmtId="10" fontId="37" fillId="8" borderId="7" xfId="5" applyNumberFormat="1" applyFont="1" applyFill="1" applyBorder="1" applyAlignment="1" applyProtection="1">
      <alignment horizontal="center" vertical="top" wrapText="1"/>
    </xf>
    <xf numFmtId="0" fontId="33" fillId="8" borderId="1" xfId="0" applyFont="1" applyFill="1" applyBorder="1" applyAlignment="1" applyProtection="1">
      <alignment horizontal="right" vertical="top"/>
      <protection locked="0"/>
    </xf>
    <xf numFmtId="165" fontId="40" fillId="0" borderId="10" xfId="0" applyNumberFormat="1" applyFont="1" applyFill="1" applyBorder="1" applyAlignment="1" applyProtection="1">
      <alignment horizontal="center" vertical="top" wrapText="1"/>
    </xf>
    <xf numFmtId="0" fontId="33" fillId="7" borderId="1" xfId="0" applyFont="1" applyFill="1" applyBorder="1" applyAlignment="1" applyProtection="1">
      <alignment vertical="top"/>
      <protection locked="0"/>
    </xf>
    <xf numFmtId="2" fontId="33" fillId="7" borderId="1" xfId="0" applyNumberFormat="1" applyFont="1" applyFill="1" applyBorder="1" applyAlignment="1" applyProtection="1">
      <alignment horizontal="center" vertical="top"/>
    </xf>
    <xf numFmtId="2" fontId="35" fillId="8" borderId="0" xfId="0" applyNumberFormat="1" applyFont="1" applyFill="1" applyAlignment="1" applyProtection="1">
      <alignment vertical="top"/>
    </xf>
    <xf numFmtId="0" fontId="33" fillId="7" borderId="1" xfId="0" applyFont="1" applyFill="1" applyBorder="1" applyAlignment="1" applyProtection="1">
      <alignment horizontal="center" vertical="top"/>
      <protection locked="0"/>
    </xf>
    <xf numFmtId="0" fontId="41" fillId="15" borderId="11" xfId="0" applyFont="1" applyFill="1" applyBorder="1" applyAlignment="1" applyProtection="1">
      <alignment horizontal="center" vertical="top" wrapText="1"/>
    </xf>
    <xf numFmtId="0" fontId="29" fillId="7" borderId="31" xfId="0" applyFont="1" applyFill="1" applyBorder="1" applyAlignment="1" applyProtection="1">
      <alignment horizontal="center" vertical="top"/>
    </xf>
    <xf numFmtId="0" fontId="29" fillId="7" borderId="32" xfId="0" applyFont="1" applyFill="1" applyBorder="1" applyAlignment="1" applyProtection="1">
      <alignment horizontal="center" vertical="top"/>
    </xf>
    <xf numFmtId="165" fontId="40" fillId="0" borderId="10" xfId="0" applyNumberFormat="1" applyFont="1" applyFill="1" applyBorder="1" applyAlignment="1" applyProtection="1">
      <alignment horizontal="center" vertical="top" wrapText="1"/>
    </xf>
    <xf numFmtId="0" fontId="33" fillId="8" borderId="1" xfId="0" applyFont="1" applyFill="1" applyBorder="1" applyAlignment="1" applyProtection="1">
      <alignment horizontal="right" vertical="top"/>
      <protection locked="0"/>
    </xf>
    <xf numFmtId="9" fontId="33" fillId="7" borderId="31" xfId="0" applyNumberFormat="1" applyFont="1" applyFill="1" applyBorder="1" applyAlignment="1" applyProtection="1">
      <alignment horizontal="center" vertical="top" wrapText="1"/>
    </xf>
    <xf numFmtId="9" fontId="33" fillId="7" borderId="23" xfId="0" applyNumberFormat="1" applyFont="1" applyFill="1" applyBorder="1" applyAlignment="1" applyProtection="1">
      <alignment horizontal="center" vertical="top" wrapText="1"/>
    </xf>
    <xf numFmtId="9" fontId="33" fillId="7" borderId="32" xfId="0" applyNumberFormat="1" applyFont="1" applyFill="1" applyBorder="1" applyAlignment="1" applyProtection="1">
      <alignment horizontal="center" vertical="top" wrapText="1"/>
    </xf>
    <xf numFmtId="9" fontId="29" fillId="7" borderId="10" xfId="5" applyFont="1" applyFill="1" applyBorder="1" applyAlignment="1" applyProtection="1">
      <alignment horizontal="center" vertical="top" wrapText="1"/>
    </xf>
    <xf numFmtId="9" fontId="29" fillId="7" borderId="12" xfId="5" applyFont="1" applyFill="1" applyBorder="1" applyAlignment="1" applyProtection="1">
      <alignment horizontal="center" vertical="top" wrapText="1"/>
    </xf>
    <xf numFmtId="2" fontId="29" fillId="7" borderId="10" xfId="0" applyNumberFormat="1" applyFont="1" applyFill="1" applyBorder="1" applyAlignment="1" applyProtection="1">
      <alignment horizontal="center" vertical="top" wrapText="1"/>
    </xf>
    <xf numFmtId="2" fontId="29" fillId="7" borderId="12" xfId="0" applyNumberFormat="1" applyFont="1" applyFill="1" applyBorder="1" applyAlignment="1" applyProtection="1">
      <alignment horizontal="center" vertical="top" wrapText="1"/>
    </xf>
    <xf numFmtId="9" fontId="29" fillId="7" borderId="22" xfId="5" applyFont="1" applyFill="1" applyBorder="1" applyAlignment="1" applyProtection="1">
      <alignment horizontal="center" vertical="top" wrapText="1"/>
    </xf>
    <xf numFmtId="9" fontId="24" fillId="7" borderId="12" xfId="0" applyNumberFormat="1" applyFont="1" applyFill="1" applyBorder="1" applyAlignment="1" applyProtection="1">
      <alignment horizontal="center" vertical="top" wrapText="1"/>
    </xf>
    <xf numFmtId="0" fontId="39" fillId="8" borderId="32" xfId="0" applyFont="1" applyFill="1" applyBorder="1" applyAlignment="1" applyProtection="1">
      <alignment vertical="top" wrapText="1"/>
    </xf>
    <xf numFmtId="166" fontId="30" fillId="0" borderId="15" xfId="0" applyNumberFormat="1" applyFont="1" applyFill="1" applyBorder="1" applyAlignment="1" applyProtection="1">
      <alignment vertical="top" wrapText="1"/>
    </xf>
    <xf numFmtId="0" fontId="41" fillId="8" borderId="23" xfId="0" applyFont="1" applyFill="1" applyBorder="1" applyAlignment="1" applyProtection="1">
      <alignment vertical="top" wrapText="1"/>
    </xf>
    <xf numFmtId="0" fontId="41" fillId="8" borderId="32" xfId="0" applyFont="1" applyFill="1" applyBorder="1" applyAlignment="1" applyProtection="1">
      <alignment vertical="top" wrapText="1"/>
    </xf>
    <xf numFmtId="166" fontId="24" fillId="8" borderId="0" xfId="0" applyNumberFormat="1" applyFont="1" applyFill="1" applyAlignment="1" applyProtection="1">
      <alignment vertical="top"/>
    </xf>
    <xf numFmtId="2" fontId="24" fillId="0" borderId="39" xfId="0" applyNumberFormat="1" applyFont="1" applyBorder="1" applyAlignment="1" applyProtection="1">
      <alignment vertical="top"/>
      <protection locked="0"/>
    </xf>
    <xf numFmtId="2" fontId="33" fillId="7" borderId="10" xfId="0" applyNumberFormat="1" applyFont="1" applyFill="1" applyBorder="1" applyAlignment="1" applyProtection="1">
      <alignment horizontal="center" vertical="top" wrapText="1"/>
    </xf>
    <xf numFmtId="0" fontId="29" fillId="7" borderId="10" xfId="0" applyFont="1" applyFill="1" applyBorder="1" applyAlignment="1" applyProtection="1">
      <alignment horizontal="center" vertical="top" wrapText="1"/>
    </xf>
    <xf numFmtId="9" fontId="29" fillId="7" borderId="10" xfId="0" applyNumberFormat="1" applyFont="1" applyFill="1" applyBorder="1" applyAlignment="1" applyProtection="1">
      <alignment horizontal="center" vertical="top" wrapText="1"/>
    </xf>
    <xf numFmtId="9" fontId="29" fillId="7" borderId="22" xfId="0" applyNumberFormat="1" applyFont="1" applyFill="1" applyBorder="1" applyAlignment="1" applyProtection="1">
      <alignment horizontal="center" vertical="top" wrapText="1"/>
    </xf>
    <xf numFmtId="0" fontId="29" fillId="7" borderId="22" xfId="0" applyFont="1" applyFill="1" applyBorder="1" applyAlignment="1" applyProtection="1">
      <alignment horizontal="center" vertical="top" wrapText="1"/>
    </xf>
    <xf numFmtId="9" fontId="29" fillId="7" borderId="12" xfId="0" applyNumberFormat="1" applyFont="1" applyFill="1" applyBorder="1" applyAlignment="1" applyProtection="1">
      <alignment horizontal="center" vertical="top" wrapText="1"/>
    </xf>
    <xf numFmtId="0" fontId="29" fillId="7" borderId="12" xfId="0" applyFont="1" applyFill="1" applyBorder="1" applyAlignment="1" applyProtection="1">
      <alignment horizontal="center" vertical="top" wrapText="1"/>
    </xf>
    <xf numFmtId="165" fontId="33" fillId="14" borderId="11" xfId="0" applyNumberFormat="1" applyFont="1" applyFill="1" applyBorder="1" applyAlignment="1" applyProtection="1">
      <alignment horizontal="center" vertical="top" wrapText="1"/>
      <protection locked="0"/>
    </xf>
    <xf numFmtId="6" fontId="5" fillId="0" borderId="3" xfId="0" applyNumberFormat="1" applyFont="1" applyBorder="1" applyAlignment="1">
      <alignment vertical="top" wrapText="1"/>
    </xf>
    <xf numFmtId="0" fontId="2" fillId="7"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 fontId="24" fillId="0" borderId="1" xfId="0" applyNumberFormat="1" applyFont="1" applyBorder="1" applyAlignment="1" applyProtection="1">
      <alignment horizontal="center" vertical="top" wrapText="1"/>
      <protection locked="0"/>
    </xf>
    <xf numFmtId="1" fontId="24"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44" fillId="0" borderId="3" xfId="0" applyNumberFormat="1" applyFont="1" applyBorder="1" applyAlignment="1" applyProtection="1">
      <alignment horizontal="center" vertical="top" wrapText="1"/>
      <protection locked="0"/>
    </xf>
    <xf numFmtId="0" fontId="35" fillId="8" borderId="1" xfId="0" applyFont="1" applyFill="1" applyBorder="1" applyAlignment="1" applyProtection="1">
      <alignment horizontal="left" vertical="top" wrapText="1"/>
      <protection locked="0"/>
    </xf>
    <xf numFmtId="1" fontId="35" fillId="0" borderId="1" xfId="0" applyNumberFormat="1" applyFont="1" applyFill="1" applyBorder="1" applyAlignment="1" applyProtection="1">
      <alignment horizontal="left" vertical="top" wrapText="1"/>
      <protection locked="0"/>
    </xf>
    <xf numFmtId="164" fontId="35" fillId="0" borderId="1" xfId="0" applyNumberFormat="1" applyFont="1" applyBorder="1" applyAlignment="1" applyProtection="1">
      <alignment vertical="top" wrapText="1"/>
      <protection locked="0"/>
    </xf>
    <xf numFmtId="0" fontId="35" fillId="8" borderId="0" xfId="0" applyFont="1" applyFill="1" applyBorder="1" applyAlignment="1" applyProtection="1">
      <alignment vertical="top"/>
      <protection locked="0"/>
    </xf>
    <xf numFmtId="0" fontId="35" fillId="8" borderId="0" xfId="0" applyFont="1" applyFill="1" applyBorder="1" applyAlignment="1" applyProtection="1">
      <alignment vertical="top" wrapText="1"/>
      <protection locked="0"/>
    </xf>
    <xf numFmtId="1" fontId="45" fillId="0" borderId="1" xfId="0" applyNumberFormat="1" applyFont="1" applyFill="1" applyBorder="1" applyAlignment="1" applyProtection="1">
      <alignment horizontal="center" vertical="top" wrapText="1"/>
      <protection locked="0"/>
    </xf>
    <xf numFmtId="14" fontId="5" fillId="0" borderId="1" xfId="0" applyNumberFormat="1" applyFont="1" applyBorder="1" applyAlignment="1">
      <alignment vertical="top" wrapText="1"/>
    </xf>
    <xf numFmtId="0" fontId="24" fillId="0" borderId="16" xfId="0" applyFont="1" applyBorder="1" applyAlignment="1" applyProtection="1">
      <alignment horizontal="left" vertical="top" wrapText="1"/>
      <protection locked="0"/>
    </xf>
    <xf numFmtId="0" fontId="24" fillId="0" borderId="42"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166" fontId="33" fillId="8" borderId="0" xfId="0" applyNumberFormat="1" applyFont="1" applyFill="1" applyBorder="1" applyAlignment="1" applyProtection="1">
      <alignment vertical="top"/>
    </xf>
    <xf numFmtId="0" fontId="5" fillId="0" borderId="1" xfId="0" applyFont="1" applyBorder="1" applyAlignment="1">
      <alignment vertical="top"/>
    </xf>
    <xf numFmtId="167" fontId="24" fillId="0" borderId="3" xfId="0" applyNumberFormat="1" applyFont="1" applyBorder="1" applyAlignment="1" applyProtection="1">
      <alignment horizontal="center" vertical="top" wrapText="1"/>
    </xf>
    <xf numFmtId="167" fontId="24" fillId="0" borderId="38" xfId="0" applyNumberFormat="1" applyFont="1" applyBorder="1" applyAlignment="1" applyProtection="1">
      <alignment horizontal="center" vertical="top" wrapText="1"/>
    </xf>
    <xf numFmtId="9" fontId="29" fillId="7" borderId="10" xfId="5" applyFont="1" applyFill="1" applyBorder="1" applyAlignment="1" applyProtection="1">
      <alignment horizontal="center" vertical="top" wrapText="1"/>
    </xf>
    <xf numFmtId="9" fontId="29" fillId="7" borderId="12" xfId="5" applyFont="1" applyFill="1" applyBorder="1" applyAlignment="1" applyProtection="1">
      <alignment horizontal="center" vertical="top" wrapText="1"/>
    </xf>
    <xf numFmtId="9" fontId="29" fillId="7" borderId="22" xfId="5" applyFont="1" applyFill="1" applyBorder="1" applyAlignment="1" applyProtection="1">
      <alignment horizontal="center" vertical="top" wrapText="1"/>
    </xf>
    <xf numFmtId="166" fontId="24" fillId="16" borderId="1" xfId="0" applyNumberFormat="1" applyFont="1" applyFill="1" applyBorder="1" applyAlignment="1" applyProtection="1">
      <alignment vertical="top" wrapText="1"/>
    </xf>
    <xf numFmtId="166" fontId="24" fillId="15"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2" fontId="29" fillId="7" borderId="22"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24" fillId="0" borderId="1"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0" fillId="0" borderId="0" xfId="0" applyBorder="1" applyAlignment="1">
      <alignment vertical="top"/>
    </xf>
    <xf numFmtId="0" fontId="24" fillId="0" borderId="1" xfId="0" applyFont="1" applyBorder="1" applyAlignment="1" applyProtection="1">
      <alignment horizontal="left" vertical="top" wrapText="1"/>
    </xf>
    <xf numFmtId="0" fontId="24"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3" xfId="0" applyFont="1" applyBorder="1" applyAlignment="1" applyProtection="1">
      <alignment horizontal="left" vertical="top" wrapText="1"/>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7"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7"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7" borderId="1" xfId="0" applyFont="1" applyFill="1" applyBorder="1" applyAlignment="1">
      <alignment horizontal="center" vertical="top" wrapText="1"/>
    </xf>
    <xf numFmtId="0" fontId="5" fillId="0" borderId="1" xfId="0" applyFont="1" applyBorder="1" applyAlignment="1">
      <alignment horizontal="left" vertical="top" wrapText="1"/>
    </xf>
    <xf numFmtId="14" fontId="0" fillId="14" borderId="1" xfId="0" applyNumberFormat="1" applyFill="1" applyBorder="1" applyAlignment="1">
      <alignment horizontal="left" vertical="top"/>
    </xf>
    <xf numFmtId="168" fontId="0" fillId="14" borderId="1" xfId="0" applyNumberFormat="1" applyFill="1" applyBorder="1" applyAlignment="1">
      <alignment vertical="top"/>
    </xf>
    <xf numFmtId="0" fontId="46" fillId="4" borderId="30" xfId="0" applyFont="1" applyFill="1" applyBorder="1" applyAlignment="1" applyProtection="1">
      <alignment vertical="top"/>
      <protection locked="0"/>
    </xf>
    <xf numFmtId="0" fontId="30" fillId="8" borderId="30" xfId="0" applyFont="1" applyFill="1" applyBorder="1" applyAlignment="1" applyProtection="1">
      <alignment vertical="top" wrapText="1"/>
      <protection locked="0"/>
    </xf>
    <xf numFmtId="0" fontId="29" fillId="4" borderId="30" xfId="0" applyFont="1" applyFill="1" applyBorder="1" applyAlignment="1" applyProtection="1">
      <alignment vertical="top"/>
      <protection locked="0"/>
    </xf>
    <xf numFmtId="0" fontId="29" fillId="8" borderId="30" xfId="0" applyFont="1" applyFill="1" applyBorder="1" applyAlignment="1" applyProtection="1">
      <alignment vertical="top"/>
      <protection locked="0"/>
    </xf>
    <xf numFmtId="6" fontId="5" fillId="14" borderId="16" xfId="0" applyNumberFormat="1" applyFont="1" applyFill="1" applyBorder="1" applyAlignment="1">
      <alignment horizontal="center" vertical="top" wrapText="1"/>
    </xf>
    <xf numFmtId="0" fontId="2" fillId="7"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4" borderId="3" xfId="0" quotePrefix="1" applyFont="1" applyFill="1" applyBorder="1" applyAlignment="1">
      <alignment vertical="top" wrapText="1"/>
    </xf>
    <xf numFmtId="14" fontId="5" fillId="14" borderId="1" xfId="0" applyNumberFormat="1" applyFont="1" applyFill="1" applyBorder="1" applyAlignment="1">
      <alignment vertical="top" wrapText="1"/>
    </xf>
    <xf numFmtId="0" fontId="24" fillId="0" borderId="0" xfId="7" applyFont="1" applyAlignment="1">
      <alignment vertical="top"/>
    </xf>
    <xf numFmtId="0" fontId="1" fillId="0" borderId="0" xfId="7" applyAlignment="1">
      <alignment vertical="top"/>
    </xf>
    <xf numFmtId="0" fontId="1" fillId="8" borderId="0" xfId="7" applyFill="1" applyAlignment="1">
      <alignment vertical="top"/>
    </xf>
    <xf numFmtId="0" fontId="25" fillId="8" borderId="0" xfId="0" applyFont="1" applyFill="1" applyAlignment="1" applyProtection="1">
      <alignment vertical="center" wrapText="1"/>
      <protection locked="0"/>
    </xf>
    <xf numFmtId="0" fontId="25" fillId="8" borderId="0" xfId="0" applyFont="1" applyFill="1" applyAlignment="1" applyProtection="1">
      <alignment vertical="center"/>
      <protection locked="0"/>
    </xf>
    <xf numFmtId="0" fontId="25" fillId="0" borderId="0" xfId="0" applyFont="1" applyAlignment="1" applyProtection="1">
      <alignment vertical="center"/>
      <protection locked="0"/>
    </xf>
    <xf numFmtId="0" fontId="6" fillId="0" borderId="1" xfId="3" applyBorder="1" applyAlignment="1" applyProtection="1">
      <alignment vertical="center"/>
      <protection locked="0"/>
    </xf>
    <xf numFmtId="0" fontId="27" fillId="0" borderId="1" xfId="0" applyNumberFormat="1" applyFont="1" applyBorder="1" applyAlignment="1" applyProtection="1">
      <alignment horizontal="left" vertical="center" wrapText="1"/>
    </xf>
    <xf numFmtId="0" fontId="43" fillId="0" borderId="1" xfId="3" applyFont="1" applyBorder="1" applyAlignment="1" applyProtection="1">
      <alignment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vertical="center"/>
      <protection locked="0"/>
    </xf>
    <xf numFmtId="17" fontId="46" fillId="8" borderId="60" xfId="0" applyNumberFormat="1" applyFont="1" applyFill="1" applyBorder="1" applyAlignment="1" applyProtection="1">
      <alignment horizontal="left" vertical="top" wrapText="1"/>
      <protection locked="0"/>
    </xf>
    <xf numFmtId="0" fontId="47" fillId="6"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3" fillId="0" borderId="1" xfId="3" applyFont="1" applyBorder="1" applyAlignment="1" applyProtection="1">
      <alignment horizontal="center" vertical="center"/>
      <protection locked="0"/>
    </xf>
    <xf numFmtId="0" fontId="1" fillId="0" borderId="0" xfId="7" applyAlignment="1">
      <alignment vertical="center"/>
    </xf>
    <xf numFmtId="0" fontId="1" fillId="8" borderId="0" xfId="7" applyFill="1" applyAlignment="1">
      <alignment vertical="top" wrapText="1"/>
    </xf>
    <xf numFmtId="0" fontId="2" fillId="7"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4" borderId="3" xfId="0" applyNumberFormat="1" applyFont="1" applyFill="1" applyBorder="1" applyAlignment="1">
      <alignment vertical="top" wrapText="1"/>
    </xf>
    <xf numFmtId="167" fontId="24" fillId="0" borderId="1" xfId="0" applyNumberFormat="1" applyFont="1" applyBorder="1" applyAlignment="1" applyProtection="1">
      <alignment horizontal="center" vertical="top" wrapText="1"/>
    </xf>
    <xf numFmtId="1" fontId="24" fillId="0" borderId="0" xfId="0" applyNumberFormat="1" applyFont="1" applyBorder="1" applyAlignment="1" applyProtection="1">
      <alignment horizontal="center" vertical="top" wrapText="1"/>
      <protection locked="0"/>
    </xf>
    <xf numFmtId="164" fontId="35" fillId="0" borderId="24" xfId="0" applyNumberFormat="1" applyFont="1" applyBorder="1" applyAlignment="1" applyProtection="1">
      <alignment vertical="top" wrapText="1"/>
      <protection locked="0"/>
    </xf>
    <xf numFmtId="0" fontId="61" fillId="17" borderId="1" xfId="0" applyFont="1" applyFill="1" applyBorder="1" applyAlignment="1" applyProtection="1">
      <alignment horizontal="center" vertical="top"/>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0" fontId="2" fillId="7"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26" fillId="7" borderId="34" xfId="0" applyFont="1" applyFill="1" applyBorder="1" applyAlignment="1" applyProtection="1">
      <alignment vertical="top"/>
      <protection locked="0"/>
    </xf>
    <xf numFmtId="0" fontId="26" fillId="7" borderId="30" xfId="0" applyFont="1" applyFill="1" applyBorder="1" applyAlignment="1" applyProtection="1">
      <alignment vertical="top"/>
      <protection locked="0"/>
    </xf>
    <xf numFmtId="2" fontId="24" fillId="11" borderId="1" xfId="0" applyNumberFormat="1" applyFont="1" applyFill="1" applyBorder="1" applyAlignment="1" applyProtection="1">
      <alignment horizontal="center" vertical="top" wrapText="1"/>
    </xf>
    <xf numFmtId="0" fontId="64" fillId="0" borderId="0" xfId="0" applyFont="1"/>
    <xf numFmtId="0" fontId="65" fillId="0" borderId="0" xfId="0" applyFont="1"/>
    <xf numFmtId="0" fontId="33" fillId="0" borderId="60" xfId="0" applyFont="1" applyFill="1" applyBorder="1" applyAlignment="1" applyProtection="1">
      <alignment vertical="top"/>
    </xf>
    <xf numFmtId="0" fontId="7" fillId="0" borderId="0" xfId="0" applyFont="1"/>
    <xf numFmtId="0" fontId="65" fillId="0" borderId="91" xfId="0" applyFont="1" applyBorder="1"/>
    <xf numFmtId="0" fontId="64" fillId="0" borderId="67" xfId="0" applyFont="1" applyBorder="1" applyAlignment="1">
      <alignment wrapText="1"/>
    </xf>
    <xf numFmtId="0" fontId="64" fillId="0" borderId="48" xfId="0" applyFont="1" applyBorder="1" applyAlignment="1">
      <alignment wrapText="1"/>
    </xf>
    <xf numFmtId="0" fontId="7" fillId="0" borderId="91" xfId="0" applyFont="1" applyFill="1" applyBorder="1" applyAlignment="1">
      <alignment wrapText="1"/>
    </xf>
    <xf numFmtId="0" fontId="67" fillId="0" borderId="0" xfId="0" applyFont="1"/>
    <xf numFmtId="0" fontId="62" fillId="19" borderId="45" xfId="0" applyFont="1" applyFill="1" applyBorder="1" applyAlignment="1">
      <alignment horizontal="left" wrapText="1"/>
    </xf>
    <xf numFmtId="0" fontId="62" fillId="19" borderId="48" xfId="0"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2" fontId="62" fillId="0" borderId="6" xfId="0" applyNumberFormat="1" applyFont="1" applyFill="1" applyBorder="1" applyAlignment="1">
      <alignment horizontal="right" wrapText="1"/>
    </xf>
    <xf numFmtId="2" fontId="63" fillId="0" borderId="6" xfId="0" applyNumberFormat="1" applyFont="1" applyFill="1" applyBorder="1" applyAlignment="1">
      <alignment horizontal="right" wrapText="1"/>
    </xf>
    <xf numFmtId="2" fontId="62" fillId="0" borderId="51" xfId="0" applyNumberFormat="1" applyFont="1" applyFill="1" applyBorder="1" applyAlignment="1">
      <alignment horizontal="right" wrapText="1"/>
    </xf>
    <xf numFmtId="2" fontId="7" fillId="20" borderId="60" xfId="1" applyNumberFormat="1" applyFont="1" applyFill="1" applyBorder="1"/>
    <xf numFmtId="2" fontId="24" fillId="11" borderId="60" xfId="0" applyNumberFormat="1" applyFont="1" applyFill="1" applyBorder="1" applyAlignment="1" applyProtection="1">
      <alignment vertical="top"/>
    </xf>
    <xf numFmtId="2" fontId="64" fillId="11" borderId="60" xfId="1" applyNumberFormat="1" applyFont="1" applyFill="1" applyBorder="1"/>
    <xf numFmtId="0" fontId="64" fillId="11" borderId="5" xfId="0" applyFont="1" applyFill="1" applyBorder="1" applyAlignment="1">
      <alignment horizontal="center" vertical="center"/>
    </xf>
    <xf numFmtId="0" fontId="64" fillId="11" borderId="51" xfId="0" applyFont="1" applyFill="1" applyBorder="1" applyAlignment="1">
      <alignment horizontal="center" vertical="center"/>
    </xf>
    <xf numFmtId="0" fontId="65" fillId="11" borderId="60" xfId="0" applyFont="1" applyFill="1" applyBorder="1" applyAlignment="1">
      <alignment horizontal="center" vertical="center"/>
    </xf>
    <xf numFmtId="0" fontId="62" fillId="19" borderId="46" xfId="0" applyFont="1" applyFill="1" applyBorder="1" applyAlignment="1">
      <alignment horizontal="left" wrapText="1"/>
    </xf>
    <xf numFmtId="2" fontId="62" fillId="0" borderId="28" xfId="0" applyNumberFormat="1" applyFont="1" applyFill="1" applyBorder="1" applyAlignment="1">
      <alignment horizontal="right" wrapText="1"/>
    </xf>
    <xf numFmtId="0" fontId="2" fillId="12" borderId="91" xfId="0" applyFont="1" applyFill="1" applyBorder="1"/>
    <xf numFmtId="0" fontId="2" fillId="12" borderId="60" xfId="0" applyFont="1" applyFill="1" applyBorder="1"/>
    <xf numFmtId="0" fontId="68" fillId="0" borderId="67" xfId="0" applyFont="1" applyBorder="1" applyAlignment="1" applyProtection="1">
      <alignment vertical="top" wrapText="1"/>
      <protection locked="0"/>
    </xf>
    <xf numFmtId="2" fontId="68" fillId="11" borderId="5" xfId="0" applyNumberFormat="1" applyFont="1" applyFill="1" applyBorder="1" applyAlignment="1" applyProtection="1">
      <alignment vertical="top" wrapText="1"/>
      <protection locked="0"/>
    </xf>
    <xf numFmtId="0" fontId="68" fillId="0" borderId="45" xfId="0" applyFont="1" applyBorder="1" applyAlignment="1" applyProtection="1">
      <alignment vertical="top" wrapText="1"/>
      <protection locked="0"/>
    </xf>
    <xf numFmtId="2" fontId="68" fillId="11" borderId="6" xfId="0" applyNumberFormat="1" applyFont="1" applyFill="1" applyBorder="1" applyAlignment="1" applyProtection="1">
      <alignment vertical="top" wrapText="1"/>
      <protection locked="0"/>
    </xf>
    <xf numFmtId="2" fontId="68" fillId="11" borderId="47" xfId="0" applyNumberFormat="1" applyFont="1" applyFill="1" applyBorder="1" applyAlignment="1" applyProtection="1">
      <alignment vertical="top" wrapText="1"/>
      <protection locked="0"/>
    </xf>
    <xf numFmtId="0" fontId="69" fillId="0" borderId="48" xfId="0" applyFont="1" applyBorder="1" applyAlignment="1" applyProtection="1">
      <alignment vertical="top" wrapText="1"/>
      <protection locked="0"/>
    </xf>
    <xf numFmtId="2" fontId="7" fillId="12" borderId="51" xfId="0" applyNumberFormat="1" applyFont="1" applyFill="1" applyBorder="1" applyAlignment="1" applyProtection="1">
      <alignment vertical="top" wrapText="1"/>
      <protection locked="0"/>
    </xf>
    <xf numFmtId="0" fontId="69" fillId="0" borderId="0" xfId="0" applyFont="1" applyBorder="1" applyAlignment="1" applyProtection="1">
      <alignment vertical="top" wrapText="1"/>
      <protection locked="0"/>
    </xf>
    <xf numFmtId="2" fontId="7" fillId="0" borderId="0" xfId="0" applyNumberFormat="1"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64" fillId="0" borderId="67" xfId="0" applyFont="1" applyFill="1" applyBorder="1" applyAlignment="1" applyProtection="1">
      <alignment vertical="top" wrapText="1"/>
      <protection locked="0"/>
    </xf>
    <xf numFmtId="0" fontId="64" fillId="0" borderId="48" xfId="0" applyFont="1" applyFill="1" applyBorder="1" applyAlignment="1" applyProtection="1">
      <alignment vertical="top" wrapText="1"/>
      <protection locked="0"/>
    </xf>
    <xf numFmtId="2" fontId="64" fillId="11" borderId="5" xfId="0" applyNumberFormat="1" applyFont="1" applyFill="1" applyBorder="1" applyAlignment="1" applyProtection="1">
      <alignment vertical="top" wrapText="1"/>
      <protection locked="0"/>
    </xf>
    <xf numFmtId="2" fontId="64" fillId="11" borderId="51" xfId="0" applyNumberFormat="1" applyFont="1" applyFill="1" applyBorder="1" applyAlignment="1" applyProtection="1">
      <alignment vertical="top" wrapText="1"/>
      <protection locked="0"/>
    </xf>
    <xf numFmtId="0" fontId="25" fillId="8" borderId="59" xfId="0" applyFont="1" applyFill="1" applyBorder="1" applyAlignment="1" applyProtection="1">
      <alignment horizontal="center" vertical="center" wrapText="1"/>
      <protection locked="0"/>
    </xf>
    <xf numFmtId="0" fontId="24" fillId="0" borderId="1"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4" fillId="0" borderId="42" xfId="0" applyFont="1" applyBorder="1" applyAlignment="1" applyProtection="1">
      <alignment horizontal="left" vertical="top" wrapText="1"/>
      <protection locked="0"/>
    </xf>
    <xf numFmtId="0" fontId="33" fillId="8" borderId="1" xfId="0" applyFont="1" applyFill="1" applyBorder="1" applyAlignment="1" applyProtection="1">
      <alignment horizontal="right" vertical="top"/>
      <protection locked="0"/>
    </xf>
    <xf numFmtId="165" fontId="40" fillId="0" borderId="10" xfId="0" applyNumberFormat="1" applyFont="1" applyFill="1" applyBorder="1" applyAlignment="1" applyProtection="1">
      <alignment horizontal="center" vertical="top" wrapText="1"/>
    </xf>
    <xf numFmtId="2" fontId="29" fillId="7" borderId="22" xfId="0" applyNumberFormat="1" applyFont="1" applyFill="1" applyBorder="1" applyAlignment="1" applyProtection="1">
      <alignment horizontal="center" vertical="top" wrapText="1"/>
    </xf>
    <xf numFmtId="14" fontId="46" fillId="8" borderId="60" xfId="0" applyNumberFormat="1" applyFont="1" applyFill="1" applyBorder="1" applyAlignment="1" applyProtection="1">
      <alignment horizontal="center" vertical="top" wrapText="1"/>
      <protection locked="0"/>
    </xf>
    <xf numFmtId="2" fontId="33" fillId="8" borderId="36" xfId="0" applyNumberFormat="1" applyFont="1" applyFill="1" applyBorder="1" applyAlignment="1" applyProtection="1">
      <alignment horizontal="center" vertical="center" wrapText="1"/>
    </xf>
    <xf numFmtId="10" fontId="37" fillId="7" borderId="12" xfId="6" applyNumberFormat="1" applyFont="1" applyFill="1" applyBorder="1" applyAlignment="1" applyProtection="1">
      <alignment horizontal="center" vertical="center" wrapText="1"/>
    </xf>
    <xf numFmtId="0" fontId="24" fillId="0" borderId="1" xfId="0" applyFont="1" applyBorder="1" applyAlignment="1" applyProtection="1">
      <alignment horizontal="right" vertical="top" wrapText="1"/>
    </xf>
    <xf numFmtId="2" fontId="24" fillId="0" borderId="9" xfId="0" applyNumberFormat="1" applyFont="1" applyBorder="1" applyAlignment="1" applyProtection="1">
      <alignment vertical="top"/>
      <protection locked="0"/>
    </xf>
    <xf numFmtId="1" fontId="35" fillId="0" borderId="40" xfId="0" applyNumberFormat="1" applyFont="1" applyBorder="1" applyAlignment="1" applyProtection="1">
      <alignment horizontal="left" vertical="top" wrapText="1"/>
      <protection locked="0"/>
    </xf>
    <xf numFmtId="2" fontId="24" fillId="11" borderId="51" xfId="0" applyNumberFormat="1" applyFont="1" applyFill="1" applyBorder="1" applyAlignment="1" applyProtection="1">
      <alignment vertical="top"/>
    </xf>
    <xf numFmtId="0" fontId="27" fillId="8" borderId="6" xfId="0" applyFont="1" applyFill="1" applyBorder="1" applyAlignment="1" applyProtection="1">
      <alignment horizontal="center" vertical="top"/>
    </xf>
    <xf numFmtId="0" fontId="33" fillId="8" borderId="50" xfId="0" applyFont="1" applyFill="1" applyBorder="1" applyAlignment="1" applyProtection="1">
      <alignment vertical="top"/>
      <protection locked="0"/>
    </xf>
    <xf numFmtId="0" fontId="27" fillId="8" borderId="50" xfId="0" applyFont="1" applyFill="1" applyBorder="1" applyAlignment="1" applyProtection="1">
      <alignment horizontal="center" vertical="top"/>
      <protection locked="0"/>
    </xf>
    <xf numFmtId="0" fontId="33" fillId="8" borderId="51" xfId="0" applyFont="1" applyFill="1" applyBorder="1" applyAlignment="1" applyProtection="1">
      <alignment vertical="top"/>
      <protection locked="0"/>
    </xf>
    <xf numFmtId="165" fontId="29" fillId="14" borderId="11" xfId="0" applyNumberFormat="1" applyFont="1" applyFill="1" applyBorder="1" applyAlignment="1" applyProtection="1">
      <alignment horizontal="center" vertical="top" wrapText="1"/>
      <protection locked="0"/>
    </xf>
    <xf numFmtId="0" fontId="5" fillId="14" borderId="35" xfId="0" applyFont="1" applyFill="1" applyBorder="1" applyAlignment="1">
      <alignment horizontal="left" vertical="top" wrapText="1"/>
    </xf>
    <xf numFmtId="0" fontId="5" fillId="14" borderId="4" xfId="0" applyFont="1" applyFill="1" applyBorder="1" applyAlignment="1">
      <alignment horizontal="left" vertical="top" wrapText="1"/>
    </xf>
    <xf numFmtId="0" fontId="5" fillId="14" borderId="58" xfId="0" applyFont="1" applyFill="1" applyBorder="1" applyAlignment="1">
      <alignment horizontal="left" vertical="top" wrapText="1"/>
    </xf>
    <xf numFmtId="0" fontId="5" fillId="14" borderId="7" xfId="0" applyFont="1" applyFill="1" applyBorder="1" applyAlignment="1">
      <alignment horizontal="left" vertical="top" wrapText="1"/>
    </xf>
    <xf numFmtId="0" fontId="5" fillId="14" borderId="0" xfId="0" applyFont="1" applyFill="1" applyBorder="1" applyAlignment="1">
      <alignment horizontal="left" vertical="top" wrapText="1"/>
    </xf>
    <xf numFmtId="0" fontId="5" fillId="14" borderId="13" xfId="0" applyFont="1" applyFill="1" applyBorder="1" applyAlignment="1">
      <alignment horizontal="left" vertical="top" wrapText="1"/>
    </xf>
    <xf numFmtId="0" fontId="5" fillId="14" borderId="31" xfId="0" applyFont="1" applyFill="1" applyBorder="1" applyAlignment="1">
      <alignment horizontal="left" vertical="top" wrapText="1"/>
    </xf>
    <xf numFmtId="0" fontId="5" fillId="14" borderId="23" xfId="0" applyFont="1" applyFill="1" applyBorder="1" applyAlignment="1">
      <alignment horizontal="left" vertical="top" wrapText="1"/>
    </xf>
    <xf numFmtId="0" fontId="5" fillId="14" borderId="32" xfId="0" applyFont="1" applyFill="1" applyBorder="1" applyAlignment="1">
      <alignment horizontal="left" vertical="top" wrapText="1"/>
    </xf>
    <xf numFmtId="0" fontId="54" fillId="8" borderId="0" xfId="7" applyFont="1" applyFill="1" applyAlignment="1">
      <alignment horizontal="center" vertical="top"/>
    </xf>
    <xf numFmtId="0" fontId="60" fillId="8" borderId="0" xfId="7" applyFont="1" applyFill="1" applyAlignment="1">
      <alignment horizontal="center" vertical="top" wrapText="1"/>
    </xf>
    <xf numFmtId="17" fontId="55" fillId="8" borderId="0" xfId="7" quotePrefix="1" applyNumberFormat="1" applyFont="1" applyFill="1" applyAlignment="1">
      <alignment horizontal="center" vertical="center" wrapText="1"/>
    </xf>
    <xf numFmtId="0" fontId="55" fillId="8" borderId="0" xfId="7" applyFont="1" applyFill="1" applyAlignment="1">
      <alignment horizontal="center" vertical="center" wrapText="1"/>
    </xf>
    <xf numFmtId="0" fontId="56" fillId="8" borderId="0" xfId="7" applyFont="1" applyFill="1" applyAlignment="1">
      <alignment horizontal="center" vertical="top" wrapText="1" readingOrder="1"/>
    </xf>
    <xf numFmtId="0" fontId="56" fillId="7" borderId="0" xfId="7" applyFont="1" applyFill="1" applyAlignment="1">
      <alignment horizontal="center" vertical="top" wrapText="1" readingOrder="1"/>
    </xf>
    <xf numFmtId="0" fontId="47" fillId="6"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7"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5" xfId="0" applyNumberFormat="1" applyFont="1" applyBorder="1" applyAlignment="1">
      <alignment horizontal="left" vertical="top" wrapText="1"/>
    </xf>
    <xf numFmtId="0" fontId="4" fillId="0" borderId="27" xfId="0" applyFont="1" applyBorder="1" applyAlignment="1">
      <alignment horizontal="left" vertical="top"/>
    </xf>
    <xf numFmtId="0" fontId="66" fillId="0" borderId="0" xfId="0" applyFont="1" applyAlignment="1">
      <alignment horizontal="center"/>
    </xf>
    <xf numFmtId="0" fontId="2" fillId="3" borderId="1" xfId="0" applyFont="1" applyFill="1" applyBorder="1" applyAlignment="1">
      <alignment horizontal="center" vertical="top"/>
    </xf>
    <xf numFmtId="0" fontId="38" fillId="17" borderId="0" xfId="0" applyFont="1" applyFill="1" applyBorder="1" applyAlignment="1" applyProtection="1">
      <alignment horizontal="left" vertical="top"/>
      <protection locked="0"/>
    </xf>
    <xf numFmtId="0" fontId="35" fillId="8" borderId="1" xfId="0" applyFont="1" applyFill="1" applyBorder="1" applyAlignment="1" applyProtection="1">
      <alignment horizontal="left" vertical="top"/>
      <protection locked="0"/>
    </xf>
    <xf numFmtId="0" fontId="26" fillId="8" borderId="50" xfId="0" applyFont="1" applyFill="1" applyBorder="1" applyAlignment="1" applyProtection="1">
      <alignment horizontal="center" vertical="center" wrapText="1"/>
    </xf>
    <xf numFmtId="0" fontId="26" fillId="8" borderId="51" xfId="0" applyFont="1" applyFill="1" applyBorder="1" applyAlignment="1" applyProtection="1">
      <alignment horizontal="center" vertical="center" wrapText="1"/>
    </xf>
    <xf numFmtId="7" fontId="26" fillId="8" borderId="1" xfId="1" applyNumberFormat="1" applyFont="1" applyFill="1" applyBorder="1" applyAlignment="1" applyProtection="1">
      <alignment horizontal="center" vertical="center" wrapText="1"/>
    </xf>
    <xf numFmtId="7" fontId="26" fillId="8" borderId="6" xfId="1" applyNumberFormat="1" applyFont="1" applyFill="1" applyBorder="1" applyAlignment="1" applyProtection="1">
      <alignment horizontal="center" vertical="center" wrapText="1"/>
    </xf>
    <xf numFmtId="0" fontId="33" fillId="8" borderId="48" xfId="0" applyFont="1" applyFill="1" applyBorder="1" applyAlignment="1" applyProtection="1">
      <alignment horizontal="left" vertical="center" wrapText="1"/>
    </xf>
    <xf numFmtId="0" fontId="33" fillId="8" borderId="50" xfId="0" applyFont="1" applyFill="1" applyBorder="1" applyAlignment="1" applyProtection="1">
      <alignment horizontal="left" vertical="center" wrapText="1"/>
    </xf>
    <xf numFmtId="0" fontId="33" fillId="8" borderId="45" xfId="0" applyFont="1" applyFill="1" applyBorder="1" applyAlignment="1" applyProtection="1">
      <alignment horizontal="left" vertical="center" wrapText="1"/>
    </xf>
    <xf numFmtId="0" fontId="33" fillId="8" borderId="1" xfId="0" applyFont="1" applyFill="1" applyBorder="1" applyAlignment="1" applyProtection="1">
      <alignment horizontal="left" vertical="center" wrapText="1"/>
    </xf>
    <xf numFmtId="0" fontId="25" fillId="0" borderId="40" xfId="0" applyFont="1" applyFill="1" applyBorder="1" applyAlignment="1" applyProtection="1">
      <alignment horizontal="center" vertical="top" wrapText="1"/>
      <protection locked="0"/>
    </xf>
    <xf numFmtId="0" fontId="25" fillId="0" borderId="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0" fontId="27" fillId="10" borderId="49" xfId="0" applyFont="1" applyFill="1" applyBorder="1" applyAlignment="1" applyProtection="1">
      <alignment horizontal="left" vertical="top"/>
      <protection locked="0"/>
    </xf>
    <xf numFmtId="0" fontId="27" fillId="10" borderId="20" xfId="0" applyFont="1" applyFill="1" applyBorder="1" applyAlignment="1" applyProtection="1">
      <alignment horizontal="left" vertical="top"/>
      <protection locked="0"/>
    </xf>
    <xf numFmtId="0" fontId="27" fillId="10" borderId="16" xfId="0" applyFont="1" applyFill="1" applyBorder="1" applyAlignment="1" applyProtection="1">
      <alignment horizontal="left" vertical="top"/>
      <protection locked="0"/>
    </xf>
    <xf numFmtId="0" fontId="27" fillId="10" borderId="55" xfId="0" applyFont="1" applyFill="1" applyBorder="1" applyAlignment="1" applyProtection="1">
      <alignment horizontal="left" vertical="top"/>
      <protection locked="0"/>
    </xf>
    <xf numFmtId="9" fontId="33" fillId="7" borderId="35" xfId="0" applyNumberFormat="1" applyFont="1" applyFill="1" applyBorder="1" applyAlignment="1" applyProtection="1">
      <alignment horizontal="center" vertical="top" wrapText="1"/>
    </xf>
    <xf numFmtId="9" fontId="33" fillId="7" borderId="4" xfId="0" applyNumberFormat="1" applyFont="1" applyFill="1" applyBorder="1" applyAlignment="1" applyProtection="1">
      <alignment horizontal="center" vertical="top" wrapText="1"/>
    </xf>
    <xf numFmtId="9" fontId="33" fillId="7" borderId="58" xfId="0" applyNumberFormat="1" applyFont="1" applyFill="1" applyBorder="1" applyAlignment="1" applyProtection="1">
      <alignment horizontal="center" vertical="top" wrapText="1"/>
    </xf>
    <xf numFmtId="9" fontId="33" fillId="7" borderId="31" xfId="0" applyNumberFormat="1" applyFont="1" applyFill="1" applyBorder="1" applyAlignment="1" applyProtection="1">
      <alignment horizontal="center" vertical="top" wrapText="1"/>
    </xf>
    <xf numFmtId="9" fontId="33" fillId="7" borderId="23" xfId="0" applyNumberFormat="1" applyFont="1" applyFill="1" applyBorder="1" applyAlignment="1" applyProtection="1">
      <alignment horizontal="center" vertical="top" wrapText="1"/>
    </xf>
    <xf numFmtId="9" fontId="33" fillId="7" borderId="32" xfId="0" applyNumberFormat="1" applyFont="1" applyFill="1" applyBorder="1" applyAlignment="1" applyProtection="1">
      <alignment horizontal="center" vertical="top" wrapText="1"/>
    </xf>
    <xf numFmtId="0" fontId="25" fillId="0" borderId="54" xfId="0" applyFont="1" applyBorder="1" applyAlignment="1" applyProtection="1">
      <alignment horizontal="center" vertical="center" wrapText="1"/>
    </xf>
    <xf numFmtId="0" fontId="25" fillId="0" borderId="56" xfId="0" applyFont="1" applyBorder="1" applyAlignment="1" applyProtection="1">
      <alignment horizontal="center" vertical="center" wrapText="1"/>
    </xf>
    <xf numFmtId="0" fontId="25" fillId="0" borderId="59" xfId="0" applyFont="1" applyBorder="1" applyAlignment="1" applyProtection="1">
      <alignment horizontal="center" vertical="center" wrapText="1"/>
    </xf>
    <xf numFmtId="0" fontId="25" fillId="0" borderId="37"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5" fillId="0" borderId="63" xfId="0" applyFont="1" applyBorder="1" applyAlignment="1" applyProtection="1">
      <alignment horizontal="center" vertical="center" wrapText="1"/>
    </xf>
    <xf numFmtId="0" fontId="24" fillId="0" borderId="1" xfId="0" applyFont="1" applyBorder="1" applyAlignment="1" applyProtection="1">
      <alignment horizontal="left" vertical="top" wrapText="1"/>
      <protection locked="0"/>
    </xf>
    <xf numFmtId="0" fontId="33" fillId="8" borderId="57" xfId="0" applyFont="1" applyFill="1" applyBorder="1" applyAlignment="1" applyProtection="1">
      <alignment horizontal="right" vertical="top"/>
      <protection locked="0"/>
    </xf>
    <xf numFmtId="0" fontId="33" fillId="8" borderId="50" xfId="0" applyFont="1" applyFill="1" applyBorder="1" applyAlignment="1" applyProtection="1">
      <alignment horizontal="right" vertical="top"/>
      <protection locked="0"/>
    </xf>
    <xf numFmtId="0" fontId="39" fillId="15" borderId="34" xfId="0" applyFont="1" applyFill="1" applyBorder="1" applyAlignment="1" applyProtection="1">
      <alignment horizontal="center" vertical="top" wrapText="1"/>
    </xf>
    <xf numFmtId="0" fontId="39" fillId="15" borderId="30" xfId="0" applyFont="1" applyFill="1" applyBorder="1" applyAlignment="1" applyProtection="1">
      <alignment horizontal="center" vertical="top" wrapText="1"/>
    </xf>
    <xf numFmtId="0" fontId="39" fillId="15" borderId="60" xfId="0" applyFont="1" applyFill="1" applyBorder="1" applyAlignment="1" applyProtection="1">
      <alignment horizontal="center" vertical="top" wrapText="1"/>
    </xf>
    <xf numFmtId="0" fontId="24" fillId="0" borderId="38" xfId="0" applyFont="1" applyBorder="1" applyAlignment="1" applyProtection="1">
      <alignment horizontal="center" vertical="center" textRotation="90" wrapText="1"/>
      <protection locked="0"/>
    </xf>
    <xf numFmtId="0" fontId="24" fillId="0" borderId="3" xfId="0" applyFont="1" applyBorder="1" applyAlignment="1" applyProtection="1">
      <alignment horizontal="center" vertical="center" textRotation="90" wrapText="1"/>
      <protection locked="0"/>
    </xf>
    <xf numFmtId="0" fontId="33" fillId="8" borderId="35" xfId="0" applyFont="1" applyFill="1" applyBorder="1" applyAlignment="1" applyProtection="1">
      <alignment horizontal="right" vertical="top"/>
      <protection locked="0"/>
    </xf>
    <xf numFmtId="0" fontId="33" fillId="8" borderId="4" xfId="0" applyFont="1" applyFill="1" applyBorder="1" applyAlignment="1" applyProtection="1">
      <alignment horizontal="right" vertical="top"/>
      <protection locked="0"/>
    </xf>
    <xf numFmtId="0" fontId="33" fillId="8" borderId="40" xfId="0" applyFont="1" applyFill="1" applyBorder="1" applyAlignment="1" applyProtection="1">
      <alignment horizontal="right" vertical="top"/>
      <protection locked="0"/>
    </xf>
    <xf numFmtId="0" fontId="24" fillId="0" borderId="16" xfId="0" applyFont="1" applyBorder="1" applyAlignment="1" applyProtection="1">
      <alignment horizontal="left" vertical="top" wrapText="1"/>
      <protection locked="0"/>
    </xf>
    <xf numFmtId="0" fontId="24" fillId="0" borderId="42" xfId="0" applyFont="1" applyBorder="1" applyAlignment="1" applyProtection="1">
      <alignment horizontal="left" vertical="top" wrapText="1"/>
      <protection locked="0"/>
    </xf>
    <xf numFmtId="0" fontId="46" fillId="4" borderId="30" xfId="0" applyFont="1" applyFill="1" applyBorder="1" applyAlignment="1" applyProtection="1">
      <alignment horizontal="left" vertical="top"/>
      <protection locked="0"/>
    </xf>
    <xf numFmtId="0" fontId="46" fillId="4" borderId="60" xfId="0" applyFont="1" applyFill="1" applyBorder="1" applyAlignment="1" applyProtection="1">
      <alignment horizontal="left" vertical="top"/>
      <protection locked="0"/>
    </xf>
    <xf numFmtId="0" fontId="46" fillId="0" borderId="34" xfId="0" applyFont="1" applyBorder="1" applyAlignment="1" applyProtection="1">
      <alignment horizontal="right" vertical="top"/>
      <protection locked="0"/>
    </xf>
    <xf numFmtId="0" fontId="46" fillId="0" borderId="30" xfId="0" applyFont="1" applyBorder="1" applyAlignment="1" applyProtection="1">
      <alignment horizontal="right" vertical="top"/>
      <protection locked="0"/>
    </xf>
    <xf numFmtId="9" fontId="27" fillId="8" borderId="54" xfId="0" applyNumberFormat="1" applyFont="1" applyFill="1" applyBorder="1" applyAlignment="1" applyProtection="1">
      <alignment horizontal="left" vertical="top" wrapText="1"/>
    </xf>
    <xf numFmtId="9" fontId="27" fillId="8" borderId="52" xfId="0" applyNumberFormat="1" applyFont="1" applyFill="1" applyBorder="1" applyAlignment="1" applyProtection="1">
      <alignment horizontal="left" vertical="top" wrapText="1"/>
    </xf>
    <xf numFmtId="9" fontId="27" fillId="8" borderId="16" xfId="5" applyFont="1" applyFill="1" applyBorder="1" applyAlignment="1" applyProtection="1">
      <alignment horizontal="left" vertical="top"/>
      <protection locked="0"/>
    </xf>
    <xf numFmtId="9" fontId="27" fillId="8" borderId="47" xfId="5" applyFont="1" applyFill="1" applyBorder="1" applyAlignment="1" applyProtection="1">
      <alignment horizontal="left" vertical="top"/>
      <protection locked="0"/>
    </xf>
    <xf numFmtId="0" fontId="27" fillId="10" borderId="47" xfId="0" applyFont="1" applyFill="1" applyBorder="1" applyAlignment="1" applyProtection="1">
      <alignment horizontal="left" vertical="top"/>
      <protection locked="0"/>
    </xf>
    <xf numFmtId="0" fontId="27" fillId="10" borderId="15" xfId="0" applyFont="1" applyFill="1" applyBorder="1" applyAlignment="1" applyProtection="1">
      <alignment horizontal="left" vertical="top"/>
      <protection locked="0"/>
    </xf>
    <xf numFmtId="0" fontId="27" fillId="10" borderId="63" xfId="0" applyFont="1" applyFill="1" applyBorder="1" applyAlignment="1" applyProtection="1">
      <alignment horizontal="left" vertical="top"/>
      <protection locked="0"/>
    </xf>
    <xf numFmtId="0" fontId="33" fillId="8" borderId="1" xfId="0" applyFont="1" applyFill="1" applyBorder="1" applyAlignment="1" applyProtection="1">
      <alignment horizontal="right" vertical="top"/>
      <protection locked="0"/>
    </xf>
    <xf numFmtId="0" fontId="33" fillId="8" borderId="3" xfId="0" applyFont="1" applyFill="1" applyBorder="1" applyAlignment="1" applyProtection="1">
      <alignment horizontal="left" vertical="top"/>
      <protection locked="0"/>
    </xf>
    <xf numFmtId="0" fontId="33" fillId="8" borderId="65" xfId="0" applyFont="1" applyFill="1" applyBorder="1" applyAlignment="1" applyProtection="1">
      <alignment horizontal="left" vertical="top"/>
      <protection locked="0"/>
    </xf>
    <xf numFmtId="0" fontId="33" fillId="8" borderId="2" xfId="0" applyFont="1" applyFill="1" applyBorder="1" applyAlignment="1" applyProtection="1">
      <alignment horizontal="left" vertical="top"/>
      <protection locked="0"/>
    </xf>
    <xf numFmtId="0" fontId="33" fillId="8" borderId="45" xfId="0" applyFont="1" applyFill="1" applyBorder="1" applyAlignment="1" applyProtection="1">
      <alignment horizontal="left" vertical="top"/>
      <protection locked="0"/>
    </xf>
    <xf numFmtId="0" fontId="33" fillId="8" borderId="1" xfId="0" applyFont="1" applyFill="1" applyBorder="1" applyAlignment="1" applyProtection="1">
      <alignment horizontal="left" vertical="top"/>
      <protection locked="0"/>
    </xf>
    <xf numFmtId="0" fontId="33" fillId="8" borderId="67" xfId="0" applyFont="1" applyFill="1" applyBorder="1" applyAlignment="1" applyProtection="1">
      <alignment horizontal="left" vertical="top"/>
      <protection locked="0"/>
    </xf>
    <xf numFmtId="0" fontId="27" fillId="8" borderId="43" xfId="0" applyFont="1" applyFill="1" applyBorder="1" applyAlignment="1" applyProtection="1">
      <alignment horizontal="left" vertical="top"/>
    </xf>
    <xf numFmtId="0" fontId="27" fillId="8" borderId="64" xfId="0" applyFont="1" applyFill="1" applyBorder="1" applyAlignment="1" applyProtection="1">
      <alignment horizontal="left" vertical="top"/>
    </xf>
    <xf numFmtId="0" fontId="26" fillId="7" borderId="34" xfId="0" applyFont="1" applyFill="1" applyBorder="1" applyAlignment="1" applyProtection="1">
      <alignment horizontal="center" vertical="top"/>
      <protection locked="0"/>
    </xf>
    <xf numFmtId="0" fontId="26" fillId="7" borderId="30" xfId="0" applyFont="1" applyFill="1" applyBorder="1" applyAlignment="1" applyProtection="1">
      <alignment horizontal="center" vertical="top"/>
      <protection locked="0"/>
    </xf>
    <xf numFmtId="0" fontId="26" fillId="7" borderId="60" xfId="0" applyFont="1" applyFill="1" applyBorder="1" applyAlignment="1" applyProtection="1">
      <alignment horizontal="center" vertical="top"/>
      <protection locked="0"/>
    </xf>
    <xf numFmtId="0" fontId="26" fillId="7" borderId="73" xfId="0" applyFont="1" applyFill="1" applyBorder="1" applyAlignment="1" applyProtection="1">
      <alignment horizontal="left" vertical="top"/>
      <protection locked="0"/>
    </xf>
    <xf numFmtId="0" fontId="26" fillId="7" borderId="74" xfId="0" applyFont="1" applyFill="1" applyBorder="1" applyAlignment="1" applyProtection="1">
      <alignment horizontal="left" vertical="top"/>
      <protection locked="0"/>
    </xf>
    <xf numFmtId="0" fontId="26" fillId="7" borderId="75" xfId="0" applyFont="1" applyFill="1" applyBorder="1" applyAlignment="1" applyProtection="1">
      <alignment horizontal="left" vertical="top"/>
      <protection locked="0"/>
    </xf>
    <xf numFmtId="0" fontId="33" fillId="10" borderId="76" xfId="0" applyFont="1" applyFill="1" applyBorder="1" applyAlignment="1" applyProtection="1">
      <alignment vertical="top"/>
      <protection locked="0"/>
    </xf>
    <xf numFmtId="0" fontId="33" fillId="10" borderId="4" xfId="0" applyFont="1" applyFill="1" applyBorder="1" applyAlignment="1" applyProtection="1">
      <alignment vertical="top"/>
      <protection locked="0"/>
    </xf>
    <xf numFmtId="0" fontId="33" fillId="10" borderId="77" xfId="0" applyFont="1" applyFill="1" applyBorder="1" applyAlignment="1" applyProtection="1">
      <alignment vertical="top"/>
      <protection locked="0"/>
    </xf>
    <xf numFmtId="0" fontId="33" fillId="9" borderId="33" xfId="0" applyFont="1" applyFill="1" applyBorder="1" applyAlignment="1" applyProtection="1">
      <alignment vertical="top"/>
      <protection locked="0"/>
    </xf>
    <xf numFmtId="0" fontId="33" fillId="9" borderId="0" xfId="0" applyFont="1" applyFill="1" applyBorder="1" applyAlignment="1" applyProtection="1">
      <alignment vertical="top"/>
      <protection locked="0"/>
    </xf>
    <xf numFmtId="0" fontId="33" fillId="9" borderId="41" xfId="0" applyFont="1" applyFill="1" applyBorder="1" applyAlignment="1" applyProtection="1">
      <alignment vertical="top"/>
      <protection locked="0"/>
    </xf>
    <xf numFmtId="0" fontId="33" fillId="8" borderId="63" xfId="0" applyFont="1" applyFill="1" applyBorder="1" applyAlignment="1" applyProtection="1">
      <alignment horizontal="left" vertical="top"/>
      <protection locked="0"/>
    </xf>
    <xf numFmtId="9" fontId="26" fillId="14" borderId="34" xfId="0" applyNumberFormat="1" applyFont="1" applyFill="1" applyBorder="1" applyAlignment="1" applyProtection="1">
      <alignment horizontal="center" vertical="top" wrapText="1"/>
      <protection locked="0"/>
    </xf>
    <xf numFmtId="9" fontId="26" fillId="14" borderId="58" xfId="0" applyNumberFormat="1" applyFont="1" applyFill="1" applyBorder="1" applyAlignment="1" applyProtection="1">
      <alignment horizontal="center" vertical="top" wrapText="1"/>
      <protection locked="0"/>
    </xf>
    <xf numFmtId="0" fontId="33" fillId="8" borderId="55" xfId="0" applyFont="1" applyFill="1" applyBorder="1" applyAlignment="1" applyProtection="1">
      <alignment horizontal="right" vertical="top"/>
      <protection locked="0"/>
    </xf>
    <xf numFmtId="14" fontId="27" fillId="10" borderId="16" xfId="0" applyNumberFormat="1" applyFont="1" applyFill="1" applyBorder="1" applyAlignment="1" applyProtection="1">
      <alignment horizontal="left" vertical="top"/>
      <protection locked="0"/>
    </xf>
    <xf numFmtId="0" fontId="33" fillId="8" borderId="34" xfId="0" applyFont="1" applyFill="1" applyBorder="1" applyAlignment="1" applyProtection="1">
      <alignment horizontal="right" vertical="top"/>
      <protection locked="0"/>
    </xf>
    <xf numFmtId="0" fontId="33" fillId="8" borderId="30" xfId="0" applyFont="1" applyFill="1" applyBorder="1" applyAlignment="1" applyProtection="1">
      <alignment horizontal="right" vertical="top"/>
      <protection locked="0"/>
    </xf>
    <xf numFmtId="0" fontId="27" fillId="10" borderId="43" xfId="0" applyFont="1" applyFill="1" applyBorder="1" applyAlignment="1" applyProtection="1">
      <alignment horizontal="left" vertical="top"/>
      <protection locked="0"/>
    </xf>
    <xf numFmtId="0" fontId="27" fillId="10" borderId="65" xfId="0" applyFont="1" applyFill="1" applyBorder="1" applyAlignment="1" applyProtection="1">
      <alignment horizontal="left" vertical="top"/>
      <protection locked="0"/>
    </xf>
    <xf numFmtId="0" fontId="24" fillId="0" borderId="3" xfId="0" applyFont="1" applyBorder="1" applyAlignment="1" applyProtection="1">
      <alignment horizontal="left" vertical="top" wrapText="1"/>
      <protection locked="0"/>
    </xf>
    <xf numFmtId="0" fontId="33" fillId="8" borderId="53" xfId="0" applyFont="1" applyFill="1" applyBorder="1" applyAlignment="1" applyProtection="1">
      <alignment horizontal="right" vertical="top"/>
      <protection locked="0"/>
    </xf>
    <xf numFmtId="0" fontId="33" fillId="8" borderId="45" xfId="0" applyFont="1" applyFill="1" applyBorder="1" applyAlignment="1" applyProtection="1">
      <alignment horizontal="right" vertical="top"/>
      <protection locked="0"/>
    </xf>
    <xf numFmtId="0" fontId="30" fillId="0" borderId="16" xfId="0" applyFont="1" applyFill="1" applyBorder="1" applyAlignment="1" applyProtection="1">
      <alignment horizontal="right" vertical="top" wrapText="1"/>
      <protection locked="0"/>
    </xf>
    <xf numFmtId="0" fontId="0" fillId="0" borderId="19" xfId="0" applyBorder="1"/>
    <xf numFmtId="0" fontId="0" fillId="0" borderId="55" xfId="0" applyBorder="1"/>
    <xf numFmtId="0" fontId="24" fillId="0" borderId="55"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protection locked="0"/>
    </xf>
    <xf numFmtId="0" fontId="24" fillId="0" borderId="19" xfId="0" applyFont="1" applyFill="1" applyBorder="1" applyAlignment="1" applyProtection="1">
      <alignment horizontal="left" vertical="top"/>
      <protection locked="0"/>
    </xf>
    <xf numFmtId="0" fontId="24" fillId="0" borderId="55" xfId="0" applyFont="1" applyFill="1" applyBorder="1" applyAlignment="1" applyProtection="1">
      <alignment horizontal="left" vertical="top"/>
      <protection locked="0"/>
    </xf>
    <xf numFmtId="0" fontId="24" fillId="0" borderId="16" xfId="0" applyFont="1" applyBorder="1" applyAlignment="1" applyProtection="1">
      <alignment horizontal="left" vertical="top"/>
      <protection locked="0"/>
    </xf>
    <xf numFmtId="0" fontId="24" fillId="0" borderId="19" xfId="0" applyFont="1" applyBorder="1" applyAlignment="1" applyProtection="1">
      <alignment horizontal="left" vertical="top"/>
      <protection locked="0"/>
    </xf>
    <xf numFmtId="0" fontId="24" fillId="0" borderId="55" xfId="0" applyFont="1" applyBorder="1" applyAlignment="1" applyProtection="1">
      <alignment horizontal="left" vertical="top"/>
      <protection locked="0"/>
    </xf>
    <xf numFmtId="0" fontId="24" fillId="0" borderId="42" xfId="0" applyFont="1" applyFill="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55" xfId="0" applyFont="1" applyBorder="1" applyAlignment="1" applyProtection="1">
      <alignment horizontal="left" vertical="top" wrapText="1"/>
      <protection locked="0"/>
    </xf>
    <xf numFmtId="0" fontId="39" fillId="17" borderId="70" xfId="0" applyFont="1" applyFill="1" applyBorder="1" applyAlignment="1" applyProtection="1">
      <alignment horizontal="left" vertical="top"/>
      <protection locked="0"/>
    </xf>
    <xf numFmtId="0" fontId="39" fillId="17" borderId="71" xfId="0" applyFont="1" applyFill="1" applyBorder="1" applyAlignment="1" applyProtection="1">
      <alignment horizontal="left" vertical="top"/>
      <protection locked="0"/>
    </xf>
    <xf numFmtId="0" fontId="39" fillId="17" borderId="72" xfId="0" applyFont="1" applyFill="1" applyBorder="1" applyAlignment="1" applyProtection="1">
      <alignment horizontal="left" vertical="top"/>
      <protection locked="0"/>
    </xf>
    <xf numFmtId="0" fontId="39" fillId="18" borderId="35" xfId="0" applyFont="1" applyFill="1" applyBorder="1" applyAlignment="1" applyProtection="1">
      <alignment horizontal="center" vertical="top"/>
    </xf>
    <xf numFmtId="0" fontId="39" fillId="18" borderId="4" xfId="0" applyFont="1" applyFill="1" applyBorder="1" applyAlignment="1" applyProtection="1">
      <alignment horizontal="center" vertical="top"/>
    </xf>
    <xf numFmtId="0" fontId="39" fillId="18" borderId="58" xfId="0" applyFont="1" applyFill="1" applyBorder="1" applyAlignment="1" applyProtection="1">
      <alignment horizontal="center" vertical="top"/>
    </xf>
    <xf numFmtId="0" fontId="33" fillId="11" borderId="33" xfId="0" applyFont="1" applyFill="1" applyBorder="1" applyAlignment="1" applyProtection="1">
      <alignment vertical="top"/>
      <protection locked="0"/>
    </xf>
    <xf numFmtId="0" fontId="33" fillId="11" borderId="0" xfId="0" applyFont="1" applyFill="1" applyBorder="1" applyAlignment="1" applyProtection="1">
      <alignment vertical="top"/>
      <protection locked="0"/>
    </xf>
    <xf numFmtId="0" fontId="33" fillId="11" borderId="41" xfId="0" applyFont="1" applyFill="1" applyBorder="1" applyAlignment="1" applyProtection="1">
      <alignment vertical="top"/>
      <protection locked="0"/>
    </xf>
    <xf numFmtId="0" fontId="33" fillId="13" borderId="33" xfId="0" applyFont="1" applyFill="1" applyBorder="1" applyAlignment="1" applyProtection="1">
      <alignment vertical="top"/>
      <protection locked="0"/>
    </xf>
    <xf numFmtId="0" fontId="33" fillId="13" borderId="0" xfId="0" applyFont="1" applyFill="1" applyBorder="1" applyAlignment="1" applyProtection="1">
      <alignment vertical="top"/>
      <protection locked="0"/>
    </xf>
    <xf numFmtId="0" fontId="33" fillId="13" borderId="41" xfId="0" applyFont="1" applyFill="1" applyBorder="1" applyAlignment="1" applyProtection="1">
      <alignment vertical="top"/>
      <protection locked="0"/>
    </xf>
    <xf numFmtId="0" fontId="29" fillId="7" borderId="31" xfId="0" applyFont="1" applyFill="1" applyBorder="1" applyAlignment="1" applyProtection="1">
      <alignment horizontal="center" vertical="top"/>
    </xf>
    <xf numFmtId="0" fontId="29" fillId="7" borderId="32" xfId="0" applyFont="1" applyFill="1" applyBorder="1" applyAlignment="1" applyProtection="1">
      <alignment horizontal="center" vertical="top"/>
    </xf>
    <xf numFmtId="0" fontId="33" fillId="7" borderId="35" xfId="0" applyFont="1" applyFill="1" applyBorder="1" applyAlignment="1" applyProtection="1">
      <alignment horizontal="center" vertical="top" wrapText="1"/>
    </xf>
    <xf numFmtId="0" fontId="33" fillId="7" borderId="58" xfId="0" applyFont="1" applyFill="1" applyBorder="1" applyAlignment="1" applyProtection="1">
      <alignment horizontal="center" vertical="top" wrapText="1"/>
    </xf>
    <xf numFmtId="164" fontId="38" fillId="17" borderId="10" xfId="0" applyNumberFormat="1" applyFont="1" applyFill="1" applyBorder="1" applyAlignment="1" applyProtection="1">
      <alignment horizontal="center" vertical="top" wrapText="1"/>
    </xf>
    <xf numFmtId="164" fontId="38" fillId="17" borderId="12" xfId="0" applyNumberFormat="1" applyFont="1" applyFill="1" applyBorder="1" applyAlignment="1" applyProtection="1">
      <alignment horizontal="center" vertical="top" wrapText="1"/>
    </xf>
    <xf numFmtId="165" fontId="40" fillId="0" borderId="10" xfId="0" applyNumberFormat="1" applyFont="1" applyFill="1" applyBorder="1" applyAlignment="1" applyProtection="1">
      <alignment horizontal="center" vertical="top" wrapText="1"/>
    </xf>
    <xf numFmtId="165" fontId="40" fillId="0" borderId="12" xfId="0" applyNumberFormat="1" applyFont="1" applyFill="1" applyBorder="1" applyAlignment="1" applyProtection="1">
      <alignment horizontal="center" vertical="top" wrapText="1"/>
    </xf>
    <xf numFmtId="0" fontId="39" fillId="18" borderId="68" xfId="0" applyFont="1" applyFill="1" applyBorder="1" applyAlignment="1" applyProtection="1">
      <alignment horizontal="left" vertical="top"/>
      <protection locked="0"/>
    </xf>
    <xf numFmtId="0" fontId="39" fillId="18" borderId="23" xfId="0" applyFont="1" applyFill="1" applyBorder="1" applyAlignment="1" applyProtection="1">
      <alignment horizontal="left" vertical="top"/>
      <protection locked="0"/>
    </xf>
    <xf numFmtId="0" fontId="39" fillId="18" borderId="69" xfId="0" applyFont="1" applyFill="1" applyBorder="1" applyAlignment="1" applyProtection="1">
      <alignment horizontal="left" vertical="top"/>
      <protection locked="0"/>
    </xf>
    <xf numFmtId="0" fontId="33" fillId="14" borderId="33" xfId="0" applyFont="1" applyFill="1" applyBorder="1" applyAlignment="1" applyProtection="1">
      <alignment horizontal="left" vertical="top" wrapText="1"/>
      <protection locked="0"/>
    </xf>
    <xf numFmtId="0" fontId="33" fillId="14" borderId="0" xfId="0" applyFont="1" applyFill="1" applyBorder="1" applyAlignment="1" applyProtection="1">
      <alignment horizontal="left" vertical="top" wrapText="1"/>
      <protection locked="0"/>
    </xf>
    <xf numFmtId="0" fontId="33" fillId="14" borderId="41" xfId="0" applyFont="1" applyFill="1" applyBorder="1" applyAlignment="1" applyProtection="1">
      <alignment horizontal="left" vertical="top" wrapText="1"/>
      <protection locked="0"/>
    </xf>
    <xf numFmtId="0" fontId="33" fillId="14" borderId="68" xfId="0" applyFont="1" applyFill="1" applyBorder="1" applyAlignment="1" applyProtection="1">
      <alignment horizontal="left" vertical="top" wrapText="1"/>
      <protection locked="0"/>
    </xf>
    <xf numFmtId="0" fontId="33" fillId="14" borderId="23" xfId="0" applyFont="1" applyFill="1" applyBorder="1" applyAlignment="1" applyProtection="1">
      <alignment horizontal="left" vertical="top" wrapText="1"/>
      <protection locked="0"/>
    </xf>
    <xf numFmtId="0" fontId="33" fillId="14" borderId="69" xfId="0" applyFont="1" applyFill="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66" xfId="0" applyFont="1" applyBorder="1" applyAlignment="1" applyProtection="1">
      <alignment horizontal="left" vertical="top" wrapText="1"/>
      <protection locked="0"/>
    </xf>
    <xf numFmtId="164" fontId="35" fillId="0" borderId="16" xfId="0" applyNumberFormat="1" applyFont="1" applyBorder="1" applyAlignment="1" applyProtection="1">
      <alignment horizontal="left" vertical="top"/>
      <protection locked="0"/>
    </xf>
    <xf numFmtId="164" fontId="35" fillId="0" borderId="19" xfId="0" applyNumberFormat="1" applyFont="1" applyBorder="1" applyAlignment="1" applyProtection="1">
      <alignment horizontal="left" vertical="top"/>
      <protection locked="0"/>
    </xf>
    <xf numFmtId="164" fontId="35" fillId="0" borderId="55" xfId="0" applyNumberFormat="1" applyFont="1" applyBorder="1" applyAlignment="1" applyProtection="1">
      <alignment horizontal="left" vertical="top"/>
      <protection locked="0"/>
    </xf>
    <xf numFmtId="0" fontId="27" fillId="8" borderId="15" xfId="0" applyFont="1" applyFill="1" applyBorder="1" applyAlignment="1" applyProtection="1">
      <alignment horizontal="left" vertical="top"/>
    </xf>
    <xf numFmtId="0" fontId="27" fillId="8" borderId="62" xfId="0" applyFont="1" applyFill="1" applyBorder="1" applyAlignment="1" applyProtection="1">
      <alignment horizontal="left" vertical="top"/>
    </xf>
    <xf numFmtId="0" fontId="33" fillId="8" borderId="61" xfId="0" applyFont="1" applyFill="1" applyBorder="1" applyAlignment="1" applyProtection="1">
      <alignment horizontal="left" vertical="top"/>
      <protection locked="0"/>
    </xf>
    <xf numFmtId="0" fontId="33" fillId="11" borderId="7" xfId="0" applyFont="1" applyFill="1" applyBorder="1" applyAlignment="1" applyProtection="1">
      <alignment horizontal="left" vertical="top"/>
      <protection locked="0"/>
    </xf>
    <xf numFmtId="0" fontId="33" fillId="11" borderId="0" xfId="0" applyFont="1" applyFill="1" applyBorder="1" applyAlignment="1" applyProtection="1">
      <alignment horizontal="left" vertical="top"/>
      <protection locked="0"/>
    </xf>
    <xf numFmtId="0" fontId="33" fillId="11" borderId="13" xfId="0" applyFont="1" applyFill="1" applyBorder="1" applyAlignment="1" applyProtection="1">
      <alignment horizontal="left" vertical="top"/>
      <protection locked="0"/>
    </xf>
    <xf numFmtId="0" fontId="33" fillId="8" borderId="27" xfId="0" applyFont="1" applyFill="1" applyBorder="1" applyAlignment="1" applyProtection="1">
      <alignment horizontal="left" vertical="top"/>
      <protection locked="0"/>
    </xf>
    <xf numFmtId="0" fontId="33" fillId="8" borderId="81" xfId="0" applyFont="1" applyFill="1" applyBorder="1" applyAlignment="1" applyProtection="1">
      <alignment horizontal="right" vertical="top"/>
      <protection locked="0"/>
    </xf>
    <xf numFmtId="0" fontId="33" fillId="8" borderId="19" xfId="0" applyFont="1" applyFill="1" applyBorder="1" applyAlignment="1" applyProtection="1">
      <alignment horizontal="right" vertical="top"/>
      <protection locked="0"/>
    </xf>
    <xf numFmtId="0" fontId="33" fillId="9" borderId="7" xfId="0" applyFont="1" applyFill="1" applyBorder="1" applyAlignment="1" applyProtection="1">
      <alignment horizontal="left" vertical="top"/>
      <protection locked="0"/>
    </xf>
    <xf numFmtId="0" fontId="33" fillId="9" borderId="0" xfId="0" applyFont="1" applyFill="1" applyBorder="1" applyAlignment="1" applyProtection="1">
      <alignment horizontal="left" vertical="top"/>
      <protection locked="0"/>
    </xf>
    <xf numFmtId="0" fontId="33" fillId="9" borderId="13" xfId="0" applyFont="1" applyFill="1" applyBorder="1" applyAlignment="1" applyProtection="1">
      <alignment horizontal="left" vertical="top"/>
      <protection locked="0"/>
    </xf>
    <xf numFmtId="164" fontId="38" fillId="17" borderId="10" xfId="0" applyNumberFormat="1" applyFont="1" applyFill="1" applyBorder="1" applyAlignment="1" applyProtection="1">
      <alignment horizontal="center" vertical="top" textRotation="90" wrapText="1"/>
    </xf>
    <xf numFmtId="164" fontId="38" fillId="17" borderId="22" xfId="0" applyNumberFormat="1" applyFont="1" applyFill="1" applyBorder="1" applyAlignment="1" applyProtection="1">
      <alignment horizontal="center" vertical="top" textRotation="90" wrapText="1"/>
    </xf>
    <xf numFmtId="164" fontId="38" fillId="17" borderId="12" xfId="0" applyNumberFormat="1" applyFont="1" applyFill="1" applyBorder="1" applyAlignment="1" applyProtection="1">
      <alignment horizontal="center" vertical="top" textRotation="90" wrapText="1"/>
    </xf>
    <xf numFmtId="164" fontId="33" fillId="0" borderId="10" xfId="0" applyNumberFormat="1" applyFont="1" applyFill="1" applyBorder="1" applyAlignment="1" applyProtection="1">
      <alignment horizontal="center" vertical="top" wrapText="1"/>
    </xf>
    <xf numFmtId="164" fontId="33" fillId="0" borderId="22" xfId="0" applyNumberFormat="1" applyFont="1" applyFill="1" applyBorder="1" applyAlignment="1" applyProtection="1">
      <alignment horizontal="center" vertical="top" wrapText="1"/>
    </xf>
    <xf numFmtId="164" fontId="33" fillId="0" borderId="12" xfId="0" applyNumberFormat="1" applyFont="1" applyFill="1" applyBorder="1" applyAlignment="1" applyProtection="1">
      <alignment horizontal="center" vertical="top" wrapText="1"/>
    </xf>
    <xf numFmtId="14" fontId="27" fillId="10" borderId="47" xfId="0" applyNumberFormat="1" applyFont="1" applyFill="1" applyBorder="1" applyAlignment="1" applyProtection="1">
      <alignment horizontal="left" vertical="top"/>
      <protection locked="0"/>
    </xf>
    <xf numFmtId="0" fontId="33" fillId="8" borderId="26" xfId="0" applyFont="1" applyFill="1" applyBorder="1" applyAlignment="1" applyProtection="1">
      <alignment horizontal="right" vertical="top"/>
      <protection locked="0"/>
    </xf>
    <xf numFmtId="0" fontId="33" fillId="8" borderId="56" xfId="0" applyFont="1" applyFill="1" applyBorder="1" applyAlignment="1" applyProtection="1">
      <alignment horizontal="right" vertical="top"/>
      <protection locked="0"/>
    </xf>
    <xf numFmtId="0" fontId="33" fillId="8" borderId="79" xfId="0" applyFont="1" applyFill="1" applyBorder="1" applyAlignment="1" applyProtection="1">
      <alignment horizontal="right" vertical="top"/>
      <protection locked="0"/>
    </xf>
    <xf numFmtId="0" fontId="52" fillId="8" borderId="1" xfId="0" applyFont="1" applyFill="1" applyBorder="1" applyAlignment="1" applyProtection="1">
      <alignment horizontal="right" vertical="top"/>
      <protection locked="0"/>
    </xf>
    <xf numFmtId="9" fontId="27" fillId="10" borderId="16" xfId="5" applyFont="1" applyFill="1" applyBorder="1" applyAlignment="1" applyProtection="1">
      <alignment horizontal="center" vertical="top"/>
      <protection locked="0"/>
    </xf>
    <xf numFmtId="9" fontId="27" fillId="10" borderId="47" xfId="5" applyFont="1" applyFill="1" applyBorder="1" applyAlignment="1" applyProtection="1">
      <alignment horizontal="center" vertical="top"/>
      <protection locked="0"/>
    </xf>
    <xf numFmtId="0" fontId="33" fillId="8" borderId="82" xfId="0" applyFont="1" applyFill="1" applyBorder="1" applyAlignment="1" applyProtection="1">
      <alignment horizontal="left" vertical="top"/>
      <protection locked="0"/>
    </xf>
    <xf numFmtId="0" fontId="33" fillId="8" borderId="21" xfId="0" applyFont="1" applyFill="1" applyBorder="1" applyAlignment="1" applyProtection="1">
      <alignment horizontal="left" vertical="top"/>
      <protection locked="0"/>
    </xf>
    <xf numFmtId="0" fontId="27" fillId="10" borderId="57" xfId="0" applyFont="1" applyFill="1" applyBorder="1" applyAlignment="1" applyProtection="1">
      <alignment horizontal="left" vertical="top"/>
      <protection locked="0"/>
    </xf>
    <xf numFmtId="9" fontId="27" fillId="8" borderId="49" xfId="0" applyNumberFormat="1" applyFont="1" applyFill="1" applyBorder="1" applyAlignment="1" applyProtection="1">
      <alignment horizontal="center" vertical="top" wrapText="1"/>
    </xf>
    <xf numFmtId="9" fontId="27" fillId="8" borderId="78" xfId="0" applyNumberFormat="1" applyFont="1" applyFill="1" applyBorder="1" applyAlignment="1" applyProtection="1">
      <alignment horizontal="center" vertical="top" wrapText="1"/>
    </xf>
    <xf numFmtId="0" fontId="39" fillId="18" borderId="85" xfId="0" applyFont="1" applyFill="1" applyBorder="1" applyAlignment="1" applyProtection="1">
      <alignment horizontal="left" vertical="top"/>
      <protection locked="0"/>
    </xf>
    <xf numFmtId="0" fontId="39" fillId="18" borderId="30" xfId="0" applyFont="1" applyFill="1" applyBorder="1" applyAlignment="1" applyProtection="1">
      <alignment horizontal="left" vertical="top"/>
      <protection locked="0"/>
    </xf>
    <xf numFmtId="0" fontId="39" fillId="18" borderId="86" xfId="0" applyFont="1" applyFill="1" applyBorder="1" applyAlignment="1" applyProtection="1">
      <alignment horizontal="left" vertical="top"/>
      <protection locked="0"/>
    </xf>
    <xf numFmtId="0" fontId="27" fillId="10" borderId="78" xfId="0" applyFont="1" applyFill="1" applyBorder="1" applyAlignment="1" applyProtection="1">
      <alignment horizontal="left" vertical="top"/>
      <protection locked="0"/>
    </xf>
    <xf numFmtId="0" fontId="27" fillId="0" borderId="34" xfId="0" applyFont="1" applyFill="1" applyBorder="1" applyAlignment="1" applyProtection="1">
      <alignment horizontal="center" vertical="top"/>
      <protection locked="0"/>
    </xf>
    <xf numFmtId="0" fontId="27" fillId="0" borderId="30" xfId="0" applyFont="1" applyFill="1" applyBorder="1" applyAlignment="1" applyProtection="1">
      <alignment horizontal="center" vertical="top"/>
      <protection locked="0"/>
    </xf>
    <xf numFmtId="0" fontId="39" fillId="17" borderId="87" xfId="0" applyFont="1" applyFill="1" applyBorder="1" applyAlignment="1" applyProtection="1">
      <alignment horizontal="left" vertical="top"/>
      <protection locked="0"/>
    </xf>
    <xf numFmtId="0" fontId="39" fillId="17" borderId="88" xfId="0" applyFont="1" applyFill="1" applyBorder="1" applyAlignment="1" applyProtection="1">
      <alignment horizontal="left" vertical="top"/>
      <protection locked="0"/>
    </xf>
    <xf numFmtId="0" fontId="39" fillId="17" borderId="89" xfId="0" applyFont="1" applyFill="1" applyBorder="1" applyAlignment="1" applyProtection="1">
      <alignment horizontal="left" vertical="top"/>
      <protection locked="0"/>
    </xf>
    <xf numFmtId="0" fontId="29" fillId="7" borderId="7" xfId="0" applyFont="1" applyFill="1" applyBorder="1" applyAlignment="1" applyProtection="1">
      <alignment horizontal="center" vertical="top"/>
    </xf>
    <xf numFmtId="0" fontId="29" fillId="7" borderId="13" xfId="0" applyFont="1" applyFill="1" applyBorder="1" applyAlignment="1" applyProtection="1">
      <alignment horizontal="center" vertical="top"/>
    </xf>
    <xf numFmtId="165" fontId="33" fillId="14" borderId="10" xfId="0" applyNumberFormat="1" applyFont="1" applyFill="1" applyBorder="1" applyAlignment="1" applyProtection="1">
      <alignment horizontal="center" vertical="top" wrapText="1"/>
      <protection locked="0"/>
    </xf>
    <xf numFmtId="165" fontId="33" fillId="14" borderId="12" xfId="0" applyNumberFormat="1" applyFont="1" applyFill="1" applyBorder="1" applyAlignment="1" applyProtection="1">
      <alignment horizontal="center" vertical="top" wrapText="1"/>
      <protection locked="0"/>
    </xf>
    <xf numFmtId="0" fontId="42" fillId="0" borderId="40" xfId="0" applyFont="1" applyBorder="1" applyAlignment="1" applyProtection="1">
      <alignment horizontal="center" vertical="center" textRotation="90" wrapText="1"/>
      <protection locked="0"/>
    </xf>
    <xf numFmtId="0" fontId="42" fillId="0" borderId="3" xfId="0" applyFont="1" applyBorder="1" applyAlignment="1" applyProtection="1">
      <alignment horizontal="center" vertical="center" textRotation="90" wrapText="1"/>
      <protection locked="0"/>
    </xf>
    <xf numFmtId="0" fontId="41" fillId="15" borderId="30" xfId="0" applyFont="1" applyFill="1" applyBorder="1" applyAlignment="1" applyProtection="1">
      <alignment horizontal="center" vertical="top" wrapText="1"/>
    </xf>
    <xf numFmtId="0" fontId="41" fillId="15" borderId="60" xfId="0" applyFont="1" applyFill="1" applyBorder="1" applyAlignment="1" applyProtection="1">
      <alignment horizontal="center" vertical="top" wrapText="1"/>
    </xf>
    <xf numFmtId="0" fontId="41" fillId="18" borderId="35" xfId="0" applyFont="1" applyFill="1" applyBorder="1" applyAlignment="1" applyProtection="1">
      <alignment horizontal="center" vertical="top" wrapText="1"/>
    </xf>
    <xf numFmtId="0" fontId="41" fillId="18" borderId="4" xfId="0" applyFont="1" applyFill="1" applyBorder="1" applyAlignment="1" applyProtection="1">
      <alignment horizontal="center" vertical="top"/>
    </xf>
    <xf numFmtId="0" fontId="41" fillId="18" borderId="58" xfId="0" applyFont="1" applyFill="1" applyBorder="1" applyAlignment="1" applyProtection="1">
      <alignment horizontal="center" vertical="top"/>
    </xf>
    <xf numFmtId="9" fontId="33" fillId="7" borderId="10" xfId="0" applyNumberFormat="1" applyFont="1" applyFill="1" applyBorder="1" applyAlignment="1" applyProtection="1">
      <alignment horizontal="center" vertical="top" wrapText="1"/>
    </xf>
    <xf numFmtId="9" fontId="33" fillId="7" borderId="22" xfId="0" applyNumberFormat="1" applyFont="1" applyFill="1" applyBorder="1" applyAlignment="1" applyProtection="1">
      <alignment horizontal="center" vertical="top" wrapText="1"/>
    </xf>
    <xf numFmtId="2" fontId="29" fillId="7" borderId="10" xfId="0" applyNumberFormat="1" applyFont="1" applyFill="1" applyBorder="1" applyAlignment="1" applyProtection="1">
      <alignment horizontal="center" vertical="top" wrapText="1"/>
    </xf>
    <xf numFmtId="2" fontId="29" fillId="7" borderId="22" xfId="0" applyNumberFormat="1" applyFont="1" applyFill="1" applyBorder="1" applyAlignment="1" applyProtection="1">
      <alignment horizontal="center" vertical="top" wrapText="1"/>
    </xf>
    <xf numFmtId="9" fontId="33" fillId="7" borderId="12" xfId="0" applyNumberFormat="1" applyFont="1" applyFill="1" applyBorder="1" applyAlignment="1" applyProtection="1">
      <alignment horizontal="center" vertical="top" wrapText="1"/>
    </xf>
    <xf numFmtId="0" fontId="33" fillId="7" borderId="13" xfId="0" applyFont="1" applyFill="1" applyBorder="1" applyAlignment="1" applyProtection="1">
      <alignment horizontal="center" vertical="top" wrapText="1"/>
    </xf>
    <xf numFmtId="0" fontId="33" fillId="0" borderId="34" xfId="0" applyFont="1" applyFill="1" applyBorder="1" applyAlignment="1" applyProtection="1">
      <alignment horizontal="center" vertical="top"/>
    </xf>
    <xf numFmtId="0" fontId="33" fillId="0" borderId="30" xfId="0" applyFont="1" applyFill="1" applyBorder="1" applyAlignment="1" applyProtection="1">
      <alignment horizontal="center" vertical="top"/>
    </xf>
    <xf numFmtId="0" fontId="25" fillId="20" borderId="54" xfId="0" applyFont="1" applyFill="1" applyBorder="1" applyAlignment="1" applyProtection="1">
      <alignment horizontal="center" vertical="center" wrapText="1"/>
    </xf>
    <xf numFmtId="0" fontId="25" fillId="20" borderId="56" xfId="0" applyFont="1" applyFill="1" applyBorder="1" applyAlignment="1" applyProtection="1">
      <alignment horizontal="center" vertical="center" wrapText="1"/>
    </xf>
    <xf numFmtId="0" fontId="25" fillId="20" borderId="59" xfId="0" applyFont="1" applyFill="1" applyBorder="1" applyAlignment="1" applyProtection="1">
      <alignment horizontal="center" vertical="center" wrapText="1"/>
    </xf>
    <xf numFmtId="0" fontId="25" fillId="20" borderId="37" xfId="0" applyFont="1" applyFill="1" applyBorder="1" applyAlignment="1" applyProtection="1">
      <alignment horizontal="center" vertical="center" wrapText="1"/>
    </xf>
    <xf numFmtId="0" fontId="25" fillId="20" borderId="15" xfId="0" applyFont="1" applyFill="1" applyBorder="1" applyAlignment="1" applyProtection="1">
      <alignment horizontal="center" vertical="center" wrapText="1"/>
    </xf>
    <xf numFmtId="0" fontId="25" fillId="20" borderId="63" xfId="0" applyFont="1" applyFill="1" applyBorder="1" applyAlignment="1" applyProtection="1">
      <alignment horizontal="center" vertical="center" wrapText="1"/>
    </xf>
    <xf numFmtId="0" fontId="35" fillId="8" borderId="16" xfId="0" applyFont="1" applyFill="1" applyBorder="1" applyAlignment="1" applyProtection="1">
      <alignment horizontal="left" vertical="top"/>
      <protection locked="0"/>
    </xf>
    <xf numFmtId="0" fontId="35" fillId="8" borderId="19" xfId="0" applyFont="1" applyFill="1" applyBorder="1" applyAlignment="1" applyProtection="1">
      <alignment horizontal="left" vertical="top"/>
      <protection locked="0"/>
    </xf>
    <xf numFmtId="0" fontId="35" fillId="8" borderId="55" xfId="0" applyFont="1" applyFill="1" applyBorder="1" applyAlignment="1" applyProtection="1">
      <alignment horizontal="left" vertical="top"/>
      <protection locked="0"/>
    </xf>
    <xf numFmtId="0" fontId="39" fillId="17" borderId="0" xfId="0" applyFont="1" applyFill="1" applyBorder="1" applyAlignment="1" applyProtection="1">
      <alignment horizontal="left" vertical="top"/>
      <protection locked="0"/>
    </xf>
    <xf numFmtId="0" fontId="26" fillId="7" borderId="34" xfId="0" applyFont="1" applyFill="1" applyBorder="1" applyAlignment="1" applyProtection="1">
      <alignment horizontal="left" vertical="top"/>
      <protection locked="0"/>
    </xf>
    <xf numFmtId="0" fontId="26" fillId="7" borderId="30" xfId="0" applyFont="1" applyFill="1" applyBorder="1" applyAlignment="1" applyProtection="1">
      <alignment horizontal="left" vertical="top"/>
      <protection locked="0"/>
    </xf>
    <xf numFmtId="0" fontId="26" fillId="7" borderId="60" xfId="0" applyFont="1" applyFill="1" applyBorder="1" applyAlignment="1" applyProtection="1">
      <alignment horizontal="left" vertical="top"/>
      <protection locked="0"/>
    </xf>
    <xf numFmtId="0" fontId="27" fillId="10" borderId="19" xfId="0" applyFont="1" applyFill="1" applyBorder="1" applyAlignment="1" applyProtection="1">
      <alignment horizontal="left" vertical="top"/>
      <protection locked="0"/>
    </xf>
    <xf numFmtId="1" fontId="35" fillId="0" borderId="0" xfId="0" applyNumberFormat="1" applyFont="1" applyFill="1" applyBorder="1" applyAlignment="1" applyProtection="1">
      <alignment horizontal="left" vertical="top" wrapText="1"/>
      <protection locked="0"/>
    </xf>
    <xf numFmtId="0" fontId="33" fillId="13" borderId="7" xfId="0" applyFont="1" applyFill="1" applyBorder="1" applyAlignment="1" applyProtection="1">
      <alignment horizontal="left" vertical="top"/>
      <protection locked="0"/>
    </xf>
    <xf numFmtId="0" fontId="33" fillId="13" borderId="0" xfId="0" applyFont="1" applyFill="1" applyBorder="1" applyAlignment="1" applyProtection="1">
      <alignment horizontal="left" vertical="top"/>
      <protection locked="0"/>
    </xf>
    <xf numFmtId="0" fontId="33" fillId="13" borderId="13" xfId="0" applyFont="1" applyFill="1" applyBorder="1" applyAlignment="1" applyProtection="1">
      <alignment horizontal="left" vertical="top"/>
      <protection locked="0"/>
    </xf>
    <xf numFmtId="0" fontId="52" fillId="8" borderId="45" xfId="0" applyFont="1" applyFill="1" applyBorder="1" applyAlignment="1" applyProtection="1">
      <alignment horizontal="right" vertical="top"/>
      <protection locked="0"/>
    </xf>
    <xf numFmtId="9" fontId="27" fillId="10" borderId="16" xfId="5" applyFont="1" applyFill="1" applyBorder="1" applyAlignment="1" applyProtection="1">
      <alignment horizontal="left" vertical="top"/>
      <protection locked="0"/>
    </xf>
    <xf numFmtId="9" fontId="27" fillId="10" borderId="47" xfId="5" applyFont="1" applyFill="1" applyBorder="1" applyAlignment="1" applyProtection="1">
      <alignment horizontal="left" vertical="top"/>
      <protection locked="0"/>
    </xf>
    <xf numFmtId="0" fontId="27" fillId="10" borderId="4" xfId="0" applyFont="1" applyFill="1" applyBorder="1" applyAlignment="1" applyProtection="1">
      <alignment horizontal="left" vertical="top"/>
      <protection locked="0"/>
    </xf>
    <xf numFmtId="0" fontId="27" fillId="10" borderId="80" xfId="0" applyFont="1" applyFill="1" applyBorder="1" applyAlignment="1" applyProtection="1">
      <alignment horizontal="left" vertical="top"/>
      <protection locked="0"/>
    </xf>
    <xf numFmtId="0" fontId="33" fillId="10" borderId="35" xfId="0" applyFont="1" applyFill="1" applyBorder="1" applyAlignment="1" applyProtection="1">
      <alignment horizontal="left" vertical="top"/>
      <protection locked="0"/>
    </xf>
    <xf numFmtId="0" fontId="33" fillId="10" borderId="4" xfId="0" applyFont="1" applyFill="1" applyBorder="1" applyAlignment="1" applyProtection="1">
      <alignment horizontal="left" vertical="top"/>
      <protection locked="0"/>
    </xf>
    <xf numFmtId="0" fontId="33" fillId="10" borderId="58" xfId="0" applyFont="1" applyFill="1" applyBorder="1" applyAlignment="1" applyProtection="1">
      <alignment horizontal="left" vertical="top"/>
      <protection locked="0"/>
    </xf>
    <xf numFmtId="0" fontId="33" fillId="8" borderId="35" xfId="0" applyFont="1" applyFill="1" applyBorder="1" applyAlignment="1" applyProtection="1">
      <alignment horizontal="left" vertical="top"/>
      <protection locked="0"/>
    </xf>
    <xf numFmtId="0" fontId="33" fillId="8" borderId="4" xfId="0" applyFont="1" applyFill="1" applyBorder="1" applyAlignment="1" applyProtection="1">
      <alignment horizontal="left" vertical="top"/>
      <protection locked="0"/>
    </xf>
    <xf numFmtId="0" fontId="33" fillId="8" borderId="80" xfId="0" applyFont="1" applyFill="1" applyBorder="1" applyAlignment="1" applyProtection="1">
      <alignment horizontal="left" vertical="top"/>
      <protection locked="0"/>
    </xf>
    <xf numFmtId="0" fontId="39" fillId="18" borderId="34" xfId="0" applyFont="1" applyFill="1" applyBorder="1" applyAlignment="1" applyProtection="1">
      <alignment horizontal="left" vertical="top"/>
      <protection locked="0"/>
    </xf>
    <xf numFmtId="0" fontId="39" fillId="18" borderId="60" xfId="0" applyFont="1" applyFill="1" applyBorder="1" applyAlignment="1" applyProtection="1">
      <alignment horizontal="left" vertical="top"/>
      <protection locked="0"/>
    </xf>
    <xf numFmtId="0" fontId="33" fillId="8" borderId="31" xfId="0" applyFont="1" applyFill="1" applyBorder="1" applyAlignment="1" applyProtection="1">
      <alignment horizontal="right" vertical="top"/>
      <protection locked="0"/>
    </xf>
    <xf numFmtId="0" fontId="33" fillId="8" borderId="23" xfId="0" applyFont="1" applyFill="1" applyBorder="1" applyAlignment="1" applyProtection="1">
      <alignment horizontal="right" vertical="top"/>
      <protection locked="0"/>
    </xf>
    <xf numFmtId="0" fontId="33" fillId="8" borderId="83" xfId="0" applyFont="1" applyFill="1" applyBorder="1" applyAlignment="1" applyProtection="1">
      <alignment horizontal="right" vertical="top"/>
      <protection locked="0"/>
    </xf>
    <xf numFmtId="0" fontId="27" fillId="10" borderId="27" xfId="0" applyFont="1" applyFill="1" applyBorder="1" applyAlignment="1" applyProtection="1">
      <alignment horizontal="left" vertical="top"/>
      <protection locked="0"/>
    </xf>
    <xf numFmtId="0" fontId="39" fillId="17" borderId="34" xfId="0" applyFont="1" applyFill="1" applyBorder="1" applyAlignment="1" applyProtection="1">
      <alignment horizontal="left" vertical="top"/>
      <protection locked="0"/>
    </xf>
    <xf numFmtId="0" fontId="39" fillId="17" borderId="30" xfId="0" applyFont="1" applyFill="1" applyBorder="1" applyAlignment="1" applyProtection="1">
      <alignment horizontal="left" vertical="top"/>
      <protection locked="0"/>
    </xf>
    <xf numFmtId="0" fontId="39" fillId="17" borderId="60" xfId="0" applyFont="1" applyFill="1" applyBorder="1" applyAlignment="1" applyProtection="1">
      <alignment horizontal="left" vertical="top"/>
      <protection locked="0"/>
    </xf>
    <xf numFmtId="0" fontId="41" fillId="15" borderId="34" xfId="0" applyFont="1" applyFill="1" applyBorder="1" applyAlignment="1" applyProtection="1">
      <alignment horizontal="center" vertical="top" wrapText="1"/>
    </xf>
    <xf numFmtId="0" fontId="41" fillId="18" borderId="35" xfId="0" applyFont="1" applyFill="1" applyBorder="1" applyAlignment="1" applyProtection="1">
      <alignment horizontal="center" vertical="top"/>
    </xf>
    <xf numFmtId="0" fontId="41" fillId="15" borderId="34" xfId="0" applyFont="1" applyFill="1" applyBorder="1" applyAlignment="1" applyProtection="1">
      <alignment horizontal="center" vertical="top"/>
    </xf>
    <xf numFmtId="0" fontId="41" fillId="15" borderId="30" xfId="0" applyFont="1" applyFill="1" applyBorder="1" applyAlignment="1" applyProtection="1">
      <alignment horizontal="center" vertical="top"/>
    </xf>
    <xf numFmtId="0" fontId="41" fillId="15" borderId="60" xfId="0" applyFont="1" applyFill="1" applyBorder="1" applyAlignment="1" applyProtection="1">
      <alignment horizontal="center" vertical="top"/>
    </xf>
    <xf numFmtId="0" fontId="33" fillId="14" borderId="7" xfId="0" applyFont="1" applyFill="1" applyBorder="1" applyAlignment="1" applyProtection="1">
      <alignment horizontal="left" vertical="top" wrapText="1"/>
      <protection locked="0"/>
    </xf>
    <xf numFmtId="0" fontId="33" fillId="14" borderId="13" xfId="0" applyFont="1" applyFill="1" applyBorder="1" applyAlignment="1" applyProtection="1">
      <alignment horizontal="left" vertical="top" wrapText="1"/>
      <protection locked="0"/>
    </xf>
    <xf numFmtId="0" fontId="33" fillId="14" borderId="31" xfId="0" applyFont="1" applyFill="1" applyBorder="1" applyAlignment="1" applyProtection="1">
      <alignment horizontal="left" vertical="top" wrapText="1"/>
      <protection locked="0"/>
    </xf>
    <xf numFmtId="0" fontId="33" fillId="14" borderId="32" xfId="0" applyFont="1" applyFill="1" applyBorder="1" applyAlignment="1" applyProtection="1">
      <alignment horizontal="left" vertical="top" wrapText="1"/>
      <protection locked="0"/>
    </xf>
    <xf numFmtId="0" fontId="52" fillId="8" borderId="53" xfId="0" applyFont="1" applyFill="1" applyBorder="1" applyAlignment="1" applyProtection="1">
      <alignment horizontal="right" vertical="top"/>
      <protection locked="0"/>
    </xf>
    <xf numFmtId="0" fontId="52" fillId="8" borderId="40" xfId="0" applyFont="1" applyFill="1" applyBorder="1" applyAlignment="1" applyProtection="1">
      <alignment horizontal="right" vertical="top"/>
      <protection locked="0"/>
    </xf>
    <xf numFmtId="2" fontId="29" fillId="7" borderId="12" xfId="0" applyNumberFormat="1" applyFont="1" applyFill="1" applyBorder="1" applyAlignment="1" applyProtection="1">
      <alignment horizontal="center" vertical="top" wrapText="1"/>
    </xf>
    <xf numFmtId="9" fontId="29" fillId="7" borderId="10" xfId="5" applyFont="1" applyFill="1" applyBorder="1" applyAlignment="1" applyProtection="1">
      <alignment horizontal="center" vertical="top" wrapText="1"/>
    </xf>
    <xf numFmtId="9" fontId="29" fillId="7" borderId="12" xfId="5" applyFont="1" applyFill="1" applyBorder="1" applyAlignment="1" applyProtection="1">
      <alignment horizontal="center" vertical="top" wrapText="1"/>
    </xf>
    <xf numFmtId="0" fontId="33" fillId="8" borderId="20" xfId="0" applyFont="1" applyFill="1" applyBorder="1" applyAlignment="1" applyProtection="1">
      <alignment horizontal="right" vertical="top"/>
      <protection locked="0"/>
    </xf>
    <xf numFmtId="0" fontId="27" fillId="0" borderId="90" xfId="0" applyFont="1" applyFill="1" applyBorder="1" applyAlignment="1" applyProtection="1">
      <alignment horizontal="center" vertical="top"/>
      <protection locked="0"/>
    </xf>
    <xf numFmtId="0" fontId="27" fillId="10" borderId="21" xfId="0" applyFont="1" applyFill="1" applyBorder="1" applyAlignment="1" applyProtection="1">
      <alignment horizontal="left" vertical="top"/>
      <protection locked="0"/>
    </xf>
    <xf numFmtId="164" fontId="33" fillId="0" borderId="84" xfId="0" applyNumberFormat="1" applyFont="1" applyFill="1" applyBorder="1" applyAlignment="1" applyProtection="1">
      <alignment horizontal="center" vertical="top" wrapText="1"/>
    </xf>
    <xf numFmtId="0" fontId="24" fillId="0" borderId="43"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44" fillId="8" borderId="1" xfId="0" applyFont="1" applyFill="1" applyBorder="1" applyAlignment="1" applyProtection="1">
      <alignment horizontal="left" vertical="top"/>
      <protection locked="0"/>
    </xf>
    <xf numFmtId="167" fontId="24" fillId="0" borderId="40" xfId="0" applyNumberFormat="1" applyFont="1" applyBorder="1" applyAlignment="1" applyProtection="1">
      <alignment horizontal="center" vertical="top" wrapText="1"/>
    </xf>
    <xf numFmtId="167" fontId="24" fillId="0" borderId="38" xfId="0" applyNumberFormat="1" applyFont="1" applyBorder="1" applyAlignment="1" applyProtection="1">
      <alignment horizontal="center" vertical="top" wrapText="1"/>
    </xf>
    <xf numFmtId="167" fontId="24" fillId="0" borderId="3" xfId="0" applyNumberFormat="1" applyFont="1" applyBorder="1" applyAlignment="1" applyProtection="1">
      <alignment horizontal="center" vertical="top" wrapText="1"/>
    </xf>
    <xf numFmtId="164" fontId="33" fillId="0" borderId="92" xfId="0" applyNumberFormat="1" applyFont="1" applyFill="1" applyBorder="1" applyAlignment="1" applyProtection="1">
      <alignment horizontal="center" vertical="top" wrapText="1"/>
    </xf>
    <xf numFmtId="0" fontId="33" fillId="10" borderId="20" xfId="0" applyFont="1" applyFill="1" applyBorder="1" applyAlignment="1" applyProtection="1">
      <alignment horizontal="left" vertical="top"/>
      <protection locked="0"/>
    </xf>
    <xf numFmtId="0" fontId="27" fillId="0" borderId="50" xfId="0" applyFont="1" applyFill="1" applyBorder="1" applyAlignment="1" applyProtection="1">
      <alignment horizontal="center" vertical="top"/>
      <protection locked="0"/>
    </xf>
    <xf numFmtId="7" fontId="26" fillId="8" borderId="1" xfId="2" applyNumberFormat="1" applyFont="1" applyFill="1" applyBorder="1" applyAlignment="1" applyProtection="1">
      <alignment horizontal="center" vertical="center" wrapText="1"/>
    </xf>
    <xf numFmtId="7" fontId="26" fillId="8" borderId="6" xfId="2" applyNumberFormat="1" applyFont="1" applyFill="1" applyBorder="1" applyAlignment="1" applyProtection="1">
      <alignment horizontal="center" vertical="center" wrapText="1"/>
    </xf>
    <xf numFmtId="0" fontId="33" fillId="10" borderId="19" xfId="0" applyFont="1" applyFill="1" applyBorder="1" applyAlignment="1" applyProtection="1">
      <alignment horizontal="left" vertical="top"/>
      <protection locked="0"/>
    </xf>
    <xf numFmtId="0" fontId="33" fillId="10" borderId="55" xfId="0" applyFont="1" applyFill="1" applyBorder="1" applyAlignment="1" applyProtection="1">
      <alignment horizontal="left" vertical="top"/>
      <protection locked="0"/>
    </xf>
    <xf numFmtId="0" fontId="33" fillId="10" borderId="50" xfId="0" applyFont="1" applyFill="1" applyBorder="1" applyAlignment="1" applyProtection="1">
      <alignment horizontal="left" vertical="top"/>
      <protection locked="0"/>
    </xf>
    <xf numFmtId="9" fontId="27" fillId="10" borderId="16" xfId="6" applyFont="1" applyFill="1" applyBorder="1" applyAlignment="1" applyProtection="1">
      <alignment horizontal="left" vertical="top"/>
      <protection locked="0"/>
    </xf>
    <xf numFmtId="9" fontId="27" fillId="10" borderId="47" xfId="6" applyFont="1" applyFill="1" applyBorder="1" applyAlignment="1" applyProtection="1">
      <alignment horizontal="left" vertical="top"/>
      <protection locked="0"/>
    </xf>
    <xf numFmtId="0" fontId="33" fillId="10" borderId="21" xfId="0" applyFont="1" applyFill="1" applyBorder="1" applyAlignment="1" applyProtection="1">
      <alignment horizontal="left" vertical="top"/>
      <protection locked="0"/>
    </xf>
    <xf numFmtId="0" fontId="33" fillId="10" borderId="65" xfId="0" applyFont="1" applyFill="1" applyBorder="1" applyAlignment="1" applyProtection="1">
      <alignment horizontal="left" vertical="top"/>
      <protection locked="0"/>
    </xf>
    <xf numFmtId="0" fontId="33" fillId="10" borderId="1" xfId="0" applyFont="1" applyFill="1" applyBorder="1" applyAlignment="1" applyProtection="1">
      <alignment horizontal="left" vertical="top"/>
      <protection locked="0"/>
    </xf>
    <xf numFmtId="0" fontId="26" fillId="7" borderId="4" xfId="0" applyFont="1" applyFill="1" applyBorder="1" applyAlignment="1" applyProtection="1">
      <alignment horizontal="center" vertical="top"/>
      <protection locked="0"/>
    </xf>
    <xf numFmtId="0" fontId="26" fillId="7" borderId="58" xfId="0" applyFont="1" applyFill="1" applyBorder="1" applyAlignment="1" applyProtection="1">
      <alignment horizontal="center" vertical="top"/>
      <protection locked="0"/>
    </xf>
    <xf numFmtId="0" fontId="33" fillId="10" borderId="2" xfId="0" applyFont="1" applyFill="1" applyBorder="1" applyAlignment="1" applyProtection="1">
      <alignment horizontal="left" vertical="top"/>
      <protection locked="0"/>
    </xf>
    <xf numFmtId="0" fontId="33" fillId="10" borderId="78" xfId="0" applyFont="1" applyFill="1" applyBorder="1" applyAlignment="1" applyProtection="1">
      <alignment horizontal="left" vertical="top"/>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49">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externalLinks/_rels/externalLink1.xml.rels><?xml version="1.0" encoding="UTF-8" standalone="yes"?>
<Relationships xmlns="http://schemas.openxmlformats.org/package/2006/relationships"><Relationship Id="rId1" Type="http://schemas.openxmlformats.org/officeDocument/2006/relationships/externalLinkPath" Target="Top%20Down%20Worksheets%20for%20May%202015%20Train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
  <dimension ref="A1:A13"/>
  <sheetViews>
    <sheetView workbookViewId="0">
      <selection activeCell="A12" sqref="A12:A13"/>
    </sheetView>
  </sheetViews>
  <sheetFormatPr defaultRowHeight="12.75"/>
  <cols>
    <col min="1" max="1" width="18.42578125" customWidth="1"/>
  </cols>
  <sheetData>
    <row r="1" spans="1:1">
      <c r="A1" s="241" t="s">
        <v>265</v>
      </c>
    </row>
    <row r="2" spans="1:1">
      <c r="A2" s="241" t="s">
        <v>264</v>
      </c>
    </row>
    <row r="4" spans="1:1">
      <c r="A4" s="38" t="s">
        <v>335</v>
      </c>
    </row>
    <row r="5" spans="1:1">
      <c r="A5" s="38" t="s">
        <v>336</v>
      </c>
    </row>
    <row r="6" spans="1:1">
      <c r="A6" s="38" t="s">
        <v>337</v>
      </c>
    </row>
    <row r="8" spans="1:1">
      <c r="A8" s="38" t="s">
        <v>335</v>
      </c>
    </row>
    <row r="9" spans="1:1">
      <c r="A9" s="38" t="s">
        <v>336</v>
      </c>
    </row>
    <row r="10" spans="1:1">
      <c r="A10" s="38" t="s">
        <v>338</v>
      </c>
    </row>
    <row r="12" spans="1:1">
      <c r="A12" s="38" t="s">
        <v>335</v>
      </c>
    </row>
    <row r="13" spans="1:1">
      <c r="A13" s="38" t="s">
        <v>336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D86"/>
  <sheetViews>
    <sheetView workbookViewId="0"/>
  </sheetViews>
  <sheetFormatPr defaultRowHeight="12.75"/>
  <cols>
    <col min="1" max="1" width="73.140625" bestFit="1" customWidth="1"/>
    <col min="2" max="2" width="18.5703125" bestFit="1" customWidth="1"/>
    <col min="5" max="5" width="15.5703125" bestFit="1" customWidth="1"/>
  </cols>
  <sheetData>
    <row r="1" spans="1:4" s="399" customFormat="1" ht="18.75" thickBot="1">
      <c r="A1" s="402" t="s">
        <v>409</v>
      </c>
      <c r="B1" s="419" t="s">
        <v>116</v>
      </c>
    </row>
    <row r="3" spans="1:4" ht="18">
      <c r="A3" s="485" t="s">
        <v>411</v>
      </c>
      <c r="B3" s="485"/>
    </row>
    <row r="4" spans="1:4" ht="13.5" thickBot="1"/>
    <row r="5" spans="1:4" s="398" customFormat="1" ht="15">
      <c r="A5" s="403" t="s">
        <v>412</v>
      </c>
      <c r="B5" s="417" t="s">
        <v>335</v>
      </c>
    </row>
    <row r="6" spans="1:4" s="398" customFormat="1" ht="15.75" thickBot="1">
      <c r="A6" s="404" t="s">
        <v>413</v>
      </c>
      <c r="B6" s="418" t="s">
        <v>335</v>
      </c>
    </row>
    <row r="7" spans="1:4" ht="13.5" thickBot="1"/>
    <row r="8" spans="1:4" s="401" customFormat="1" ht="16.5" thickBot="1">
      <c r="A8" s="405" t="str">
        <f>"Total GC 76000 Local Penalties for " &amp;B1&amp; " County"</f>
        <v>Total GC 76000 Local Penalties for San Diego County</v>
      </c>
      <c r="B8" s="414">
        <f>IF(AND(B5="Yes", B6="Yes"), VLOOKUP(B1,A21:B78,2), 7)</f>
        <v>7</v>
      </c>
    </row>
    <row r="9" spans="1:4" s="401" customFormat="1" ht="15.75">
      <c r="A9" s="424" t="s">
        <v>417</v>
      </c>
      <c r="B9" s="425">
        <v>0</v>
      </c>
    </row>
    <row r="10" spans="1:4" s="401" customFormat="1" ht="15.75">
      <c r="A10" s="426" t="s">
        <v>418</v>
      </c>
      <c r="B10" s="427">
        <v>0</v>
      </c>
    </row>
    <row r="11" spans="1:4" s="401" customFormat="1" ht="15.75">
      <c r="A11" s="426" t="s">
        <v>416</v>
      </c>
      <c r="B11" s="427">
        <v>0</v>
      </c>
    </row>
    <row r="12" spans="1:4" s="401" customFormat="1" ht="15.75">
      <c r="A12" s="426" t="s">
        <v>419</v>
      </c>
      <c r="B12" s="428">
        <v>0</v>
      </c>
    </row>
    <row r="13" spans="1:4" s="401" customFormat="1" ht="15.75">
      <c r="A13" s="426" t="s">
        <v>420</v>
      </c>
      <c r="B13" s="427">
        <v>0</v>
      </c>
    </row>
    <row r="14" spans="1:4" s="401" customFormat="1" ht="16.5" thickBot="1">
      <c r="A14" s="429" t="s">
        <v>421</v>
      </c>
      <c r="B14" s="430">
        <f>SUM(B9:B13)</f>
        <v>0</v>
      </c>
    </row>
    <row r="15" spans="1:4" s="401" customFormat="1" ht="16.5" thickBot="1">
      <c r="A15" s="431"/>
      <c r="B15" s="432"/>
    </row>
    <row r="16" spans="1:4" s="401" customFormat="1" ht="15.75">
      <c r="A16" s="434" t="s">
        <v>423</v>
      </c>
      <c r="B16" s="436">
        <v>0</v>
      </c>
      <c r="C16" s="433"/>
      <c r="D16" s="433"/>
    </row>
    <row r="17" spans="1:3" s="401" customFormat="1" ht="16.5" thickBot="1">
      <c r="A17" s="435" t="s">
        <v>422</v>
      </c>
      <c r="B17" s="437">
        <v>0</v>
      </c>
      <c r="C17" s="433"/>
    </row>
    <row r="18" spans="1:3" s="401" customFormat="1" ht="15.75">
      <c r="A18" s="431"/>
      <c r="B18" s="432"/>
    </row>
    <row r="19" spans="1:3" s="401" customFormat="1" ht="16.5" thickBot="1">
      <c r="A19" s="409"/>
      <c r="B19" s="410"/>
    </row>
    <row r="20" spans="1:3" ht="13.5" thickBot="1">
      <c r="A20" s="422" t="s">
        <v>407</v>
      </c>
      <c r="B20" s="423" t="s">
        <v>414</v>
      </c>
    </row>
    <row r="21" spans="1:3">
      <c r="A21" s="420" t="s">
        <v>80</v>
      </c>
      <c r="B21" s="421">
        <v>5</v>
      </c>
    </row>
    <row r="22" spans="1:3">
      <c r="A22" s="407" t="s">
        <v>81</v>
      </c>
      <c r="B22" s="411">
        <v>5</v>
      </c>
    </row>
    <row r="23" spans="1:3">
      <c r="A23" s="407" t="s">
        <v>82</v>
      </c>
      <c r="B23" s="411">
        <v>5</v>
      </c>
    </row>
    <row r="24" spans="1:3">
      <c r="A24" s="407" t="s">
        <v>83</v>
      </c>
      <c r="B24" s="411">
        <v>7</v>
      </c>
    </row>
    <row r="25" spans="1:3">
      <c r="A25" s="407" t="s">
        <v>406</v>
      </c>
      <c r="B25" s="411">
        <v>3</v>
      </c>
    </row>
    <row r="26" spans="1:3">
      <c r="A26" s="407" t="s">
        <v>85</v>
      </c>
      <c r="B26" s="411">
        <v>6</v>
      </c>
    </row>
    <row r="27" spans="1:3">
      <c r="A27" s="407" t="s">
        <v>86</v>
      </c>
      <c r="B27" s="411">
        <v>5</v>
      </c>
    </row>
    <row r="28" spans="1:3">
      <c r="A28" s="407" t="s">
        <v>87</v>
      </c>
      <c r="B28" s="411">
        <v>7</v>
      </c>
    </row>
    <row r="29" spans="1:3">
      <c r="A29" s="407" t="s">
        <v>88</v>
      </c>
      <c r="B29" s="411">
        <v>5</v>
      </c>
    </row>
    <row r="30" spans="1:3">
      <c r="A30" s="407" t="s">
        <v>89</v>
      </c>
      <c r="B30" s="411">
        <v>7</v>
      </c>
    </row>
    <row r="31" spans="1:3">
      <c r="A31" s="407" t="s">
        <v>90</v>
      </c>
      <c r="B31" s="411">
        <v>4</v>
      </c>
    </row>
    <row r="32" spans="1:3">
      <c r="A32" s="407" t="s">
        <v>91</v>
      </c>
      <c r="B32" s="411">
        <v>5</v>
      </c>
    </row>
    <row r="33" spans="1:2">
      <c r="A33" s="407" t="s">
        <v>92</v>
      </c>
      <c r="B33" s="411">
        <v>6</v>
      </c>
    </row>
    <row r="34" spans="1:2">
      <c r="A34" s="407" t="s">
        <v>93</v>
      </c>
      <c r="B34" s="411">
        <v>4</v>
      </c>
    </row>
    <row r="35" spans="1:2">
      <c r="A35" s="407" t="s">
        <v>94</v>
      </c>
      <c r="B35" s="411">
        <v>7</v>
      </c>
    </row>
    <row r="36" spans="1:2">
      <c r="A36" s="407" t="s">
        <v>95</v>
      </c>
      <c r="B36" s="411">
        <v>7</v>
      </c>
    </row>
    <row r="37" spans="1:2">
      <c r="A37" s="407" t="s">
        <v>96</v>
      </c>
      <c r="B37" s="411">
        <v>7</v>
      </c>
    </row>
    <row r="38" spans="1:2">
      <c r="A38" s="407" t="s">
        <v>97</v>
      </c>
      <c r="B38" s="411">
        <v>2</v>
      </c>
    </row>
    <row r="39" spans="1:2">
      <c r="A39" s="407" t="s">
        <v>98</v>
      </c>
      <c r="B39" s="411">
        <v>5</v>
      </c>
    </row>
    <row r="40" spans="1:2">
      <c r="A40" s="407" t="s">
        <v>99</v>
      </c>
      <c r="B40" s="412">
        <v>7</v>
      </c>
    </row>
    <row r="41" spans="1:2">
      <c r="A41" s="407" t="s">
        <v>100</v>
      </c>
      <c r="B41" s="411">
        <v>5</v>
      </c>
    </row>
    <row r="42" spans="1:2">
      <c r="A42" s="407" t="s">
        <v>101</v>
      </c>
      <c r="B42" s="411">
        <v>2.5</v>
      </c>
    </row>
    <row r="43" spans="1:2">
      <c r="A43" s="407" t="s">
        <v>102</v>
      </c>
      <c r="B43" s="411">
        <v>7</v>
      </c>
    </row>
    <row r="44" spans="1:2">
      <c r="A44" s="407" t="s">
        <v>103</v>
      </c>
      <c r="B44" s="411">
        <v>4.75</v>
      </c>
    </row>
    <row r="45" spans="1:2">
      <c r="A45" s="407" t="s">
        <v>104</v>
      </c>
      <c r="B45" s="411">
        <v>3.5</v>
      </c>
    </row>
    <row r="46" spans="1:2">
      <c r="A46" s="407" t="s">
        <v>105</v>
      </c>
      <c r="B46" s="411">
        <v>4</v>
      </c>
    </row>
    <row r="47" spans="1:2">
      <c r="A47" s="407" t="s">
        <v>106</v>
      </c>
      <c r="B47" s="411">
        <v>5</v>
      </c>
    </row>
    <row r="48" spans="1:2">
      <c r="A48" s="407" t="s">
        <v>107</v>
      </c>
      <c r="B48" s="411">
        <v>3</v>
      </c>
    </row>
    <row r="49" spans="1:2">
      <c r="A49" s="407" t="s">
        <v>108</v>
      </c>
      <c r="B49" s="411">
        <v>4.75</v>
      </c>
    </row>
    <row r="50" spans="1:2">
      <c r="A50" s="407" t="s">
        <v>109</v>
      </c>
      <c r="B50" s="411">
        <v>5.29</v>
      </c>
    </row>
    <row r="51" spans="1:2">
      <c r="A51" s="407" t="s">
        <v>111</v>
      </c>
      <c r="B51" s="411">
        <v>4.75</v>
      </c>
    </row>
    <row r="52" spans="1:2">
      <c r="A52" s="407" t="s">
        <v>110</v>
      </c>
      <c r="B52" s="411">
        <v>7</v>
      </c>
    </row>
    <row r="53" spans="1:2">
      <c r="A53" s="407" t="s">
        <v>112</v>
      </c>
      <c r="B53" s="411">
        <v>4.5999999999999996</v>
      </c>
    </row>
    <row r="54" spans="1:2">
      <c r="A54" s="407" t="s">
        <v>113</v>
      </c>
      <c r="B54" s="411">
        <v>5</v>
      </c>
    </row>
    <row r="55" spans="1:2">
      <c r="A55" s="407" t="s">
        <v>114</v>
      </c>
      <c r="B55" s="411">
        <v>5</v>
      </c>
    </row>
    <row r="56" spans="1:2">
      <c r="A56" s="407" t="s">
        <v>115</v>
      </c>
      <c r="B56" s="411">
        <v>5</v>
      </c>
    </row>
    <row r="57" spans="1:2">
      <c r="A57" s="407" t="s">
        <v>116</v>
      </c>
      <c r="B57" s="411">
        <v>7</v>
      </c>
    </row>
    <row r="58" spans="1:2">
      <c r="A58" s="407" t="s">
        <v>117</v>
      </c>
      <c r="B58" s="411">
        <v>6.99</v>
      </c>
    </row>
    <row r="59" spans="1:2">
      <c r="A59" s="407" t="s">
        <v>118</v>
      </c>
      <c r="B59" s="411">
        <v>3.75</v>
      </c>
    </row>
    <row r="60" spans="1:2">
      <c r="A60" s="407" t="s">
        <v>119</v>
      </c>
      <c r="B60" s="411">
        <v>5</v>
      </c>
    </row>
    <row r="61" spans="1:2">
      <c r="A61" s="407" t="s">
        <v>120</v>
      </c>
      <c r="B61" s="411">
        <v>4.75</v>
      </c>
    </row>
    <row r="62" spans="1:2">
      <c r="A62" s="407" t="s">
        <v>121</v>
      </c>
      <c r="B62" s="411">
        <v>3.5</v>
      </c>
    </row>
    <row r="63" spans="1:2">
      <c r="A63" s="407" t="s">
        <v>122</v>
      </c>
      <c r="B63" s="411">
        <v>5.5</v>
      </c>
    </row>
    <row r="64" spans="1:2">
      <c r="A64" s="407" t="s">
        <v>123</v>
      </c>
      <c r="B64" s="411">
        <v>7</v>
      </c>
    </row>
    <row r="65" spans="1:2">
      <c r="A65" s="407" t="s">
        <v>124</v>
      </c>
      <c r="B65" s="411">
        <v>3.5</v>
      </c>
    </row>
    <row r="66" spans="1:2">
      <c r="A66" s="407" t="s">
        <v>125</v>
      </c>
      <c r="B66" s="411">
        <v>7</v>
      </c>
    </row>
    <row r="67" spans="1:2">
      <c r="A67" s="407" t="s">
        <v>126</v>
      </c>
      <c r="B67" s="411">
        <v>5</v>
      </c>
    </row>
    <row r="68" spans="1:2">
      <c r="A68" s="407" t="s">
        <v>127</v>
      </c>
      <c r="B68" s="411">
        <v>5</v>
      </c>
    </row>
    <row r="69" spans="1:2">
      <c r="A69" s="407" t="s">
        <v>128</v>
      </c>
      <c r="B69" s="411">
        <v>5</v>
      </c>
    </row>
    <row r="70" spans="1:2">
      <c r="A70" s="407" t="s">
        <v>129</v>
      </c>
      <c r="B70" s="411">
        <v>5</v>
      </c>
    </row>
    <row r="71" spans="1:2">
      <c r="A71" s="407" t="s">
        <v>130</v>
      </c>
      <c r="B71" s="411">
        <v>6</v>
      </c>
    </row>
    <row r="72" spans="1:2">
      <c r="A72" s="407" t="s">
        <v>131</v>
      </c>
      <c r="B72" s="411">
        <v>7</v>
      </c>
    </row>
    <row r="73" spans="1:2">
      <c r="A73" s="407" t="s">
        <v>132</v>
      </c>
      <c r="B73" s="411">
        <v>4.5</v>
      </c>
    </row>
    <row r="74" spans="1:2">
      <c r="A74" s="407" t="s">
        <v>133</v>
      </c>
      <c r="B74" s="411">
        <v>5</v>
      </c>
    </row>
    <row r="75" spans="1:2">
      <c r="A75" s="407" t="s">
        <v>134</v>
      </c>
      <c r="B75" s="411">
        <v>7</v>
      </c>
    </row>
    <row r="76" spans="1:2">
      <c r="A76" s="407" t="s">
        <v>135</v>
      </c>
      <c r="B76" s="411">
        <v>5</v>
      </c>
    </row>
    <row r="77" spans="1:2">
      <c r="A77" s="407" t="s">
        <v>136</v>
      </c>
      <c r="B77" s="411">
        <v>7</v>
      </c>
    </row>
    <row r="78" spans="1:2" ht="13.5" thickBot="1">
      <c r="A78" s="408" t="s">
        <v>137</v>
      </c>
      <c r="B78" s="413">
        <v>3</v>
      </c>
    </row>
    <row r="84" spans="1:1">
      <c r="A84" s="406" t="s">
        <v>408</v>
      </c>
    </row>
    <row r="85" spans="1:1">
      <c r="A85" s="406" t="s">
        <v>335</v>
      </c>
    </row>
    <row r="86" spans="1:1">
      <c r="A86" s="406" t="s">
        <v>336</v>
      </c>
    </row>
  </sheetData>
  <mergeCells count="1">
    <mergeCell ref="A3:B3"/>
  </mergeCells>
  <dataValidations count="2">
    <dataValidation type="list" allowBlank="1" showInputMessage="1" showErrorMessage="1" sqref="B5:B6">
      <formula1>$A$85:$A$86</formula1>
    </dataValidation>
    <dataValidation type="list" allowBlank="1" showInputMessage="1" showErrorMessage="1" sqref="B1">
      <formula1>Counties</formula1>
    </dataValidation>
  </dataValidations>
  <pageMargins left="0.7" right="0.7" top="0.75" bottom="0.75" header="0.3" footer="0.3"/>
  <ignoredErrors>
    <ignoredError sqref="B14" unlockedFormula="1"/>
  </ignoredErrors>
</worksheet>
</file>

<file path=xl/worksheets/sheet11.xml><?xml version="1.0" encoding="utf-8"?>
<worksheet xmlns="http://schemas.openxmlformats.org/spreadsheetml/2006/main" xmlns:r="http://schemas.openxmlformats.org/officeDocument/2006/relationships">
  <sheetPr codeName="Sheet2"/>
  <dimension ref="A1:D59"/>
  <sheetViews>
    <sheetView workbookViewId="0">
      <selection activeCell="D2" sqref="D2"/>
    </sheetView>
  </sheetViews>
  <sheetFormatPr defaultRowHeight="15"/>
  <cols>
    <col min="4" max="4" width="38" style="39" bestFit="1" customWidth="1"/>
  </cols>
  <sheetData>
    <row r="1" spans="1:4" ht="15.75" thickBot="1">
      <c r="D1" s="39" t="s">
        <v>140</v>
      </c>
    </row>
    <row r="2" spans="1:4">
      <c r="A2" s="36" t="s">
        <v>80</v>
      </c>
      <c r="B2" s="38" t="s">
        <v>138</v>
      </c>
      <c r="C2" s="38" t="s">
        <v>139</v>
      </c>
      <c r="D2" s="39" t="str">
        <f>CONCATENATE($B$2,A2,$C$2)</f>
        <v>Superior Court of Alameda County</v>
      </c>
    </row>
    <row r="3" spans="1:4">
      <c r="A3" s="37" t="s">
        <v>81</v>
      </c>
      <c r="D3" s="39" t="str">
        <f t="shared" ref="D3:D59" si="0">CONCATENATE($B$2,A3,$C$2)</f>
        <v>Superior Court of Alpine County</v>
      </c>
    </row>
    <row r="4" spans="1:4">
      <c r="A4" s="37" t="s">
        <v>82</v>
      </c>
      <c r="D4" s="39" t="str">
        <f t="shared" si="0"/>
        <v>Superior Court of Amador County</v>
      </c>
    </row>
    <row r="5" spans="1:4">
      <c r="A5" s="37" t="s">
        <v>83</v>
      </c>
      <c r="D5" s="39" t="str">
        <f t="shared" si="0"/>
        <v>Superior Court of Butte County</v>
      </c>
    </row>
    <row r="6" spans="1:4">
      <c r="A6" s="37" t="s">
        <v>84</v>
      </c>
      <c r="D6" s="39" t="str">
        <f t="shared" si="0"/>
        <v>Superior Court of Claveras County</v>
      </c>
    </row>
    <row r="7" spans="1:4">
      <c r="A7" s="37" t="s">
        <v>85</v>
      </c>
      <c r="D7" s="39" t="str">
        <f t="shared" si="0"/>
        <v>Superior Court of Colusa County</v>
      </c>
    </row>
    <row r="8" spans="1:4">
      <c r="A8" s="37" t="s">
        <v>86</v>
      </c>
      <c r="D8" s="39" t="str">
        <f t="shared" si="0"/>
        <v>Superior Court of Contra Costa County</v>
      </c>
    </row>
    <row r="9" spans="1:4">
      <c r="A9" s="37" t="s">
        <v>87</v>
      </c>
      <c r="D9" s="39" t="str">
        <f t="shared" si="0"/>
        <v>Superior Court of Del Norte County</v>
      </c>
    </row>
    <row r="10" spans="1:4">
      <c r="A10" s="37" t="s">
        <v>88</v>
      </c>
      <c r="D10" s="39" t="str">
        <f t="shared" si="0"/>
        <v>Superior Court of El Dorado County</v>
      </c>
    </row>
    <row r="11" spans="1:4">
      <c r="A11" s="37" t="s">
        <v>89</v>
      </c>
      <c r="D11" s="39" t="str">
        <f t="shared" si="0"/>
        <v>Superior Court of Fresno County</v>
      </c>
    </row>
    <row r="12" spans="1:4">
      <c r="A12" s="37" t="s">
        <v>90</v>
      </c>
      <c r="D12" s="39" t="str">
        <f t="shared" si="0"/>
        <v>Superior Court of Glenn County</v>
      </c>
    </row>
    <row r="13" spans="1:4">
      <c r="A13" s="37" t="s">
        <v>91</v>
      </c>
      <c r="D13" s="39" t="str">
        <f t="shared" si="0"/>
        <v>Superior Court of Humboldt County</v>
      </c>
    </row>
    <row r="14" spans="1:4">
      <c r="A14" s="37" t="s">
        <v>92</v>
      </c>
      <c r="D14" s="39" t="str">
        <f t="shared" si="0"/>
        <v>Superior Court of Imperial County</v>
      </c>
    </row>
    <row r="15" spans="1:4">
      <c r="A15" s="37" t="s">
        <v>93</v>
      </c>
      <c r="D15" s="39" t="str">
        <f t="shared" si="0"/>
        <v>Superior Court of Inyo County</v>
      </c>
    </row>
    <row r="16" spans="1:4">
      <c r="A16" s="37" t="s">
        <v>94</v>
      </c>
      <c r="D16" s="39" t="str">
        <f t="shared" si="0"/>
        <v>Superior Court of Kern County</v>
      </c>
    </row>
    <row r="17" spans="1:4">
      <c r="A17" s="37" t="s">
        <v>95</v>
      </c>
      <c r="D17" s="39" t="str">
        <f t="shared" si="0"/>
        <v>Superior Court of Kings County</v>
      </c>
    </row>
    <row r="18" spans="1:4">
      <c r="A18" s="37" t="s">
        <v>96</v>
      </c>
      <c r="D18" s="39" t="str">
        <f t="shared" si="0"/>
        <v>Superior Court of Lake County</v>
      </c>
    </row>
    <row r="19" spans="1:4">
      <c r="A19" s="37" t="s">
        <v>97</v>
      </c>
      <c r="D19" s="39" t="str">
        <f t="shared" si="0"/>
        <v>Superior Court of Lassen County</v>
      </c>
    </row>
    <row r="20" spans="1:4">
      <c r="A20" s="37" t="s">
        <v>98</v>
      </c>
      <c r="D20" s="39" t="str">
        <f t="shared" si="0"/>
        <v>Superior Court of Los Angeles County</v>
      </c>
    </row>
    <row r="21" spans="1:4">
      <c r="A21" s="37" t="s">
        <v>99</v>
      </c>
      <c r="D21" s="39" t="str">
        <f t="shared" si="0"/>
        <v>Superior Court of Madera County</v>
      </c>
    </row>
    <row r="22" spans="1:4">
      <c r="A22" s="37" t="s">
        <v>100</v>
      </c>
      <c r="D22" s="39" t="str">
        <f t="shared" si="0"/>
        <v>Superior Court of Marin County</v>
      </c>
    </row>
    <row r="23" spans="1:4">
      <c r="A23" s="37" t="s">
        <v>101</v>
      </c>
      <c r="D23" s="39" t="str">
        <f t="shared" si="0"/>
        <v>Superior Court of Mariposa County</v>
      </c>
    </row>
    <row r="24" spans="1:4">
      <c r="A24" s="37" t="s">
        <v>102</v>
      </c>
      <c r="D24" s="39" t="str">
        <f t="shared" si="0"/>
        <v>Superior Court of Mendocino County</v>
      </c>
    </row>
    <row r="25" spans="1:4">
      <c r="A25" s="37" t="s">
        <v>103</v>
      </c>
      <c r="D25" s="39" t="str">
        <f t="shared" si="0"/>
        <v>Superior Court of Merced County</v>
      </c>
    </row>
    <row r="26" spans="1:4">
      <c r="A26" s="37" t="s">
        <v>104</v>
      </c>
      <c r="D26" s="39" t="str">
        <f t="shared" si="0"/>
        <v>Superior Court of Modoc County</v>
      </c>
    </row>
    <row r="27" spans="1:4">
      <c r="A27" s="37" t="s">
        <v>105</v>
      </c>
      <c r="D27" s="39" t="str">
        <f t="shared" si="0"/>
        <v>Superior Court of Mono County</v>
      </c>
    </row>
    <row r="28" spans="1:4">
      <c r="A28" s="37" t="s">
        <v>106</v>
      </c>
      <c r="D28" s="39" t="str">
        <f t="shared" si="0"/>
        <v>Superior Court of Monterey County</v>
      </c>
    </row>
    <row r="29" spans="1:4">
      <c r="A29" s="37" t="s">
        <v>107</v>
      </c>
      <c r="D29" s="39" t="str">
        <f t="shared" si="0"/>
        <v>Superior Court of Napa County</v>
      </c>
    </row>
    <row r="30" spans="1:4">
      <c r="A30" s="37" t="s">
        <v>108</v>
      </c>
      <c r="D30" s="39" t="str">
        <f t="shared" si="0"/>
        <v>Superior Court of Nevada County</v>
      </c>
    </row>
    <row r="31" spans="1:4">
      <c r="A31" s="37" t="s">
        <v>109</v>
      </c>
      <c r="D31" s="39" t="str">
        <f t="shared" si="0"/>
        <v>Superior Court of Orange County</v>
      </c>
    </row>
    <row r="32" spans="1:4">
      <c r="A32" s="37" t="s">
        <v>110</v>
      </c>
      <c r="D32" s="39" t="str">
        <f t="shared" si="0"/>
        <v>Superior Court of Plumas County</v>
      </c>
    </row>
    <row r="33" spans="1:4">
      <c r="A33" s="37" t="s">
        <v>111</v>
      </c>
      <c r="D33" s="39" t="str">
        <f t="shared" si="0"/>
        <v>Superior Court of Placer County</v>
      </c>
    </row>
    <row r="34" spans="1:4">
      <c r="A34" s="37" t="s">
        <v>112</v>
      </c>
      <c r="D34" s="39" t="str">
        <f t="shared" si="0"/>
        <v>Superior Court of Riverside County</v>
      </c>
    </row>
    <row r="35" spans="1:4">
      <c r="A35" s="37" t="s">
        <v>113</v>
      </c>
      <c r="D35" s="39" t="str">
        <f t="shared" si="0"/>
        <v>Superior Court of Sacramento County</v>
      </c>
    </row>
    <row r="36" spans="1:4">
      <c r="A36" s="37" t="s">
        <v>114</v>
      </c>
      <c r="D36" s="39" t="str">
        <f t="shared" si="0"/>
        <v>Superior Court of San Benito County</v>
      </c>
    </row>
    <row r="37" spans="1:4">
      <c r="A37" s="37" t="s">
        <v>115</v>
      </c>
      <c r="D37" s="39" t="str">
        <f t="shared" si="0"/>
        <v>Superior Court of San Bernardino County</v>
      </c>
    </row>
    <row r="38" spans="1:4">
      <c r="A38" s="37" t="s">
        <v>116</v>
      </c>
      <c r="D38" s="39" t="str">
        <f t="shared" si="0"/>
        <v>Superior Court of San Diego County</v>
      </c>
    </row>
    <row r="39" spans="1:4">
      <c r="A39" s="37" t="s">
        <v>117</v>
      </c>
      <c r="D39" s="39" t="str">
        <f t="shared" si="0"/>
        <v>Superior Court of San Francisco County</v>
      </c>
    </row>
    <row r="40" spans="1:4">
      <c r="A40" s="37" t="s">
        <v>118</v>
      </c>
      <c r="D40" s="39" t="str">
        <f t="shared" si="0"/>
        <v>Superior Court of San Joaquin County</v>
      </c>
    </row>
    <row r="41" spans="1:4">
      <c r="A41" s="37" t="s">
        <v>119</v>
      </c>
      <c r="D41" s="39" t="str">
        <f t="shared" si="0"/>
        <v>Superior Court of San Luis Obispo County</v>
      </c>
    </row>
    <row r="42" spans="1:4">
      <c r="A42" s="37" t="s">
        <v>120</v>
      </c>
      <c r="D42" s="39" t="str">
        <f t="shared" si="0"/>
        <v>Superior Court of San Mateo County</v>
      </c>
    </row>
    <row r="43" spans="1:4">
      <c r="A43" s="37" t="s">
        <v>121</v>
      </c>
      <c r="D43" s="39" t="str">
        <f t="shared" si="0"/>
        <v>Superior Court of Santa Barbara County</v>
      </c>
    </row>
    <row r="44" spans="1:4">
      <c r="A44" s="37" t="s">
        <v>122</v>
      </c>
      <c r="D44" s="39" t="str">
        <f t="shared" si="0"/>
        <v>Superior Court of Santa Clara County</v>
      </c>
    </row>
    <row r="45" spans="1:4">
      <c r="A45" s="37" t="s">
        <v>123</v>
      </c>
      <c r="D45" s="39" t="str">
        <f t="shared" si="0"/>
        <v>Superior Court of Santa Cruz County</v>
      </c>
    </row>
    <row r="46" spans="1:4">
      <c r="A46" s="37" t="s">
        <v>124</v>
      </c>
      <c r="D46" s="39" t="str">
        <f t="shared" si="0"/>
        <v>Superior Court of Shasta County</v>
      </c>
    </row>
    <row r="47" spans="1:4">
      <c r="A47" s="37" t="s">
        <v>125</v>
      </c>
      <c r="D47" s="39" t="str">
        <f t="shared" si="0"/>
        <v>Superior Court of Sierra County</v>
      </c>
    </row>
    <row r="48" spans="1:4">
      <c r="A48" s="37" t="s">
        <v>126</v>
      </c>
      <c r="D48" s="39" t="str">
        <f t="shared" si="0"/>
        <v>Superior Court of Siskiyou County</v>
      </c>
    </row>
    <row r="49" spans="1:4">
      <c r="A49" s="37" t="s">
        <v>127</v>
      </c>
      <c r="D49" s="39" t="str">
        <f t="shared" si="0"/>
        <v>Superior Court of Solano County</v>
      </c>
    </row>
    <row r="50" spans="1:4">
      <c r="A50" s="37" t="s">
        <v>128</v>
      </c>
      <c r="D50" s="39" t="str">
        <f t="shared" si="0"/>
        <v>Superior Court of Sonoma County</v>
      </c>
    </row>
    <row r="51" spans="1:4">
      <c r="A51" s="37" t="s">
        <v>129</v>
      </c>
      <c r="D51" s="39" t="str">
        <f t="shared" si="0"/>
        <v>Superior Court of Stanislaus County</v>
      </c>
    </row>
    <row r="52" spans="1:4">
      <c r="A52" s="37" t="s">
        <v>130</v>
      </c>
      <c r="D52" s="39" t="str">
        <f t="shared" si="0"/>
        <v>Superior Court of Sutter County</v>
      </c>
    </row>
    <row r="53" spans="1:4">
      <c r="A53" s="37" t="s">
        <v>131</v>
      </c>
      <c r="D53" s="39" t="str">
        <f t="shared" si="0"/>
        <v>Superior Court of Tehama County</v>
      </c>
    </row>
    <row r="54" spans="1:4">
      <c r="A54" s="37" t="s">
        <v>132</v>
      </c>
      <c r="D54" s="39" t="str">
        <f t="shared" si="0"/>
        <v>Superior Court of Trinity County</v>
      </c>
    </row>
    <row r="55" spans="1:4">
      <c r="A55" s="37" t="s">
        <v>133</v>
      </c>
      <c r="D55" s="39" t="str">
        <f t="shared" si="0"/>
        <v>Superior Court of Tulare County</v>
      </c>
    </row>
    <row r="56" spans="1:4">
      <c r="A56" s="37" t="s">
        <v>134</v>
      </c>
      <c r="D56" s="39" t="str">
        <f t="shared" si="0"/>
        <v>Superior Court of Tuolumne County</v>
      </c>
    </row>
    <row r="57" spans="1:4">
      <c r="A57" s="37" t="s">
        <v>135</v>
      </c>
      <c r="D57" s="39" t="str">
        <f t="shared" si="0"/>
        <v>Superior Court of Ventura County</v>
      </c>
    </row>
    <row r="58" spans="1:4">
      <c r="A58" s="37" t="s">
        <v>136</v>
      </c>
      <c r="D58" s="39" t="str">
        <f t="shared" si="0"/>
        <v>Superior Court of Yolo County</v>
      </c>
    </row>
    <row r="59" spans="1:4">
      <c r="A59" s="37" t="s">
        <v>137</v>
      </c>
      <c r="D59" s="39" t="str">
        <f t="shared" si="0"/>
        <v>Superior Court of Yuba County</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4" enableFormatConditionsCalculation="0">
    <tabColor indexed="42"/>
  </sheetPr>
  <dimension ref="A2:B7"/>
  <sheetViews>
    <sheetView workbookViewId="0">
      <selection activeCell="E39" sqref="E39"/>
    </sheetView>
  </sheetViews>
  <sheetFormatPr defaultRowHeight="12.75"/>
  <cols>
    <col min="2" max="2" width="30.85546875" bestFit="1" customWidth="1"/>
  </cols>
  <sheetData>
    <row r="2" spans="1:2" s="6" customFormat="1">
      <c r="A2" s="7" t="s">
        <v>26</v>
      </c>
      <c r="B2" s="7" t="s">
        <v>43</v>
      </c>
    </row>
    <row r="3" spans="1:2">
      <c r="A3" t="s">
        <v>38</v>
      </c>
      <c r="B3" t="s">
        <v>25</v>
      </c>
    </row>
    <row r="4" spans="1:2">
      <c r="A4" t="s">
        <v>39</v>
      </c>
      <c r="B4" t="s">
        <v>44</v>
      </c>
    </row>
    <row r="5" spans="1:2">
      <c r="A5" t="s">
        <v>40</v>
      </c>
      <c r="B5" t="s">
        <v>45</v>
      </c>
    </row>
    <row r="6" spans="1:2">
      <c r="A6" t="s">
        <v>36</v>
      </c>
      <c r="B6" t="s">
        <v>46</v>
      </c>
    </row>
    <row r="7" spans="1:2">
      <c r="A7" t="s">
        <v>42</v>
      </c>
      <c r="B7" t="s">
        <v>29</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sheetPr codeName="Sheet6" enableFormatConditionsCalculation="0">
    <tabColor theme="3" tint="0.39997558519241921"/>
  </sheetPr>
  <dimension ref="A1:D21"/>
  <sheetViews>
    <sheetView workbookViewId="0">
      <selection activeCell="C43" sqref="C43:F43"/>
    </sheetView>
  </sheetViews>
  <sheetFormatPr defaultRowHeight="12.75"/>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c r="A1" s="19" t="e">
        <f>#REF!</f>
        <v>#REF!</v>
      </c>
    </row>
    <row r="2" spans="1:4" s="8" customFormat="1" ht="14.25" customHeight="1">
      <c r="A2" s="8" t="s">
        <v>53</v>
      </c>
    </row>
    <row r="3" spans="1:4" ht="14.25" customHeight="1"/>
    <row r="4" spans="1:4" ht="14.25" customHeight="1"/>
    <row r="5" spans="1:4" ht="14.25" customHeight="1"/>
    <row r="6" spans="1:4" s="11" customFormat="1">
      <c r="A6" s="10" t="s">
        <v>52</v>
      </c>
      <c r="B6" s="10" t="s">
        <v>0</v>
      </c>
      <c r="C6" s="10" t="s">
        <v>303</v>
      </c>
      <c r="D6" s="10" t="s">
        <v>304</v>
      </c>
    </row>
    <row r="7" spans="1:4">
      <c r="A7" s="342" t="s">
        <v>369</v>
      </c>
      <c r="B7" s="342" t="s">
        <v>23</v>
      </c>
      <c r="C7" s="13"/>
      <c r="D7" s="14"/>
    </row>
    <row r="8" spans="1:4">
      <c r="A8" s="342" t="s">
        <v>370</v>
      </c>
      <c r="B8" s="12" t="s">
        <v>21</v>
      </c>
      <c r="C8" s="13"/>
      <c r="D8" s="14"/>
    </row>
    <row r="9" spans="1:4">
      <c r="A9" s="342" t="s">
        <v>371</v>
      </c>
      <c r="B9" s="342" t="s">
        <v>379</v>
      </c>
      <c r="C9" s="14"/>
      <c r="D9" s="14"/>
    </row>
    <row r="10" spans="1:4">
      <c r="A10" s="342" t="s">
        <v>372</v>
      </c>
      <c r="B10" s="342" t="s">
        <v>380</v>
      </c>
      <c r="C10" s="14"/>
      <c r="D10" s="14"/>
    </row>
    <row r="11" spans="1:4">
      <c r="A11" s="15" t="s">
        <v>58</v>
      </c>
      <c r="B11" s="15" t="s">
        <v>327</v>
      </c>
      <c r="C11" s="14"/>
      <c r="D11" s="14"/>
    </row>
    <row r="12" spans="1:4">
      <c r="A12" s="12" t="s">
        <v>56</v>
      </c>
      <c r="B12" s="12" t="s">
        <v>31</v>
      </c>
      <c r="C12" s="14"/>
      <c r="D12" s="14"/>
    </row>
    <row r="13" spans="1:4">
      <c r="A13" s="343" t="s">
        <v>368</v>
      </c>
      <c r="B13" s="15" t="s">
        <v>32</v>
      </c>
      <c r="C13" s="14"/>
      <c r="D13" s="14"/>
    </row>
    <row r="14" spans="1:4">
      <c r="A14" s="342" t="s">
        <v>367</v>
      </c>
      <c r="B14" s="342" t="s">
        <v>381</v>
      </c>
      <c r="C14" s="14"/>
      <c r="D14" s="16"/>
    </row>
    <row r="15" spans="1:4">
      <c r="A15" s="343" t="s">
        <v>373</v>
      </c>
      <c r="B15" s="343" t="s">
        <v>32</v>
      </c>
      <c r="C15" s="16"/>
      <c r="D15" s="16"/>
    </row>
    <row r="16" spans="1:4">
      <c r="A16" s="342" t="s">
        <v>374</v>
      </c>
      <c r="B16" s="342" t="s">
        <v>378</v>
      </c>
      <c r="C16" s="16"/>
      <c r="D16" s="16"/>
    </row>
    <row r="17" spans="1:4">
      <c r="A17" s="342" t="s">
        <v>375</v>
      </c>
      <c r="B17" s="342" t="s">
        <v>344</v>
      </c>
      <c r="C17" s="16"/>
      <c r="D17" s="16"/>
    </row>
    <row r="18" spans="1:4">
      <c r="A18" s="342" t="s">
        <v>376</v>
      </c>
      <c r="B18" s="12" t="s">
        <v>9</v>
      </c>
      <c r="C18" s="16"/>
      <c r="D18" s="16"/>
    </row>
    <row r="19" spans="1:4">
      <c r="A19" s="342" t="s">
        <v>377</v>
      </c>
      <c r="B19" s="12" t="s">
        <v>35</v>
      </c>
      <c r="C19" s="16"/>
      <c r="D19" s="16"/>
    </row>
    <row r="20" spans="1:4">
      <c r="A20" s="14" t="s">
        <v>41</v>
      </c>
      <c r="B20" s="17" t="s">
        <v>37</v>
      </c>
      <c r="C20" s="13"/>
      <c r="D20" s="13"/>
    </row>
    <row r="21" spans="1:4">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sheetPr codeName="Sheet8">
    <tabColor theme="5" tint="0.59999389629810485"/>
  </sheetPr>
  <dimension ref="A1:H25"/>
  <sheetViews>
    <sheetView workbookViewId="0">
      <selection activeCell="C43" sqref="C43:F43"/>
    </sheetView>
  </sheetViews>
  <sheetFormatPr defaultRowHeight="12.75"/>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c r="A1" s="27" t="s">
        <v>77</v>
      </c>
    </row>
    <row r="3" spans="1:8">
      <c r="A3" s="24" t="s">
        <v>67</v>
      </c>
      <c r="B3" s="34"/>
    </row>
    <row r="4" spans="1:8">
      <c r="A4" s="24" t="s">
        <v>68</v>
      </c>
      <c r="B4" s="34"/>
    </row>
    <row r="5" spans="1:8">
      <c r="A5" s="24" t="s">
        <v>69</v>
      </c>
      <c r="B5" s="34"/>
    </row>
    <row r="6" spans="1:8">
      <c r="A6" s="24" t="s">
        <v>16</v>
      </c>
      <c r="B6" s="35"/>
    </row>
    <row r="7" spans="1:8">
      <c r="A7" s="29"/>
      <c r="B7" s="30"/>
    </row>
    <row r="8" spans="1:8">
      <c r="C8" s="486" t="s">
        <v>78</v>
      </c>
      <c r="D8" s="486"/>
      <c r="E8" s="486"/>
      <c r="F8" s="486"/>
      <c r="G8" s="486"/>
      <c r="H8" s="486"/>
    </row>
    <row r="9" spans="1:8">
      <c r="A9" s="25" t="s">
        <v>79</v>
      </c>
      <c r="B9" s="21" t="s">
        <v>76</v>
      </c>
      <c r="C9" s="22"/>
      <c r="D9" s="22"/>
      <c r="E9" s="22"/>
      <c r="F9" s="22"/>
      <c r="G9" s="22"/>
      <c r="H9" s="22"/>
    </row>
    <row r="10" spans="1:8">
      <c r="A10" s="31"/>
      <c r="B10" s="26">
        <f t="shared" ref="B10:B22" si="0">SUM(C10:H10)</f>
        <v>0</v>
      </c>
      <c r="C10" s="33"/>
      <c r="D10" s="33"/>
      <c r="E10" s="33"/>
      <c r="F10" s="33"/>
      <c r="G10" s="33"/>
      <c r="H10" s="33"/>
    </row>
    <row r="11" spans="1:8">
      <c r="A11" s="31"/>
      <c r="B11" s="26">
        <f t="shared" si="0"/>
        <v>0</v>
      </c>
      <c r="C11" s="33"/>
      <c r="D11" s="33"/>
      <c r="E11" s="33"/>
      <c r="F11" s="33"/>
      <c r="G11" s="33"/>
      <c r="H11" s="33"/>
    </row>
    <row r="12" spans="1:8">
      <c r="A12" s="32"/>
      <c r="B12" s="26">
        <f t="shared" si="0"/>
        <v>0</v>
      </c>
      <c r="C12" s="33"/>
      <c r="D12" s="33"/>
      <c r="E12" s="33"/>
      <c r="F12" s="33"/>
      <c r="G12" s="33"/>
      <c r="H12" s="33"/>
    </row>
    <row r="13" spans="1:8">
      <c r="A13" s="31"/>
      <c r="B13" s="26">
        <f t="shared" si="0"/>
        <v>0</v>
      </c>
      <c r="C13" s="33"/>
      <c r="D13" s="33"/>
      <c r="E13" s="33"/>
      <c r="F13" s="33"/>
      <c r="G13" s="33"/>
      <c r="H13" s="33"/>
    </row>
    <row r="14" spans="1:8">
      <c r="A14" s="32"/>
      <c r="B14" s="26">
        <f t="shared" si="0"/>
        <v>0</v>
      </c>
      <c r="C14" s="33"/>
      <c r="D14" s="33"/>
      <c r="E14" s="33"/>
      <c r="F14" s="33"/>
      <c r="G14" s="33"/>
      <c r="H14" s="33"/>
    </row>
    <row r="15" spans="1:8">
      <c r="A15" s="32"/>
      <c r="B15" s="26">
        <f t="shared" si="0"/>
        <v>0</v>
      </c>
      <c r="C15" s="33"/>
      <c r="D15" s="33"/>
      <c r="E15" s="33"/>
      <c r="F15" s="33"/>
      <c r="G15" s="33"/>
      <c r="H15" s="33"/>
    </row>
    <row r="16" spans="1:8">
      <c r="A16" s="32"/>
      <c r="B16" s="26">
        <f t="shared" si="0"/>
        <v>0</v>
      </c>
      <c r="C16" s="33"/>
      <c r="D16" s="33"/>
      <c r="E16" s="33"/>
      <c r="F16" s="33"/>
      <c r="G16" s="33"/>
      <c r="H16" s="33"/>
    </row>
    <row r="17" spans="1:8">
      <c r="A17" s="32"/>
      <c r="B17" s="26">
        <f t="shared" si="0"/>
        <v>0</v>
      </c>
      <c r="C17" s="33"/>
      <c r="D17" s="33"/>
      <c r="E17" s="33"/>
      <c r="F17" s="33"/>
      <c r="G17" s="33"/>
      <c r="H17" s="33"/>
    </row>
    <row r="18" spans="1:8">
      <c r="A18" s="31"/>
      <c r="B18" s="26">
        <f t="shared" si="0"/>
        <v>0</v>
      </c>
      <c r="C18" s="33"/>
      <c r="D18" s="33"/>
      <c r="E18" s="33"/>
      <c r="F18" s="33"/>
      <c r="G18" s="33"/>
      <c r="H18" s="33"/>
    </row>
    <row r="19" spans="1:8">
      <c r="A19" s="31"/>
      <c r="B19" s="26">
        <f t="shared" si="0"/>
        <v>0</v>
      </c>
      <c r="C19" s="33"/>
      <c r="D19" s="33"/>
      <c r="E19" s="33"/>
      <c r="F19" s="33"/>
      <c r="G19" s="33"/>
      <c r="H19" s="33"/>
    </row>
    <row r="20" spans="1:8">
      <c r="A20" s="31"/>
      <c r="B20" s="26">
        <f t="shared" si="0"/>
        <v>0</v>
      </c>
      <c r="C20" s="33"/>
      <c r="D20" s="33"/>
      <c r="E20" s="33"/>
      <c r="F20" s="33"/>
      <c r="G20" s="33"/>
      <c r="H20" s="33"/>
    </row>
    <row r="21" spans="1:8">
      <c r="A21" s="31"/>
      <c r="B21" s="26">
        <f t="shared" si="0"/>
        <v>0</v>
      </c>
      <c r="C21" s="33"/>
      <c r="D21" s="33"/>
      <c r="E21" s="33"/>
      <c r="F21" s="33"/>
      <c r="G21" s="33"/>
      <c r="H21" s="33"/>
    </row>
    <row r="22" spans="1:8">
      <c r="A22" s="31"/>
      <c r="B22" s="26">
        <f t="shared" si="0"/>
        <v>0</v>
      </c>
      <c r="C22" s="33"/>
      <c r="D22" s="33"/>
      <c r="E22" s="33"/>
      <c r="F22" s="33"/>
      <c r="G22" s="33"/>
      <c r="H22" s="33"/>
    </row>
    <row r="24" spans="1:8">
      <c r="A24" s="23" t="s">
        <v>76</v>
      </c>
      <c r="B24" s="4">
        <f t="shared" ref="B24:H24" si="1">SUM(B10:B23)</f>
        <v>0</v>
      </c>
      <c r="C24" s="3">
        <f t="shared" si="1"/>
        <v>0</v>
      </c>
      <c r="D24" s="3">
        <f t="shared" si="1"/>
        <v>0</v>
      </c>
      <c r="E24" s="3">
        <f t="shared" si="1"/>
        <v>0</v>
      </c>
      <c r="F24" s="3">
        <f t="shared" si="1"/>
        <v>0</v>
      </c>
      <c r="G24" s="3">
        <f t="shared" si="1"/>
        <v>0</v>
      </c>
      <c r="H24" s="3">
        <f t="shared" si="1"/>
        <v>0</v>
      </c>
    </row>
    <row r="25" spans="1:8">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10" enableFormatConditionsCalculation="0">
    <tabColor indexed="34"/>
    <pageSetUpPr fitToPage="1"/>
  </sheetPr>
  <dimension ref="A1:X50"/>
  <sheetViews>
    <sheetView zoomScale="90" zoomScaleNormal="90" workbookViewId="0">
      <pane ySplit="1" topLeftCell="A11" activePane="bottomLeft" state="frozen"/>
      <selection activeCell="N29" sqref="N29:O29"/>
      <selection pane="bottomLeft" activeCell="N29" sqref="N29:O29"/>
    </sheetView>
  </sheetViews>
  <sheetFormatPr defaultRowHeight="18.75"/>
  <cols>
    <col min="1" max="1" width="4.28515625" style="98" customWidth="1"/>
    <col min="2" max="2" width="4.710937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hidden="1"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c r="A1" s="532" t="s">
        <v>227</v>
      </c>
      <c r="B1" s="533"/>
      <c r="C1" s="533"/>
      <c r="D1" s="533"/>
      <c r="E1" s="533"/>
      <c r="F1" s="533"/>
      <c r="G1" s="533"/>
      <c r="H1" s="533"/>
      <c r="I1" s="533"/>
      <c r="J1" s="533"/>
      <c r="K1" s="533"/>
      <c r="L1" s="530" t="s">
        <v>247</v>
      </c>
      <c r="M1" s="530"/>
      <c r="N1" s="530"/>
      <c r="O1" s="530"/>
      <c r="P1" s="530"/>
      <c r="Q1" s="530"/>
      <c r="R1" s="530"/>
      <c r="S1" s="531"/>
    </row>
    <row r="2" spans="1:24" s="54" customFormat="1" ht="11.25" customHeight="1" thickBot="1">
      <c r="A2" s="51"/>
      <c r="B2" s="51"/>
      <c r="C2" s="51"/>
      <c r="D2" s="51"/>
      <c r="E2" s="51"/>
      <c r="F2" s="51"/>
      <c r="G2" s="51"/>
      <c r="H2" s="51"/>
      <c r="I2" s="51"/>
      <c r="J2" s="51"/>
      <c r="K2" s="52"/>
      <c r="L2" s="52"/>
      <c r="M2" s="52"/>
      <c r="N2" s="52"/>
      <c r="O2" s="52"/>
      <c r="P2" s="53"/>
      <c r="Q2" s="53"/>
      <c r="R2" s="53"/>
      <c r="S2" s="53"/>
    </row>
    <row r="3" spans="1:24" s="54" customFormat="1" ht="20.25" thickTop="1" thickBot="1">
      <c r="A3" s="550" t="s">
        <v>203</v>
      </c>
      <c r="B3" s="551"/>
      <c r="C3" s="551"/>
      <c r="D3" s="551"/>
      <c r="E3" s="551"/>
      <c r="F3" s="551"/>
      <c r="G3" s="551"/>
      <c r="H3" s="551"/>
      <c r="I3" s="551"/>
      <c r="J3" s="551"/>
      <c r="K3" s="551"/>
      <c r="L3" s="551"/>
      <c r="M3" s="551"/>
      <c r="N3" s="552"/>
      <c r="O3" s="175"/>
      <c r="P3" s="553" t="s">
        <v>230</v>
      </c>
      <c r="Q3" s="554"/>
      <c r="R3" s="554"/>
      <c r="S3" s="555"/>
      <c r="U3" s="174" t="s">
        <v>219</v>
      </c>
    </row>
    <row r="4" spans="1:24" s="57" customFormat="1" ht="15.75">
      <c r="A4" s="547" t="s">
        <v>200</v>
      </c>
      <c r="B4" s="544"/>
      <c r="C4" s="544"/>
      <c r="D4" s="548" t="str">
        <f>L1</f>
        <v>CASE NUMBER</v>
      </c>
      <c r="E4" s="549"/>
      <c r="F4" s="562" t="s">
        <v>24</v>
      </c>
      <c r="G4" s="542"/>
      <c r="H4" s="208"/>
      <c r="I4" s="539" t="s">
        <v>232</v>
      </c>
      <c r="J4" s="540"/>
      <c r="K4" s="542" t="s">
        <v>226</v>
      </c>
      <c r="L4" s="542"/>
      <c r="M4" s="542"/>
      <c r="N4" s="209">
        <v>390</v>
      </c>
      <c r="O4" s="56"/>
      <c r="P4" s="556" t="s">
        <v>205</v>
      </c>
      <c r="Q4" s="557"/>
      <c r="R4" s="557"/>
      <c r="S4" s="558"/>
      <c r="U4" s="172" t="s">
        <v>27</v>
      </c>
      <c r="V4" s="176">
        <f>SUMIF(G16:G43,"STATE",L16:L43)</f>
        <v>860.54000000000008</v>
      </c>
    </row>
    <row r="5" spans="1:24" s="57" customFormat="1" ht="15.75">
      <c r="A5" s="545" t="s">
        <v>3</v>
      </c>
      <c r="B5" s="546"/>
      <c r="C5" s="546"/>
      <c r="D5" s="566"/>
      <c r="E5" s="538"/>
      <c r="F5" s="565" t="s">
        <v>213</v>
      </c>
      <c r="G5" s="541"/>
      <c r="H5" s="185"/>
      <c r="I5" s="503" t="s">
        <v>234</v>
      </c>
      <c r="J5" s="504"/>
      <c r="K5" s="541" t="s">
        <v>19</v>
      </c>
      <c r="L5" s="541"/>
      <c r="M5" s="541"/>
      <c r="N5" s="58"/>
      <c r="O5" s="56"/>
      <c r="P5" s="559" t="s">
        <v>206</v>
      </c>
      <c r="Q5" s="560"/>
      <c r="R5" s="560"/>
      <c r="S5" s="561"/>
      <c r="U5" s="172" t="s">
        <v>28</v>
      </c>
      <c r="V5" s="176">
        <f>SUMIF(G16:G43,"COUNTY",L16:L43)</f>
        <v>1069.46</v>
      </c>
    </row>
    <row r="6" spans="1:24" s="57" customFormat="1" ht="16.5" thickBot="1">
      <c r="A6" s="545" t="s">
        <v>11</v>
      </c>
      <c r="B6" s="546"/>
      <c r="C6" s="546"/>
      <c r="D6" s="503"/>
      <c r="E6" s="538"/>
      <c r="F6" s="565" t="s">
        <v>17</v>
      </c>
      <c r="G6" s="541"/>
      <c r="H6" s="185"/>
      <c r="I6" s="503" t="s">
        <v>235</v>
      </c>
      <c r="J6" s="504"/>
      <c r="K6" s="527" t="s">
        <v>202</v>
      </c>
      <c r="L6" s="527"/>
      <c r="M6" s="527"/>
      <c r="N6" s="212">
        <f>N4+N5*10</f>
        <v>390</v>
      </c>
      <c r="O6" s="56"/>
      <c r="P6" s="593" t="s">
        <v>207</v>
      </c>
      <c r="Q6" s="594"/>
      <c r="R6" s="594"/>
      <c r="S6" s="595"/>
      <c r="U6" s="172" t="s">
        <v>48</v>
      </c>
      <c r="V6" s="176">
        <f>SUMIF(G16:G43,"CITY",L16:L43)</f>
        <v>0</v>
      </c>
    </row>
    <row r="7" spans="1:24" s="57" customFormat="1" ht="16.5" thickBot="1">
      <c r="A7" s="545" t="s">
        <v>4</v>
      </c>
      <c r="B7" s="546"/>
      <c r="C7" s="546"/>
      <c r="D7" s="503" t="s">
        <v>233</v>
      </c>
      <c r="E7" s="538"/>
      <c r="F7" s="518" t="s">
        <v>18</v>
      </c>
      <c r="G7" s="519"/>
      <c r="H7" s="186"/>
      <c r="I7" s="501"/>
      <c r="J7" s="502"/>
      <c r="K7" s="567"/>
      <c r="L7" s="568"/>
      <c r="M7" s="568"/>
      <c r="N7" s="213"/>
      <c r="O7" s="56"/>
      <c r="P7" s="596" t="s">
        <v>204</v>
      </c>
      <c r="Q7" s="597"/>
      <c r="R7" s="597"/>
      <c r="S7" s="598"/>
      <c r="U7" s="172" t="s">
        <v>199</v>
      </c>
      <c r="V7" s="176">
        <f>SUMIF(G16:G43,"COURT",L16:L43)</f>
        <v>0</v>
      </c>
    </row>
    <row r="8" spans="1:24" s="57" customFormat="1" ht="15.75">
      <c r="A8" s="573" t="s">
        <v>50</v>
      </c>
      <c r="B8" s="541"/>
      <c r="C8" s="541"/>
      <c r="D8" s="536">
        <v>1</v>
      </c>
      <c r="E8" s="537"/>
      <c r="F8" s="543" t="s">
        <v>222</v>
      </c>
      <c r="G8" s="544"/>
      <c r="H8" s="187"/>
      <c r="I8" s="569"/>
      <c r="J8" s="570"/>
      <c r="K8" s="544" t="s">
        <v>226</v>
      </c>
      <c r="L8" s="544"/>
      <c r="M8" s="544"/>
      <c r="N8" s="55">
        <v>0</v>
      </c>
      <c r="O8" s="56"/>
      <c r="P8" s="610" t="s">
        <v>224</v>
      </c>
      <c r="Q8" s="611"/>
      <c r="R8" s="611"/>
      <c r="S8" s="612"/>
      <c r="U8" s="194" t="s">
        <v>220</v>
      </c>
      <c r="V8" s="176">
        <f>SUMIF(G16:G43,"Crt OR Cty",L16:L43)</f>
        <v>10</v>
      </c>
    </row>
    <row r="9" spans="1:24" s="57" customFormat="1" ht="18" customHeight="1" thickBot="1">
      <c r="A9" s="572" t="s">
        <v>49</v>
      </c>
      <c r="B9" s="527"/>
      <c r="C9" s="527"/>
      <c r="D9" s="534">
        <f>100%-D8</f>
        <v>0</v>
      </c>
      <c r="E9" s="535"/>
      <c r="F9" s="565" t="s">
        <v>213</v>
      </c>
      <c r="G9" s="541"/>
      <c r="H9" s="185"/>
      <c r="I9" s="503"/>
      <c r="J9" s="504"/>
      <c r="K9" s="541" t="s">
        <v>19</v>
      </c>
      <c r="L9" s="541"/>
      <c r="M9" s="541"/>
      <c r="N9" s="58"/>
      <c r="P9" s="613"/>
      <c r="Q9" s="614"/>
      <c r="R9" s="614"/>
      <c r="S9" s="615"/>
      <c r="U9" s="173" t="s">
        <v>215</v>
      </c>
      <c r="V9" s="148">
        <f>SUM(V4:V8)</f>
        <v>1940</v>
      </c>
      <c r="W9" s="65"/>
    </row>
    <row r="10" spans="1:24" s="57" customFormat="1" ht="16.5" customHeight="1" thickBot="1">
      <c r="A10" s="495" t="s">
        <v>241</v>
      </c>
      <c r="B10" s="496"/>
      <c r="C10" s="496"/>
      <c r="D10" s="491">
        <f>N6+N10</f>
        <v>390</v>
      </c>
      <c r="E10" s="492"/>
      <c r="F10" s="565" t="s">
        <v>17</v>
      </c>
      <c r="G10" s="541"/>
      <c r="H10" s="185"/>
      <c r="I10" s="503"/>
      <c r="J10" s="504"/>
      <c r="K10" s="527" t="s">
        <v>202</v>
      </c>
      <c r="L10" s="527"/>
      <c r="M10" s="527"/>
      <c r="N10" s="212">
        <f>N8+N9*10</f>
        <v>0</v>
      </c>
      <c r="P10" s="607" t="s">
        <v>208</v>
      </c>
      <c r="Q10" s="608"/>
      <c r="R10" s="608"/>
      <c r="S10" s="609"/>
      <c r="V10" s="177">
        <f>V9-L45</f>
        <v>0</v>
      </c>
      <c r="W10" s="65"/>
    </row>
    <row r="11" spans="1:24" s="57" customFormat="1" ht="16.5" customHeight="1" thickBot="1">
      <c r="A11" s="493" t="s">
        <v>242</v>
      </c>
      <c r="B11" s="494"/>
      <c r="C11" s="494"/>
      <c r="D11" s="489">
        <f>ROUNDUP(D10/10,0)</f>
        <v>39</v>
      </c>
      <c r="E11" s="490"/>
      <c r="F11" s="518" t="s">
        <v>18</v>
      </c>
      <c r="G11" s="519"/>
      <c r="H11" s="186"/>
      <c r="I11" s="501"/>
      <c r="J11" s="502"/>
      <c r="K11" s="525"/>
      <c r="L11" s="526"/>
      <c r="M11" s="526"/>
      <c r="N11" s="214"/>
      <c r="P11" s="587" t="s">
        <v>214</v>
      </c>
      <c r="Q11" s="588"/>
      <c r="R11" s="588"/>
      <c r="S11" s="589"/>
      <c r="W11" s="65"/>
    </row>
    <row r="12" spans="1:24" s="57" customFormat="1" ht="15" customHeight="1" thickBot="1">
      <c r="A12" s="211"/>
      <c r="B12" s="211"/>
      <c r="C12" s="191"/>
      <c r="D12" s="191"/>
      <c r="E12" s="191"/>
      <c r="F12" s="66"/>
      <c r="G12" s="59"/>
      <c r="H12" s="60"/>
      <c r="I12" s="61"/>
      <c r="J12" s="61"/>
      <c r="K12" s="61"/>
      <c r="L12" s="61"/>
      <c r="M12" s="61"/>
      <c r="P12" s="62"/>
      <c r="Q12" s="56"/>
      <c r="R12" s="63"/>
      <c r="S12" s="64"/>
      <c r="W12" s="65"/>
    </row>
    <row r="13" spans="1:24" s="109" customFormat="1" ht="15.75" customHeight="1" thickBot="1">
      <c r="A13" s="192"/>
      <c r="B13" s="192"/>
      <c r="C13" s="192"/>
      <c r="D13" s="192"/>
      <c r="E13" s="192"/>
      <c r="F13" s="107"/>
      <c r="G13" s="108"/>
      <c r="I13" s="520" t="s">
        <v>197</v>
      </c>
      <c r="J13" s="521"/>
      <c r="K13" s="521"/>
      <c r="L13" s="522"/>
      <c r="M13" s="110"/>
      <c r="N13" s="590" t="s">
        <v>198</v>
      </c>
      <c r="O13" s="591"/>
      <c r="P13" s="592"/>
      <c r="Q13" s="111"/>
      <c r="R13" s="158"/>
      <c r="S13" s="159"/>
      <c r="T13" s="108"/>
      <c r="U13" s="108"/>
      <c r="V13" s="108"/>
      <c r="W13" s="108"/>
      <c r="X13" s="108"/>
    </row>
    <row r="14" spans="1:24" ht="44.25" customHeight="1" thickBot="1">
      <c r="A14" s="112">
        <v>0.02</v>
      </c>
      <c r="B14" s="112" t="s">
        <v>54</v>
      </c>
      <c r="C14" s="505" t="s">
        <v>195</v>
      </c>
      <c r="D14" s="506"/>
      <c r="E14" s="506"/>
      <c r="F14" s="507"/>
      <c r="G14" s="113" t="s">
        <v>218</v>
      </c>
      <c r="H14" s="114" t="s">
        <v>0</v>
      </c>
      <c r="I14" s="188" t="s">
        <v>216</v>
      </c>
      <c r="J14" s="120" t="s">
        <v>221</v>
      </c>
      <c r="K14" s="118" t="s">
        <v>5</v>
      </c>
      <c r="L14" s="119" t="s">
        <v>209</v>
      </c>
      <c r="M14" s="67"/>
      <c r="N14" s="601" t="s">
        <v>229</v>
      </c>
      <c r="O14" s="602"/>
      <c r="P14" s="120" t="s">
        <v>217</v>
      </c>
      <c r="Q14" s="121"/>
      <c r="R14" s="605" t="s">
        <v>225</v>
      </c>
      <c r="S14" s="603" t="s">
        <v>57</v>
      </c>
    </row>
    <row r="15" spans="1:24" ht="19.5" customHeight="1" thickBot="1">
      <c r="A15" s="115"/>
      <c r="B15" s="115"/>
      <c r="C15" s="508"/>
      <c r="D15" s="509"/>
      <c r="E15" s="509"/>
      <c r="F15" s="510"/>
      <c r="G15" s="116"/>
      <c r="H15" s="116"/>
      <c r="I15" s="117"/>
      <c r="J15" s="161">
        <f>J33/I33</f>
        <v>0.71794871794871795</v>
      </c>
      <c r="K15" s="563" t="s">
        <v>196</v>
      </c>
      <c r="L15" s="564"/>
      <c r="M15" s="68"/>
      <c r="N15" s="599"/>
      <c r="O15" s="600"/>
      <c r="P15" s="189"/>
      <c r="Q15" s="121"/>
      <c r="R15" s="606"/>
      <c r="S15" s="604"/>
    </row>
    <row r="16" spans="1:24" s="74" customFormat="1" ht="15.75" customHeight="1" thickTop="1">
      <c r="A16" s="69" t="s">
        <v>7</v>
      </c>
      <c r="B16" s="523" t="s">
        <v>210</v>
      </c>
      <c r="C16" s="571" t="s">
        <v>211</v>
      </c>
      <c r="D16" s="571"/>
      <c r="E16" s="571"/>
      <c r="F16" s="571"/>
      <c r="G16" s="70" t="s">
        <v>28</v>
      </c>
      <c r="H16" s="71" t="s">
        <v>13</v>
      </c>
      <c r="I16" s="154">
        <v>50</v>
      </c>
      <c r="J16" s="160">
        <f>I16</f>
        <v>50</v>
      </c>
      <c r="K16" s="162">
        <f>IF(A16="Y", IF($K$15="BASE-UP",I16*2%, IF($K$15="TOP-DOWN", J16*2%,0)),0)</f>
        <v>1</v>
      </c>
      <c r="L16" s="166">
        <f t="shared" ref="L16:L32" si="0">IF($K$15="BASE-UP", I16-K16, IF($K$15="TOP-DOWN", J16-K16,0))</f>
        <v>49</v>
      </c>
      <c r="M16" s="164"/>
      <c r="N16" s="616"/>
      <c r="O16" s="617"/>
      <c r="P16" s="190">
        <v>50</v>
      </c>
      <c r="Q16" s="72"/>
      <c r="R16" s="181">
        <f>P16-L16</f>
        <v>1</v>
      </c>
      <c r="S16" s="105"/>
      <c r="T16" s="125"/>
      <c r="U16" s="125"/>
      <c r="V16" s="125"/>
      <c r="W16" s="125"/>
      <c r="X16" s="125"/>
    </row>
    <row r="17" spans="1:24" s="74" customFormat="1" ht="15.75" customHeight="1">
      <c r="A17" s="69" t="s">
        <v>7</v>
      </c>
      <c r="B17" s="523"/>
      <c r="C17" s="517" t="s">
        <v>248</v>
      </c>
      <c r="D17" s="517"/>
      <c r="E17" s="517"/>
      <c r="F17" s="517"/>
      <c r="G17" s="76" t="s">
        <v>28</v>
      </c>
      <c r="H17" s="77" t="s">
        <v>13</v>
      </c>
      <c r="I17" s="156">
        <v>50</v>
      </c>
      <c r="J17" s="155">
        <f>I17</f>
        <v>50</v>
      </c>
      <c r="K17" s="162">
        <f t="shared" ref="K17:K42" si="1">IF(A17="Y", IF($K$15="BASE-UP",I17*2%, IF($K$15="TOP-DOWN", J17*2%,0)),0)</f>
        <v>1</v>
      </c>
      <c r="L17" s="167">
        <f t="shared" si="0"/>
        <v>49</v>
      </c>
      <c r="M17" s="164"/>
      <c r="N17" s="528"/>
      <c r="O17" s="529"/>
      <c r="P17" s="78"/>
      <c r="Q17" s="72"/>
      <c r="R17" s="182">
        <f t="shared" ref="R17:R43" si="2">P17-L17</f>
        <v>-49</v>
      </c>
      <c r="S17" s="73"/>
      <c r="T17" s="125"/>
      <c r="U17" s="125"/>
      <c r="V17" s="125"/>
      <c r="W17" s="125"/>
      <c r="X17" s="125"/>
    </row>
    <row r="18" spans="1:24" s="74" customFormat="1" ht="15.75" customHeight="1">
      <c r="A18" s="69" t="s">
        <v>7</v>
      </c>
      <c r="B18" s="523"/>
      <c r="C18" s="517" t="s">
        <v>212</v>
      </c>
      <c r="D18" s="517"/>
      <c r="E18" s="517"/>
      <c r="F18" s="517"/>
      <c r="G18" s="76" t="s">
        <v>27</v>
      </c>
      <c r="H18" s="77" t="s">
        <v>47</v>
      </c>
      <c r="I18" s="156">
        <v>20</v>
      </c>
      <c r="J18" s="155">
        <f>I18</f>
        <v>20</v>
      </c>
      <c r="K18" s="162">
        <f t="shared" si="1"/>
        <v>0.4</v>
      </c>
      <c r="L18" s="167">
        <f t="shared" si="0"/>
        <v>19.600000000000001</v>
      </c>
      <c r="M18" s="164"/>
      <c r="N18" s="528"/>
      <c r="O18" s="529"/>
      <c r="P18" s="78"/>
      <c r="Q18" s="72"/>
      <c r="R18" s="182">
        <f t="shared" si="2"/>
        <v>-19.600000000000001</v>
      </c>
      <c r="S18" s="73"/>
      <c r="T18" s="125"/>
      <c r="U18" s="125"/>
      <c r="V18" s="125"/>
      <c r="W18" s="125"/>
      <c r="X18" s="125"/>
    </row>
    <row r="19" spans="1:24" s="74" customFormat="1" ht="15.75" customHeight="1">
      <c r="A19" s="69" t="s">
        <v>7</v>
      </c>
      <c r="B19" s="523"/>
      <c r="C19" s="517" t="s">
        <v>181</v>
      </c>
      <c r="D19" s="517"/>
      <c r="E19" s="517"/>
      <c r="F19" s="517"/>
      <c r="G19" s="76" t="s">
        <v>28</v>
      </c>
      <c r="H19" s="77" t="s">
        <v>23</v>
      </c>
      <c r="I19" s="155">
        <f>(D10-SUM(I16:I18))*D8</f>
        <v>270</v>
      </c>
      <c r="J19" s="155">
        <f>((SUM(I16:I20)*J15)-SUM(J16:J18))*D8</f>
        <v>160</v>
      </c>
      <c r="K19" s="162">
        <f t="shared" si="1"/>
        <v>5.4</v>
      </c>
      <c r="L19" s="167">
        <f t="shared" si="0"/>
        <v>264.60000000000002</v>
      </c>
      <c r="M19" s="164"/>
      <c r="N19" s="528"/>
      <c r="O19" s="529"/>
      <c r="P19" s="78"/>
      <c r="Q19" s="72"/>
      <c r="R19" s="182">
        <f t="shared" si="2"/>
        <v>-264.60000000000002</v>
      </c>
      <c r="S19" s="73"/>
      <c r="T19" s="125"/>
      <c r="U19" s="125"/>
      <c r="V19" s="125"/>
      <c r="W19" s="125"/>
      <c r="X19" s="125"/>
    </row>
    <row r="20" spans="1:24" s="74" customFormat="1" ht="15.75" customHeight="1">
      <c r="A20" s="69" t="s">
        <v>7</v>
      </c>
      <c r="B20" s="524"/>
      <c r="C20" s="517" t="s">
        <v>182</v>
      </c>
      <c r="D20" s="517"/>
      <c r="E20" s="517"/>
      <c r="F20" s="517"/>
      <c r="G20" s="76" t="s">
        <v>48</v>
      </c>
      <c r="H20" s="77" t="s">
        <v>21</v>
      </c>
      <c r="I20" s="155">
        <f>(D10-SUM(I16:I18))*D9</f>
        <v>0</v>
      </c>
      <c r="J20" s="155">
        <f>((SUM(I16:I20)*J15)-SUM(J16:J18))*D9</f>
        <v>0</v>
      </c>
      <c r="K20" s="162">
        <f t="shared" si="1"/>
        <v>0</v>
      </c>
      <c r="L20" s="167">
        <f t="shared" si="0"/>
        <v>0</v>
      </c>
      <c r="M20" s="164"/>
      <c r="N20" s="528"/>
      <c r="O20" s="529"/>
      <c r="P20" s="78"/>
      <c r="Q20" s="72"/>
      <c r="R20" s="182">
        <f t="shared" si="2"/>
        <v>0</v>
      </c>
      <c r="S20" s="73"/>
      <c r="T20" s="125"/>
      <c r="U20" s="125"/>
      <c r="V20" s="125"/>
      <c r="W20" s="125"/>
      <c r="X20" s="125"/>
    </row>
    <row r="21" spans="1:24" s="74" customFormat="1" ht="15.75" customHeight="1">
      <c r="A21" s="69" t="s">
        <v>7</v>
      </c>
      <c r="B21" s="75">
        <v>7</v>
      </c>
      <c r="C21" s="517" t="s">
        <v>183</v>
      </c>
      <c r="D21" s="517"/>
      <c r="E21" s="517"/>
      <c r="F21" s="517"/>
      <c r="G21" s="76" t="s">
        <v>27</v>
      </c>
      <c r="H21" s="77" t="s">
        <v>22</v>
      </c>
      <c r="I21" s="155">
        <f>$D$11*B21</f>
        <v>273</v>
      </c>
      <c r="J21" s="155">
        <f>$J$15*I21</f>
        <v>196</v>
      </c>
      <c r="K21" s="162">
        <f t="shared" si="1"/>
        <v>5.46</v>
      </c>
      <c r="L21" s="167">
        <f t="shared" si="0"/>
        <v>267.54000000000002</v>
      </c>
      <c r="M21" s="164"/>
      <c r="N21" s="528"/>
      <c r="O21" s="529"/>
      <c r="P21" s="80"/>
      <c r="Q21" s="81"/>
      <c r="R21" s="182">
        <f t="shared" si="2"/>
        <v>-267.54000000000002</v>
      </c>
      <c r="S21" s="73"/>
      <c r="T21" s="125"/>
      <c r="U21" s="125"/>
      <c r="V21" s="125"/>
      <c r="W21" s="125"/>
      <c r="X21" s="125"/>
    </row>
    <row r="22" spans="1:24" s="74" customFormat="1" ht="15.75" customHeight="1">
      <c r="A22" s="69" t="s">
        <v>7</v>
      </c>
      <c r="B22" s="75">
        <v>3</v>
      </c>
      <c r="C22" s="528" t="s">
        <v>184</v>
      </c>
      <c r="D22" s="585"/>
      <c r="E22" s="585"/>
      <c r="F22" s="586"/>
      <c r="G22" s="76" t="s">
        <v>28</v>
      </c>
      <c r="H22" s="77" t="s">
        <v>23</v>
      </c>
      <c r="I22" s="155">
        <f t="shared" ref="I22:I31" si="3">$D$11*B22</f>
        <v>117</v>
      </c>
      <c r="J22" s="155">
        <f t="shared" ref="J22:J32" si="4">$J$15*I22</f>
        <v>84</v>
      </c>
      <c r="K22" s="162">
        <f t="shared" si="1"/>
        <v>2.34</v>
      </c>
      <c r="L22" s="167">
        <f t="shared" si="0"/>
        <v>114.66</v>
      </c>
      <c r="M22" s="164"/>
      <c r="N22" s="528"/>
      <c r="O22" s="529"/>
      <c r="P22" s="78"/>
      <c r="Q22" s="72"/>
      <c r="R22" s="182">
        <f t="shared" si="2"/>
        <v>-114.66</v>
      </c>
      <c r="S22" s="73"/>
      <c r="T22" s="125"/>
      <c r="U22" s="125"/>
      <c r="V22" s="125"/>
      <c r="W22" s="125"/>
      <c r="X22" s="125"/>
    </row>
    <row r="23" spans="1:24" s="74" customFormat="1" ht="15.75" customHeight="1">
      <c r="A23" s="69" t="s">
        <v>7</v>
      </c>
      <c r="B23" s="75">
        <v>1</v>
      </c>
      <c r="C23" s="528" t="s">
        <v>185</v>
      </c>
      <c r="D23" s="585"/>
      <c r="E23" s="585"/>
      <c r="F23" s="586"/>
      <c r="G23" s="76" t="s">
        <v>28</v>
      </c>
      <c r="H23" s="77" t="s">
        <v>51</v>
      </c>
      <c r="I23" s="155">
        <f t="shared" si="3"/>
        <v>39</v>
      </c>
      <c r="J23" s="155">
        <f t="shared" si="4"/>
        <v>28</v>
      </c>
      <c r="K23" s="162">
        <f t="shared" si="1"/>
        <v>0.78</v>
      </c>
      <c r="L23" s="167">
        <f t="shared" si="0"/>
        <v>38.22</v>
      </c>
      <c r="M23" s="164"/>
      <c r="N23" s="528"/>
      <c r="O23" s="529"/>
      <c r="P23" s="78"/>
      <c r="Q23" s="72"/>
      <c r="R23" s="182">
        <f t="shared" si="2"/>
        <v>-38.22</v>
      </c>
      <c r="S23" s="82"/>
      <c r="T23" s="125"/>
      <c r="U23" s="125"/>
      <c r="V23" s="125"/>
      <c r="W23" s="125"/>
      <c r="X23" s="125"/>
    </row>
    <row r="24" spans="1:24" s="74" customFormat="1" ht="15.75" customHeight="1">
      <c r="A24" s="69" t="s">
        <v>7</v>
      </c>
      <c r="B24" s="75">
        <v>3</v>
      </c>
      <c r="C24" s="528" t="s">
        <v>243</v>
      </c>
      <c r="D24" s="585"/>
      <c r="E24" s="585"/>
      <c r="F24" s="586"/>
      <c r="G24" s="76" t="s">
        <v>27</v>
      </c>
      <c r="H24" s="77" t="s">
        <v>65</v>
      </c>
      <c r="I24" s="155">
        <f t="shared" si="3"/>
        <v>117</v>
      </c>
      <c r="J24" s="155">
        <f t="shared" si="4"/>
        <v>84</v>
      </c>
      <c r="K24" s="162">
        <f t="shared" si="1"/>
        <v>2.34</v>
      </c>
      <c r="L24" s="167">
        <f t="shared" si="0"/>
        <v>114.66</v>
      </c>
      <c r="M24" s="164"/>
      <c r="N24" s="528"/>
      <c r="O24" s="529"/>
      <c r="P24" s="78"/>
      <c r="Q24" s="72"/>
      <c r="R24" s="182">
        <f t="shared" si="2"/>
        <v>-114.66</v>
      </c>
      <c r="S24" s="73"/>
      <c r="T24" s="125"/>
      <c r="U24" s="125"/>
      <c r="V24" s="125"/>
      <c r="W24" s="125"/>
      <c r="X24" s="125"/>
    </row>
    <row r="25" spans="1:24" s="74" customFormat="1" ht="15.75" customHeight="1">
      <c r="A25" s="69" t="s">
        <v>7</v>
      </c>
      <c r="B25" s="178">
        <v>2</v>
      </c>
      <c r="C25" s="517" t="s">
        <v>186</v>
      </c>
      <c r="D25" s="517"/>
      <c r="E25" s="511" t="str">
        <f>IF(SUM(B25:B28)=7,"GC 76000 PA ($7 for every 10) breakdown per local board of supervisor resolution (BOS).","ERROR! GC 76000 PA total is not $7. Check Court's board resolution.")</f>
        <v>GC 76000 PA ($7 for every 10) breakdown per local board of supervisor resolution (BOS).</v>
      </c>
      <c r="F25" s="512"/>
      <c r="G25" s="76" t="s">
        <v>28</v>
      </c>
      <c r="H25" s="77" t="s">
        <v>60</v>
      </c>
      <c r="I25" s="155">
        <f t="shared" si="3"/>
        <v>78</v>
      </c>
      <c r="J25" s="155">
        <f t="shared" si="4"/>
        <v>56</v>
      </c>
      <c r="K25" s="162">
        <f t="shared" si="1"/>
        <v>1.56</v>
      </c>
      <c r="L25" s="167">
        <f t="shared" si="0"/>
        <v>76.44</v>
      </c>
      <c r="M25" s="164"/>
      <c r="N25" s="528"/>
      <c r="O25" s="529"/>
      <c r="P25" s="78"/>
      <c r="Q25" s="72"/>
      <c r="R25" s="182">
        <f t="shared" si="2"/>
        <v>-76.44</v>
      </c>
      <c r="S25" s="82"/>
      <c r="T25" s="125"/>
      <c r="U25" s="125"/>
      <c r="V25" s="125"/>
      <c r="W25" s="125"/>
      <c r="X25" s="125"/>
    </row>
    <row r="26" spans="1:24" s="74" customFormat="1" ht="15.75" customHeight="1">
      <c r="A26" s="69" t="s">
        <v>7</v>
      </c>
      <c r="B26" s="178">
        <v>3</v>
      </c>
      <c r="C26" s="517" t="s">
        <v>187</v>
      </c>
      <c r="D26" s="517"/>
      <c r="E26" s="513"/>
      <c r="F26" s="514"/>
      <c r="G26" s="76" t="s">
        <v>28</v>
      </c>
      <c r="H26" s="77" t="s">
        <v>31</v>
      </c>
      <c r="I26" s="155">
        <f t="shared" si="3"/>
        <v>117</v>
      </c>
      <c r="J26" s="155">
        <f t="shared" si="4"/>
        <v>84</v>
      </c>
      <c r="K26" s="162">
        <f t="shared" si="1"/>
        <v>2.34</v>
      </c>
      <c r="L26" s="167">
        <f t="shared" si="0"/>
        <v>114.66</v>
      </c>
      <c r="M26" s="164"/>
      <c r="N26" s="528"/>
      <c r="O26" s="529"/>
      <c r="P26" s="78"/>
      <c r="Q26" s="72"/>
      <c r="R26" s="182">
        <f t="shared" si="2"/>
        <v>-114.66</v>
      </c>
      <c r="S26" s="82"/>
      <c r="T26" s="125"/>
      <c r="U26" s="125"/>
      <c r="V26" s="125"/>
      <c r="W26" s="125"/>
      <c r="X26" s="125"/>
    </row>
    <row r="27" spans="1:24" s="74" customFormat="1" ht="15.75" customHeight="1">
      <c r="A27" s="69" t="s">
        <v>7</v>
      </c>
      <c r="B27" s="178">
        <v>2</v>
      </c>
      <c r="C27" s="517" t="s">
        <v>188</v>
      </c>
      <c r="D27" s="517"/>
      <c r="E27" s="513"/>
      <c r="F27" s="514"/>
      <c r="G27" s="76" t="s">
        <v>28</v>
      </c>
      <c r="H27" s="77" t="s">
        <v>61</v>
      </c>
      <c r="I27" s="155">
        <f t="shared" si="3"/>
        <v>78</v>
      </c>
      <c r="J27" s="155">
        <f t="shared" si="4"/>
        <v>56</v>
      </c>
      <c r="K27" s="162">
        <f t="shared" si="1"/>
        <v>1.56</v>
      </c>
      <c r="L27" s="167">
        <f t="shared" si="0"/>
        <v>76.44</v>
      </c>
      <c r="M27" s="164"/>
      <c r="N27" s="528"/>
      <c r="O27" s="529"/>
      <c r="P27" s="78"/>
      <c r="Q27" s="72"/>
      <c r="R27" s="182">
        <f t="shared" si="2"/>
        <v>-76.44</v>
      </c>
      <c r="S27" s="82"/>
      <c r="T27" s="125"/>
      <c r="U27" s="125"/>
      <c r="V27" s="125"/>
      <c r="W27" s="125"/>
      <c r="X27" s="125"/>
    </row>
    <row r="28" spans="1:24" s="74" customFormat="1" ht="15.75" customHeight="1">
      <c r="A28" s="69" t="s">
        <v>7</v>
      </c>
      <c r="B28" s="178"/>
      <c r="C28" s="517" t="s">
        <v>223</v>
      </c>
      <c r="D28" s="517"/>
      <c r="E28" s="515"/>
      <c r="F28" s="516"/>
      <c r="G28" s="76" t="s">
        <v>28</v>
      </c>
      <c r="H28" s="77"/>
      <c r="I28" s="155">
        <f t="shared" si="3"/>
        <v>0</v>
      </c>
      <c r="J28" s="155">
        <f t="shared" si="4"/>
        <v>0</v>
      </c>
      <c r="K28" s="162">
        <f t="shared" si="1"/>
        <v>0</v>
      </c>
      <c r="L28" s="167">
        <f t="shared" si="0"/>
        <v>0</v>
      </c>
      <c r="M28" s="164"/>
      <c r="N28" s="528"/>
      <c r="O28" s="529"/>
      <c r="P28" s="78"/>
      <c r="Q28" s="72"/>
      <c r="R28" s="182">
        <f t="shared" si="2"/>
        <v>0</v>
      </c>
      <c r="S28" s="82"/>
      <c r="T28" s="125"/>
      <c r="U28" s="125"/>
      <c r="V28" s="125"/>
      <c r="W28" s="125"/>
      <c r="X28" s="125"/>
    </row>
    <row r="29" spans="1:24" s="85" customFormat="1" ht="15.75" customHeight="1">
      <c r="A29" s="69" t="s">
        <v>7</v>
      </c>
      <c r="B29" s="79">
        <v>2</v>
      </c>
      <c r="C29" s="499" t="s">
        <v>251</v>
      </c>
      <c r="D29" s="500"/>
      <c r="E29" s="500"/>
      <c r="F29" s="577"/>
      <c r="G29" s="83" t="s">
        <v>28</v>
      </c>
      <c r="H29" s="84" t="s">
        <v>32</v>
      </c>
      <c r="I29" s="155">
        <f t="shared" si="3"/>
        <v>78</v>
      </c>
      <c r="J29" s="155">
        <f t="shared" si="4"/>
        <v>56</v>
      </c>
      <c r="K29" s="162">
        <f t="shared" si="1"/>
        <v>1.56</v>
      </c>
      <c r="L29" s="167">
        <f t="shared" si="0"/>
        <v>76.44</v>
      </c>
      <c r="M29" s="164"/>
      <c r="N29" s="528"/>
      <c r="O29" s="529"/>
      <c r="P29" s="78"/>
      <c r="Q29" s="72"/>
      <c r="R29" s="182">
        <f>P29-L29</f>
        <v>-76.44</v>
      </c>
      <c r="S29" s="82"/>
      <c r="T29" s="127"/>
      <c r="U29" s="127"/>
      <c r="V29" s="127"/>
      <c r="W29" s="127"/>
      <c r="X29" s="127"/>
    </row>
    <row r="30" spans="1:24" s="74" customFormat="1" ht="15.75" customHeight="1">
      <c r="A30" s="69" t="s">
        <v>7</v>
      </c>
      <c r="B30" s="179">
        <f>5-B25</f>
        <v>3</v>
      </c>
      <c r="C30" s="499" t="s">
        <v>245</v>
      </c>
      <c r="D30" s="500"/>
      <c r="E30" s="500"/>
      <c r="F30" s="497" t="s">
        <v>246</v>
      </c>
      <c r="G30" s="83" t="s">
        <v>27</v>
      </c>
      <c r="H30" s="84" t="s">
        <v>33</v>
      </c>
      <c r="I30" s="155">
        <f t="shared" si="3"/>
        <v>117</v>
      </c>
      <c r="J30" s="155">
        <f t="shared" si="4"/>
        <v>84</v>
      </c>
      <c r="K30" s="162">
        <f t="shared" si="1"/>
        <v>2.34</v>
      </c>
      <c r="L30" s="167">
        <f t="shared" si="0"/>
        <v>114.66</v>
      </c>
      <c r="M30" s="164"/>
      <c r="N30" s="528"/>
      <c r="O30" s="529"/>
      <c r="P30" s="78"/>
      <c r="Q30" s="72"/>
      <c r="R30" s="182">
        <f t="shared" si="2"/>
        <v>-114.66</v>
      </c>
      <c r="S30" s="82"/>
      <c r="T30" s="125"/>
      <c r="U30" s="125"/>
      <c r="V30" s="125"/>
      <c r="W30" s="125"/>
      <c r="X30" s="125"/>
    </row>
    <row r="31" spans="1:24" s="74" customFormat="1" ht="15.75" customHeight="1">
      <c r="A31" s="69" t="s">
        <v>7</v>
      </c>
      <c r="B31" s="179">
        <f>B25</f>
        <v>2</v>
      </c>
      <c r="C31" s="499" t="s">
        <v>244</v>
      </c>
      <c r="D31" s="500"/>
      <c r="E31" s="500"/>
      <c r="F31" s="498"/>
      <c r="G31" s="83" t="s">
        <v>27</v>
      </c>
      <c r="H31" s="84" t="s">
        <v>166</v>
      </c>
      <c r="I31" s="155">
        <f t="shared" si="3"/>
        <v>78</v>
      </c>
      <c r="J31" s="155">
        <f t="shared" si="4"/>
        <v>56</v>
      </c>
      <c r="K31" s="162">
        <f t="shared" si="1"/>
        <v>1.56</v>
      </c>
      <c r="L31" s="167">
        <f t="shared" si="0"/>
        <v>76.44</v>
      </c>
      <c r="M31" s="164"/>
      <c r="N31" s="528"/>
      <c r="O31" s="529"/>
      <c r="P31" s="78"/>
      <c r="Q31" s="72"/>
      <c r="R31" s="182">
        <f t="shared" si="2"/>
        <v>-76.44</v>
      </c>
      <c r="S31" s="82"/>
      <c r="T31" s="125"/>
      <c r="U31" s="125"/>
      <c r="V31" s="125"/>
      <c r="W31" s="125"/>
      <c r="X31" s="125"/>
    </row>
    <row r="32" spans="1:24" s="85" customFormat="1" ht="15.75" customHeight="1">
      <c r="A32" s="69"/>
      <c r="B32" s="75"/>
      <c r="C32" s="499" t="s">
        <v>189</v>
      </c>
      <c r="D32" s="500"/>
      <c r="E32" s="500"/>
      <c r="F32" s="577"/>
      <c r="G32" s="83" t="s">
        <v>27</v>
      </c>
      <c r="H32" s="84" t="s">
        <v>9</v>
      </c>
      <c r="I32" s="155">
        <f>$D$10*20%</f>
        <v>78</v>
      </c>
      <c r="J32" s="155">
        <f t="shared" si="4"/>
        <v>56</v>
      </c>
      <c r="K32" s="162"/>
      <c r="L32" s="167">
        <f t="shared" si="0"/>
        <v>78</v>
      </c>
      <c r="M32" s="164"/>
      <c r="N32" s="528"/>
      <c r="O32" s="529"/>
      <c r="P32" s="78"/>
      <c r="Q32" s="72"/>
      <c r="R32" s="182">
        <f t="shared" si="2"/>
        <v>-78</v>
      </c>
      <c r="S32" s="82"/>
      <c r="T32" s="127"/>
      <c r="U32" s="127"/>
      <c r="V32" s="127"/>
      <c r="W32" s="127"/>
      <c r="X32" s="127"/>
    </row>
    <row r="33" spans="1:24" s="90" customFormat="1" ht="15.75" customHeight="1">
      <c r="A33" s="69"/>
      <c r="B33" s="86"/>
      <c r="C33" s="574" t="s">
        <v>190</v>
      </c>
      <c r="D33" s="575"/>
      <c r="E33" s="575"/>
      <c r="F33" s="576"/>
      <c r="G33" s="87"/>
      <c r="H33" s="88"/>
      <c r="I33" s="157">
        <f>SUM(I16:I32)</f>
        <v>1560</v>
      </c>
      <c r="J33" s="157">
        <f>J45-SUM(J34:J42)</f>
        <v>1120</v>
      </c>
      <c r="K33" s="162"/>
      <c r="L33" s="168">
        <f>SUM(L16:L32)</f>
        <v>1530.3600000000004</v>
      </c>
      <c r="M33" s="165"/>
      <c r="N33" s="499"/>
      <c r="O33" s="584"/>
      <c r="P33" s="184">
        <f>SUM(P16:P32)</f>
        <v>50</v>
      </c>
      <c r="Q33" s="122"/>
      <c r="R33" s="183">
        <f t="shared" si="2"/>
        <v>-1480.3600000000004</v>
      </c>
      <c r="S33" s="89"/>
      <c r="T33" s="143"/>
      <c r="U33" s="143"/>
      <c r="V33" s="143"/>
      <c r="W33" s="143"/>
      <c r="X33" s="143"/>
    </row>
    <row r="34" spans="1:24" s="85" customFormat="1" ht="15.75" customHeight="1">
      <c r="A34" s="69" t="s">
        <v>6</v>
      </c>
      <c r="B34" s="75"/>
      <c r="C34" s="499" t="s">
        <v>252</v>
      </c>
      <c r="D34" s="500"/>
      <c r="E34" s="500"/>
      <c r="F34" s="577"/>
      <c r="G34" s="83" t="s">
        <v>27</v>
      </c>
      <c r="H34" s="91" t="s">
        <v>35</v>
      </c>
      <c r="I34" s="204">
        <v>30</v>
      </c>
      <c r="J34" s="155">
        <f>I34</f>
        <v>30</v>
      </c>
      <c r="K34" s="162">
        <f t="shared" si="1"/>
        <v>0</v>
      </c>
      <c r="L34" s="167">
        <f t="shared" ref="L34:L42" si="5">IF($K$15="BASE-UP", I34-K34, IF($K$15="TOP-DOWN", J34-K34,0))</f>
        <v>30</v>
      </c>
      <c r="M34" s="164"/>
      <c r="N34" s="528"/>
      <c r="O34" s="529"/>
      <c r="P34" s="78"/>
      <c r="Q34" s="72"/>
      <c r="R34" s="182">
        <f t="shared" si="2"/>
        <v>-30</v>
      </c>
      <c r="S34" s="73"/>
      <c r="T34" s="127"/>
      <c r="U34" s="127"/>
      <c r="V34" s="127"/>
      <c r="W34" s="127"/>
      <c r="X34" s="127"/>
    </row>
    <row r="35" spans="1:24" s="85" customFormat="1" ht="15.75" customHeight="1">
      <c r="A35" s="69" t="s">
        <v>6</v>
      </c>
      <c r="B35" s="75"/>
      <c r="C35" s="578" t="s">
        <v>228</v>
      </c>
      <c r="D35" s="579"/>
      <c r="E35" s="579"/>
      <c r="F35" s="580"/>
      <c r="G35" s="153" t="s">
        <v>27</v>
      </c>
      <c r="H35" s="92" t="s">
        <v>166</v>
      </c>
      <c r="I35" s="204">
        <v>30</v>
      </c>
      <c r="J35" s="155">
        <f t="shared" ref="J35:J42" si="6">I35</f>
        <v>30</v>
      </c>
      <c r="K35" s="162">
        <f t="shared" si="1"/>
        <v>0</v>
      </c>
      <c r="L35" s="167">
        <f t="shared" si="5"/>
        <v>30</v>
      </c>
      <c r="M35" s="164"/>
      <c r="N35" s="528"/>
      <c r="O35" s="529"/>
      <c r="P35" s="78"/>
      <c r="Q35" s="72"/>
      <c r="R35" s="182">
        <f t="shared" si="2"/>
        <v>-30</v>
      </c>
      <c r="S35" s="73"/>
      <c r="T35" s="127"/>
      <c r="U35" s="127"/>
      <c r="V35" s="127"/>
      <c r="W35" s="127"/>
      <c r="X35" s="127"/>
    </row>
    <row r="36" spans="1:24" s="74" customFormat="1" ht="15.75" customHeight="1">
      <c r="A36" s="69" t="s">
        <v>6</v>
      </c>
      <c r="B36" s="94"/>
      <c r="C36" s="578" t="s">
        <v>201</v>
      </c>
      <c r="D36" s="579"/>
      <c r="E36" s="579"/>
      <c r="F36" s="580"/>
      <c r="G36" s="153" t="s">
        <v>220</v>
      </c>
      <c r="H36" s="92" t="s">
        <v>20</v>
      </c>
      <c r="I36" s="204">
        <v>10</v>
      </c>
      <c r="J36" s="155">
        <f t="shared" si="6"/>
        <v>10</v>
      </c>
      <c r="K36" s="162">
        <f t="shared" si="1"/>
        <v>0</v>
      </c>
      <c r="L36" s="167">
        <f t="shared" si="5"/>
        <v>10</v>
      </c>
      <c r="M36" s="164"/>
      <c r="N36" s="528"/>
      <c r="O36" s="529"/>
      <c r="P36" s="78"/>
      <c r="Q36" s="72"/>
      <c r="R36" s="182">
        <f t="shared" si="2"/>
        <v>-10</v>
      </c>
      <c r="S36" s="77"/>
      <c r="T36" s="125"/>
      <c r="U36" s="125"/>
      <c r="V36" s="125"/>
      <c r="W36" s="125"/>
      <c r="X36" s="125"/>
    </row>
    <row r="37" spans="1:24" s="74" customFormat="1" ht="15.75" customHeight="1">
      <c r="A37" s="69" t="s">
        <v>6</v>
      </c>
      <c r="B37" s="94"/>
      <c r="C37" s="578" t="s">
        <v>191</v>
      </c>
      <c r="D37" s="579"/>
      <c r="E37" s="579"/>
      <c r="F37" s="580"/>
      <c r="G37" s="153" t="s">
        <v>28</v>
      </c>
      <c r="H37" s="92" t="s">
        <v>14</v>
      </c>
      <c r="I37" s="204">
        <v>50</v>
      </c>
      <c r="J37" s="155">
        <f t="shared" si="6"/>
        <v>50</v>
      </c>
      <c r="K37" s="162">
        <f t="shared" si="1"/>
        <v>0</v>
      </c>
      <c r="L37" s="167">
        <f t="shared" si="5"/>
        <v>50</v>
      </c>
      <c r="M37" s="164"/>
      <c r="N37" s="528"/>
      <c r="O37" s="529"/>
      <c r="P37" s="78"/>
      <c r="Q37" s="72"/>
      <c r="R37" s="182">
        <f t="shared" si="2"/>
        <v>-50</v>
      </c>
      <c r="S37" s="77"/>
      <c r="T37" s="125"/>
      <c r="U37" s="125"/>
      <c r="V37" s="125"/>
      <c r="W37" s="125"/>
      <c r="X37" s="125"/>
    </row>
    <row r="38" spans="1:24" s="74" customFormat="1" ht="15.75" customHeight="1">
      <c r="A38" s="69" t="s">
        <v>6</v>
      </c>
      <c r="B38" s="94"/>
      <c r="C38" s="578" t="s">
        <v>249</v>
      </c>
      <c r="D38" s="579"/>
      <c r="E38" s="579"/>
      <c r="F38" s="580"/>
      <c r="G38" s="153" t="s">
        <v>28</v>
      </c>
      <c r="H38" s="92" t="s">
        <v>23</v>
      </c>
      <c r="I38" s="204">
        <v>150</v>
      </c>
      <c r="J38" s="155">
        <f t="shared" si="6"/>
        <v>150</v>
      </c>
      <c r="K38" s="162">
        <f t="shared" si="1"/>
        <v>0</v>
      </c>
      <c r="L38" s="167">
        <f t="shared" si="5"/>
        <v>150</v>
      </c>
      <c r="M38" s="164"/>
      <c r="N38" s="528"/>
      <c r="O38" s="529"/>
      <c r="P38" s="78"/>
      <c r="Q38" s="72"/>
      <c r="R38" s="182">
        <f t="shared" si="2"/>
        <v>-150</v>
      </c>
      <c r="S38" s="77"/>
      <c r="T38" s="125"/>
      <c r="U38" s="125"/>
      <c r="V38" s="125"/>
      <c r="W38" s="125"/>
      <c r="X38" s="125"/>
    </row>
    <row r="39" spans="1:24" s="74" customFormat="1" ht="15.75" customHeight="1">
      <c r="A39" s="69" t="s">
        <v>7</v>
      </c>
      <c r="B39" s="94"/>
      <c r="C39" s="578" t="s">
        <v>192</v>
      </c>
      <c r="D39" s="579"/>
      <c r="E39" s="579"/>
      <c r="F39" s="580"/>
      <c r="G39" s="153" t="s">
        <v>27</v>
      </c>
      <c r="H39" s="92" t="s">
        <v>12</v>
      </c>
      <c r="I39" s="204">
        <v>100</v>
      </c>
      <c r="J39" s="155">
        <f t="shared" si="6"/>
        <v>100</v>
      </c>
      <c r="K39" s="162">
        <f t="shared" si="1"/>
        <v>2</v>
      </c>
      <c r="L39" s="167">
        <f t="shared" si="5"/>
        <v>98</v>
      </c>
      <c r="M39" s="164"/>
      <c r="N39" s="528"/>
      <c r="O39" s="529"/>
      <c r="P39" s="78"/>
      <c r="Q39" s="72"/>
      <c r="R39" s="182">
        <f t="shared" si="2"/>
        <v>-98</v>
      </c>
      <c r="S39" s="77"/>
      <c r="T39" s="125"/>
      <c r="U39" s="125"/>
      <c r="V39" s="125"/>
      <c r="W39" s="125"/>
      <c r="X39" s="125"/>
    </row>
    <row r="40" spans="1:24" s="74" customFormat="1" ht="15.75" customHeight="1">
      <c r="A40" s="69" t="s">
        <v>6</v>
      </c>
      <c r="B40" s="94"/>
      <c r="C40" s="578" t="s">
        <v>231</v>
      </c>
      <c r="D40" s="579"/>
      <c r="E40" s="579"/>
      <c r="F40" s="580"/>
      <c r="G40" s="153" t="s">
        <v>28</v>
      </c>
      <c r="H40" s="92" t="s">
        <v>23</v>
      </c>
      <c r="I40" s="204">
        <v>10</v>
      </c>
      <c r="J40" s="155">
        <f t="shared" si="6"/>
        <v>10</v>
      </c>
      <c r="K40" s="162">
        <f t="shared" si="1"/>
        <v>0</v>
      </c>
      <c r="L40" s="167">
        <f t="shared" si="5"/>
        <v>10</v>
      </c>
      <c r="M40" s="164"/>
      <c r="N40" s="528"/>
      <c r="O40" s="529"/>
      <c r="P40" s="78"/>
      <c r="Q40" s="72"/>
      <c r="R40" s="182">
        <f t="shared" si="2"/>
        <v>-10</v>
      </c>
      <c r="S40" s="77"/>
      <c r="T40" s="125"/>
      <c r="U40" s="125"/>
      <c r="V40" s="125"/>
      <c r="W40" s="125"/>
      <c r="X40" s="125"/>
    </row>
    <row r="41" spans="1:24" s="74" customFormat="1" ht="15.75" customHeight="1">
      <c r="A41" s="69" t="s">
        <v>6</v>
      </c>
      <c r="B41" s="94"/>
      <c r="C41" s="578" t="s">
        <v>250</v>
      </c>
      <c r="D41" s="579"/>
      <c r="E41" s="579"/>
      <c r="F41" s="580"/>
      <c r="G41" s="153" t="s">
        <v>199</v>
      </c>
      <c r="H41" s="92" t="s">
        <v>73</v>
      </c>
      <c r="I41" s="204">
        <v>0</v>
      </c>
      <c r="J41" s="155">
        <f t="shared" si="6"/>
        <v>0</v>
      </c>
      <c r="K41" s="162">
        <f t="shared" si="1"/>
        <v>0</v>
      </c>
      <c r="L41" s="167">
        <f t="shared" si="5"/>
        <v>0</v>
      </c>
      <c r="M41" s="164"/>
      <c r="N41" s="528"/>
      <c r="O41" s="529"/>
      <c r="P41" s="78"/>
      <c r="Q41" s="72"/>
      <c r="R41" s="182">
        <f t="shared" si="2"/>
        <v>0</v>
      </c>
      <c r="S41" s="77"/>
      <c r="T41" s="125"/>
      <c r="U41" s="125"/>
      <c r="V41" s="125"/>
      <c r="W41" s="125"/>
      <c r="X41" s="125"/>
    </row>
    <row r="42" spans="1:24" s="74" customFormat="1" ht="15.75" customHeight="1">
      <c r="A42" s="69" t="s">
        <v>6</v>
      </c>
      <c r="B42" s="94"/>
      <c r="C42" s="578" t="s">
        <v>194</v>
      </c>
      <c r="D42" s="579"/>
      <c r="E42" s="579"/>
      <c r="F42" s="580"/>
      <c r="G42" s="153" t="s">
        <v>27</v>
      </c>
      <c r="H42" s="92" t="s">
        <v>71</v>
      </c>
      <c r="I42" s="205"/>
      <c r="J42" s="155">
        <f t="shared" si="6"/>
        <v>0</v>
      </c>
      <c r="K42" s="162">
        <f t="shared" si="1"/>
        <v>0</v>
      </c>
      <c r="L42" s="167">
        <f t="shared" si="5"/>
        <v>0</v>
      </c>
      <c r="M42" s="164"/>
      <c r="N42" s="528"/>
      <c r="O42" s="529"/>
      <c r="P42" s="78"/>
      <c r="Q42" s="72"/>
      <c r="R42" s="182">
        <f t="shared" si="2"/>
        <v>0</v>
      </c>
      <c r="S42" s="77"/>
      <c r="T42" s="125"/>
      <c r="U42" s="125"/>
      <c r="V42" s="125"/>
      <c r="W42" s="125"/>
      <c r="X42" s="125"/>
    </row>
    <row r="43" spans="1:24" s="74" customFormat="1" ht="15.75" customHeight="1">
      <c r="A43" s="93" t="s">
        <v>6</v>
      </c>
      <c r="B43" s="94"/>
      <c r="C43" s="581" t="s">
        <v>193</v>
      </c>
      <c r="D43" s="582"/>
      <c r="E43" s="582"/>
      <c r="F43" s="583"/>
      <c r="G43" s="95" t="s">
        <v>27</v>
      </c>
      <c r="H43" s="96" t="s">
        <v>37</v>
      </c>
      <c r="I43" s="97"/>
      <c r="J43" s="104"/>
      <c r="K43" s="163"/>
      <c r="L43" s="169">
        <f>K44</f>
        <v>31.639999999999997</v>
      </c>
      <c r="M43" s="164"/>
      <c r="N43" s="528"/>
      <c r="O43" s="529"/>
      <c r="P43" s="78"/>
      <c r="Q43" s="72"/>
      <c r="R43" s="182">
        <f t="shared" si="2"/>
        <v>-31.639999999999997</v>
      </c>
      <c r="S43" s="77"/>
      <c r="T43" s="125"/>
      <c r="U43" s="125"/>
      <c r="V43" s="125"/>
      <c r="W43" s="125"/>
      <c r="X43" s="125"/>
    </row>
    <row r="44" spans="1:24" s="125" customFormat="1" ht="15">
      <c r="A44" s="123"/>
      <c r="B44" s="123"/>
      <c r="C44" s="123"/>
      <c r="D44" s="123"/>
      <c r="E44" s="124"/>
      <c r="F44" s="124"/>
      <c r="K44" s="126">
        <f>SUM(K16:K43)</f>
        <v>31.639999999999997</v>
      </c>
      <c r="L44" s="170"/>
      <c r="M44" s="127"/>
      <c r="P44" s="128"/>
      <c r="Q44" s="129"/>
      <c r="R44" s="180"/>
      <c r="S44" s="130"/>
    </row>
    <row r="45" spans="1:24" s="106" customFormat="1" ht="16.5" thickBot="1">
      <c r="A45" s="144"/>
      <c r="B45" s="144"/>
      <c r="C45" s="144"/>
      <c r="D45" s="144"/>
      <c r="E45" s="131"/>
      <c r="F45" s="145" t="s">
        <v>72</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c r="A46" s="487" t="s">
        <v>57</v>
      </c>
      <c r="B46" s="487"/>
      <c r="C46" s="487"/>
      <c r="D46" s="210"/>
      <c r="E46" s="133"/>
      <c r="F46" s="133"/>
      <c r="J46" s="134"/>
      <c r="L46" s="135"/>
      <c r="M46" s="136"/>
      <c r="Q46" s="137"/>
      <c r="R46" s="138"/>
      <c r="S46" s="139"/>
    </row>
    <row r="47" spans="1:24" s="141" customFormat="1" ht="18" customHeight="1">
      <c r="A47" s="140">
        <v>1</v>
      </c>
      <c r="B47" s="488"/>
      <c r="C47" s="488"/>
      <c r="D47" s="488"/>
      <c r="E47" s="488"/>
      <c r="F47" s="488"/>
      <c r="G47" s="488"/>
      <c r="H47" s="488"/>
      <c r="I47" s="488"/>
      <c r="J47" s="488"/>
      <c r="K47" s="488"/>
      <c r="L47" s="488"/>
      <c r="M47" s="488"/>
      <c r="N47" s="488"/>
      <c r="O47" s="488"/>
      <c r="P47" s="488"/>
      <c r="Q47" s="488"/>
      <c r="R47" s="488"/>
      <c r="S47" s="488"/>
    </row>
    <row r="48" spans="1:24" s="141" customFormat="1" ht="18" customHeight="1">
      <c r="A48" s="140">
        <v>2</v>
      </c>
      <c r="B48" s="488"/>
      <c r="C48" s="488"/>
      <c r="D48" s="488"/>
      <c r="E48" s="488"/>
      <c r="F48" s="488"/>
      <c r="G48" s="488"/>
      <c r="H48" s="488"/>
      <c r="I48" s="488"/>
      <c r="J48" s="488"/>
      <c r="K48" s="488"/>
      <c r="L48" s="488"/>
      <c r="M48" s="488"/>
      <c r="N48" s="488"/>
      <c r="O48" s="488"/>
      <c r="P48" s="488"/>
      <c r="Q48" s="488"/>
      <c r="R48" s="488"/>
      <c r="S48" s="488"/>
    </row>
    <row r="49" spans="1:19" s="141" customFormat="1" ht="18" customHeight="1">
      <c r="A49" s="140">
        <v>3</v>
      </c>
      <c r="B49" s="488"/>
      <c r="C49" s="488"/>
      <c r="D49" s="488"/>
      <c r="E49" s="488"/>
      <c r="F49" s="488"/>
      <c r="G49" s="488"/>
      <c r="H49" s="488"/>
      <c r="I49" s="488"/>
      <c r="J49" s="488"/>
      <c r="K49" s="488"/>
      <c r="L49" s="488"/>
      <c r="M49" s="488"/>
      <c r="N49" s="488"/>
      <c r="O49" s="488"/>
      <c r="P49" s="488"/>
      <c r="Q49" s="488"/>
      <c r="R49" s="488"/>
      <c r="S49" s="488"/>
    </row>
    <row r="50" spans="1:19" s="54" customFormat="1">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47" priority="11" stopIfTrue="1" operator="equal">
      <formula>0</formula>
    </cfRule>
  </conditionalFormatting>
  <conditionalFormatting sqref="H16:H24 H29:H32">
    <cfRule type="expression" dxfId="46" priority="12" stopIfTrue="1">
      <formula>MOD(ROW(),2)=0</formula>
    </cfRule>
  </conditionalFormatting>
  <conditionalFormatting sqref="R50:R65536 R46 R12:R13">
    <cfRule type="cellIs" dxfId="45" priority="13" stopIfTrue="1" operator="notEqual">
      <formula>0</formula>
    </cfRule>
  </conditionalFormatting>
  <conditionalFormatting sqref="H25:H29">
    <cfRule type="expression" dxfId="44" priority="14" stopIfTrue="1">
      <formula>MOD(ROW(), 2)=0</formula>
    </cfRule>
  </conditionalFormatting>
  <conditionalFormatting sqref="I16:I18">
    <cfRule type="cellIs" dxfId="43" priority="15" stopIfTrue="1" operator="equal">
      <formula>0</formula>
    </cfRule>
  </conditionalFormatting>
  <conditionalFormatting sqref="E25">
    <cfRule type="cellIs" dxfId="42"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64" orientation="landscape" r:id="rId2"/>
  <headerFooter alignWithMargins="0">
    <oddHeader>&amp;CSUPERIOR OF COURT OF _________ COUNTY
Revenue Calculation and Distribution Worksheet</oddHeader>
    <oddFooter>&amp;L&amp;F&amp;R&amp;P of &amp;N</oddFooter>
  </headerFooter>
  <legacyDrawing r:id="rId3"/>
</worksheet>
</file>

<file path=xl/worksheets/sheet16.xml><?xml version="1.0" encoding="utf-8"?>
<worksheet xmlns="http://schemas.openxmlformats.org/spreadsheetml/2006/main" xmlns:r="http://schemas.openxmlformats.org/officeDocument/2006/relationships">
  <sheetPr codeName="Sheet36">
    <tabColor theme="6"/>
    <pageSetUpPr fitToPage="1"/>
  </sheetPr>
  <dimension ref="A1:AA52"/>
  <sheetViews>
    <sheetView tabSelected="1" zoomScale="80" zoomScaleNormal="80" workbookViewId="0">
      <pane ySplit="1" topLeftCell="A2" activePane="bottomLeft" state="frozen"/>
      <selection activeCell="C25" sqref="C25:D25"/>
      <selection pane="bottomLeft" sqref="A1:J1"/>
    </sheetView>
  </sheetViews>
  <sheetFormatPr defaultRowHeight="18.75"/>
  <cols>
    <col min="1" max="1" width="4.28515625" style="98" customWidth="1"/>
    <col min="2" max="2" width="4.7109375" style="98" customWidth="1"/>
    <col min="3" max="3" width="14.140625" style="98" customWidth="1"/>
    <col min="4" max="4" width="13.28515625" style="98" customWidth="1"/>
    <col min="5" max="5" width="10.42578125" style="99" customWidth="1"/>
    <col min="6" max="6" width="18.140625" style="133" customWidth="1"/>
    <col min="7" max="7" width="9.140625" style="50" customWidth="1"/>
    <col min="8" max="8" width="29.42578125" style="50" hidden="1" customWidth="1"/>
    <col min="9" max="9" width="11" style="50" customWidth="1"/>
    <col min="10" max="10" width="10.140625" style="50" customWidth="1"/>
    <col min="11" max="11" width="10.7109375" style="50" hidden="1" customWidth="1"/>
    <col min="12" max="12" width="14" style="103" customWidth="1"/>
    <col min="13" max="13" width="1.7109375" style="100" customWidth="1"/>
    <col min="14" max="14" width="14" style="50" customWidth="1"/>
    <col min="15" max="15" width="1.5703125" style="50" customWidth="1"/>
    <col min="16" max="16" width="14.28515625" style="50" customWidth="1"/>
    <col min="17" max="17" width="1.7109375" style="100" customWidth="1"/>
    <col min="18" max="18" width="13.5703125" style="100" customWidth="1"/>
    <col min="19" max="19" width="1.28515625" style="137" customWidth="1"/>
    <col min="20" max="20" width="11.42578125" style="101" customWidth="1"/>
    <col min="21" max="21" width="5.28515625" style="101" customWidth="1"/>
    <col min="22" max="22" width="18" style="102" customWidth="1"/>
    <col min="23" max="23" width="2.140625" style="54" customWidth="1"/>
    <col min="24" max="24" width="11.5703125" style="54" customWidth="1"/>
    <col min="25" max="26" width="9.7109375" style="54" customWidth="1"/>
    <col min="27" max="27" width="9.140625" style="54"/>
    <col min="28" max="16384" width="9.140625" style="50"/>
  </cols>
  <sheetData>
    <row r="1" spans="1:27" ht="20.25" customHeight="1" thickBot="1">
      <c r="A1" s="532" t="s">
        <v>280</v>
      </c>
      <c r="B1" s="533"/>
      <c r="C1" s="533"/>
      <c r="D1" s="533"/>
      <c r="E1" s="533"/>
      <c r="F1" s="533"/>
      <c r="G1" s="533"/>
      <c r="H1" s="533"/>
      <c r="I1" s="533"/>
      <c r="J1" s="533"/>
      <c r="K1" s="354"/>
      <c r="L1" s="530"/>
      <c r="M1" s="530"/>
      <c r="N1" s="530"/>
      <c r="O1" s="530"/>
      <c r="P1" s="530"/>
      <c r="Q1" s="530"/>
      <c r="R1" s="530"/>
      <c r="S1" s="530"/>
      <c r="T1" s="530"/>
      <c r="U1" s="357" t="s">
        <v>365</v>
      </c>
      <c r="V1" s="375" t="str">
        <f>'Cover Page'!A3</f>
        <v>January 2014</v>
      </c>
    </row>
    <row r="2" spans="1:27" s="54" customFormat="1" ht="11.25" customHeight="1" thickBot="1">
      <c r="A2" s="51"/>
      <c r="B2" s="51"/>
      <c r="C2" s="51"/>
      <c r="D2" s="51"/>
      <c r="E2" s="51"/>
      <c r="F2" s="51"/>
      <c r="G2" s="51"/>
      <c r="H2" s="51"/>
      <c r="I2" s="51"/>
      <c r="J2" s="51"/>
      <c r="K2" s="52"/>
      <c r="L2" s="52"/>
      <c r="M2" s="52"/>
      <c r="N2" s="52"/>
      <c r="O2" s="52"/>
      <c r="P2" s="53"/>
      <c r="Q2" s="53"/>
      <c r="R2" s="53"/>
      <c r="S2" s="53"/>
      <c r="T2" s="53"/>
      <c r="U2" s="53"/>
      <c r="V2" s="53"/>
    </row>
    <row r="3" spans="1:27" s="54" customFormat="1" ht="20.25" thickTop="1" thickBot="1">
      <c r="A3" s="395" t="s">
        <v>203</v>
      </c>
      <c r="B3" s="396"/>
      <c r="C3" s="396"/>
      <c r="D3" s="396"/>
      <c r="E3" s="396"/>
      <c r="F3" s="396"/>
      <c r="G3" s="396"/>
      <c r="H3" s="396"/>
      <c r="I3" s="396"/>
      <c r="J3" s="396"/>
      <c r="K3" s="396"/>
      <c r="L3" s="677"/>
      <c r="M3" s="678"/>
      <c r="N3" s="400"/>
      <c r="O3" s="175"/>
      <c r="P3" s="553" t="s">
        <v>230</v>
      </c>
      <c r="Q3" s="554"/>
      <c r="R3" s="554"/>
      <c r="S3" s="554"/>
      <c r="T3" s="554"/>
      <c r="U3" s="554"/>
      <c r="V3" s="555"/>
      <c r="X3" s="174" t="s">
        <v>219</v>
      </c>
      <c r="Y3" s="132"/>
    </row>
    <row r="4" spans="1:27" s="57" customFormat="1" ht="15.75">
      <c r="A4" s="542" t="s">
        <v>200</v>
      </c>
      <c r="B4" s="542"/>
      <c r="C4" s="542"/>
      <c r="D4" s="621">
        <f>K1</f>
        <v>0</v>
      </c>
      <c r="E4" s="622"/>
      <c r="F4" s="623" t="s">
        <v>24</v>
      </c>
      <c r="G4" s="562"/>
      <c r="H4" s="208"/>
      <c r="I4" s="569"/>
      <c r="J4" s="570"/>
      <c r="K4" s="627" t="s">
        <v>226</v>
      </c>
      <c r="L4" s="627"/>
      <c r="M4" s="562"/>
      <c r="N4" s="209">
        <v>0</v>
      </c>
      <c r="O4" s="56"/>
      <c r="P4" s="556" t="s">
        <v>205</v>
      </c>
      <c r="Q4" s="557"/>
      <c r="R4" s="557"/>
      <c r="S4" s="557"/>
      <c r="T4" s="557"/>
      <c r="U4" s="557"/>
      <c r="V4" s="558"/>
      <c r="X4" s="264" t="s">
        <v>272</v>
      </c>
      <c r="Y4" s="265" t="s">
        <v>273</v>
      </c>
      <c r="Z4" s="265" t="s">
        <v>274</v>
      </c>
    </row>
    <row r="5" spans="1:27" s="57" customFormat="1" ht="15.75">
      <c r="A5" s="546" t="s">
        <v>3</v>
      </c>
      <c r="B5" s="546"/>
      <c r="C5" s="546"/>
      <c r="D5" s="566"/>
      <c r="E5" s="538"/>
      <c r="F5" s="628" t="s">
        <v>213</v>
      </c>
      <c r="G5" s="565"/>
      <c r="H5" s="185"/>
      <c r="I5" s="503"/>
      <c r="J5" s="504"/>
      <c r="K5" s="629" t="s">
        <v>19</v>
      </c>
      <c r="L5" s="629"/>
      <c r="M5" s="565"/>
      <c r="N5" s="58"/>
      <c r="O5" s="56"/>
      <c r="P5" s="630" t="s">
        <v>266</v>
      </c>
      <c r="Q5" s="631"/>
      <c r="R5" s="631"/>
      <c r="S5" s="631"/>
      <c r="T5" s="631"/>
      <c r="U5" s="631"/>
      <c r="V5" s="632"/>
      <c r="X5" s="172" t="s">
        <v>27</v>
      </c>
      <c r="Y5" s="176">
        <f>SUMIF($G$17:$G$44,"STATE",$L$17:$L$44)</f>
        <v>62.99</v>
      </c>
      <c r="Z5" s="176">
        <f>SUMIF($G$17:$G$44,"STATE",$R$17:$R$44)</f>
        <v>0</v>
      </c>
    </row>
    <row r="6" spans="1:27" s="57" customFormat="1" ht="16.5" thickBot="1">
      <c r="A6" s="546" t="s">
        <v>11</v>
      </c>
      <c r="B6" s="546"/>
      <c r="C6" s="546"/>
      <c r="D6" s="566"/>
      <c r="E6" s="639"/>
      <c r="F6" s="628" t="s">
        <v>17</v>
      </c>
      <c r="G6" s="565"/>
      <c r="H6" s="185"/>
      <c r="I6" s="503" t="s">
        <v>281</v>
      </c>
      <c r="J6" s="504"/>
      <c r="K6" s="640" t="s">
        <v>202</v>
      </c>
      <c r="L6" s="640"/>
      <c r="M6" s="641"/>
      <c r="N6" s="212">
        <f>N4+N5*10</f>
        <v>0</v>
      </c>
      <c r="O6" s="56"/>
      <c r="P6" s="624" t="s">
        <v>415</v>
      </c>
      <c r="Q6" s="625"/>
      <c r="R6" s="625"/>
      <c r="S6" s="625"/>
      <c r="T6" s="625"/>
      <c r="U6" s="625"/>
      <c r="V6" s="626"/>
      <c r="X6" s="172" t="s">
        <v>28</v>
      </c>
      <c r="Y6" s="176">
        <f>SUMIF($G$17:$G$44,"county",$L$17:$L$44)</f>
        <v>28.009999999999998</v>
      </c>
      <c r="Z6" s="176">
        <f>SUMIF($G$17:$G$44,"county",$R$17:$R$44)</f>
        <v>0</v>
      </c>
    </row>
    <row r="7" spans="1:27" s="57" customFormat="1" ht="16.5" thickBot="1">
      <c r="A7" s="546" t="s">
        <v>4</v>
      </c>
      <c r="B7" s="546"/>
      <c r="C7" s="546"/>
      <c r="D7" s="503"/>
      <c r="E7" s="538"/>
      <c r="F7" s="642" t="s">
        <v>18</v>
      </c>
      <c r="G7" s="518"/>
      <c r="H7" s="186"/>
      <c r="I7" s="501" t="s">
        <v>62</v>
      </c>
      <c r="J7" s="648"/>
      <c r="K7" s="568"/>
      <c r="L7" s="568"/>
      <c r="M7" s="568"/>
      <c r="N7" s="213"/>
      <c r="O7" s="56"/>
      <c r="P7" s="596" t="s">
        <v>204</v>
      </c>
      <c r="Q7" s="597"/>
      <c r="R7" s="597"/>
      <c r="S7" s="597"/>
      <c r="T7" s="597"/>
      <c r="U7" s="597"/>
      <c r="V7" s="598"/>
      <c r="X7" s="172" t="s">
        <v>48</v>
      </c>
      <c r="Y7" s="176">
        <f>SUMIF($G$17:$G$44,"city",$L$17:$L$44)</f>
        <v>0</v>
      </c>
      <c r="Z7" s="176">
        <f>SUMIF($G$17:$G$44,"city",$R$17:$R$44)</f>
        <v>0</v>
      </c>
    </row>
    <row r="8" spans="1:27" s="57" customFormat="1" ht="15.75" customHeight="1">
      <c r="A8" s="643" t="s">
        <v>50</v>
      </c>
      <c r="B8" s="643"/>
      <c r="C8" s="643"/>
      <c r="D8" s="644">
        <v>1</v>
      </c>
      <c r="E8" s="645"/>
      <c r="F8" s="646" t="s">
        <v>222</v>
      </c>
      <c r="G8" s="543"/>
      <c r="H8" s="187"/>
      <c r="I8" s="569"/>
      <c r="J8" s="570"/>
      <c r="K8" s="647" t="s">
        <v>226</v>
      </c>
      <c r="L8" s="647"/>
      <c r="M8" s="543"/>
      <c r="N8" s="55">
        <v>0</v>
      </c>
      <c r="O8" s="56"/>
      <c r="P8" s="610" t="s">
        <v>267</v>
      </c>
      <c r="Q8" s="611"/>
      <c r="R8" s="611"/>
      <c r="S8" s="611"/>
      <c r="T8" s="611"/>
      <c r="U8" s="611"/>
      <c r="V8" s="612"/>
      <c r="X8" s="172" t="s">
        <v>199</v>
      </c>
      <c r="Y8" s="176">
        <f>SUMIF($G$17:$G$44,"court",$L$17:$L$44)</f>
        <v>0</v>
      </c>
      <c r="Z8" s="176">
        <f>SUMIF($G$17:$G$44,"court",$R$17:$R$44)</f>
        <v>0</v>
      </c>
    </row>
    <row r="9" spans="1:27" s="57" customFormat="1" ht="20.25" customHeight="1" thickBot="1">
      <c r="A9" s="643" t="s">
        <v>49</v>
      </c>
      <c r="B9" s="643"/>
      <c r="C9" s="643"/>
      <c r="D9" s="649">
        <f>100%-D8</f>
        <v>0</v>
      </c>
      <c r="E9" s="650"/>
      <c r="F9" s="628" t="s">
        <v>213</v>
      </c>
      <c r="G9" s="565"/>
      <c r="H9" s="185"/>
      <c r="I9" s="503"/>
      <c r="J9" s="504"/>
      <c r="K9" s="629" t="s">
        <v>19</v>
      </c>
      <c r="L9" s="629"/>
      <c r="M9" s="565"/>
      <c r="N9" s="58"/>
      <c r="P9" s="613"/>
      <c r="Q9" s="614"/>
      <c r="R9" s="614"/>
      <c r="S9" s="614"/>
      <c r="T9" s="614"/>
      <c r="U9" s="614"/>
      <c r="V9" s="615"/>
      <c r="X9" s="153" t="s">
        <v>339</v>
      </c>
      <c r="Y9" s="176">
        <f>SUMIF($G$17:$G$44,"CNTY or CTY",$L$17:$L$44)</f>
        <v>0</v>
      </c>
      <c r="Z9" s="176">
        <f>SUMIF($G$17:$G$44,"CNTY or CTY",$R$17:$R$44)</f>
        <v>0</v>
      </c>
    </row>
    <row r="10" spans="1:27" s="57" customFormat="1" ht="16.5" customHeight="1" thickBot="1">
      <c r="A10" s="495" t="s">
        <v>241</v>
      </c>
      <c r="B10" s="496"/>
      <c r="C10" s="496"/>
      <c r="D10" s="491">
        <f>N6+N10</f>
        <v>0</v>
      </c>
      <c r="E10" s="492"/>
      <c r="F10" s="628" t="s">
        <v>17</v>
      </c>
      <c r="G10" s="565"/>
      <c r="H10" s="185"/>
      <c r="I10" s="503"/>
      <c r="J10" s="504"/>
      <c r="K10" s="640" t="s">
        <v>202</v>
      </c>
      <c r="L10" s="640"/>
      <c r="M10" s="641"/>
      <c r="N10" s="212">
        <f>N8+N9*10</f>
        <v>0</v>
      </c>
      <c r="P10" s="651" t="s">
        <v>208</v>
      </c>
      <c r="Q10" s="652"/>
      <c r="R10" s="652"/>
      <c r="S10" s="652"/>
      <c r="T10" s="652"/>
      <c r="U10" s="652"/>
      <c r="V10" s="653"/>
      <c r="X10" s="272" t="s">
        <v>215</v>
      </c>
      <c r="Y10" s="148">
        <f>SUM(Y5:Y9)</f>
        <v>91</v>
      </c>
      <c r="Z10" s="148">
        <f>SUM(Z5:Z9)</f>
        <v>0</v>
      </c>
    </row>
    <row r="11" spans="1:27" s="57" customFormat="1" ht="16.5" customHeight="1" thickBot="1">
      <c r="A11" s="493" t="s">
        <v>242</v>
      </c>
      <c r="B11" s="494"/>
      <c r="C11" s="494"/>
      <c r="D11" s="489">
        <f>ROUNDUP(D10/10,0)</f>
        <v>0</v>
      </c>
      <c r="E11" s="490"/>
      <c r="F11" s="642" t="s">
        <v>18</v>
      </c>
      <c r="G11" s="518"/>
      <c r="H11" s="186"/>
      <c r="I11" s="501"/>
      <c r="J11" s="654"/>
      <c r="K11" s="655" t="s">
        <v>410</v>
      </c>
      <c r="L11" s="656"/>
      <c r="M11" s="656"/>
      <c r="N11" s="415">
        <f>'Local Penalties'!B8</f>
        <v>7</v>
      </c>
      <c r="P11" s="657" t="s">
        <v>334</v>
      </c>
      <c r="Q11" s="658"/>
      <c r="R11" s="658"/>
      <c r="S11" s="658"/>
      <c r="T11" s="658"/>
      <c r="U11" s="658"/>
      <c r="V11" s="659"/>
      <c r="Y11" s="266">
        <f>Y10-L47</f>
        <v>-40</v>
      </c>
      <c r="Z11" s="266">
        <f>Z10-R47</f>
        <v>0</v>
      </c>
    </row>
    <row r="12" spans="1:27" s="57" customFormat="1" ht="15" customHeight="1" thickBot="1">
      <c r="A12" s="191"/>
      <c r="B12" s="191"/>
      <c r="C12" s="191"/>
      <c r="D12" s="191"/>
      <c r="E12" s="191"/>
      <c r="F12" s="66"/>
      <c r="G12" s="59"/>
      <c r="H12" s="60"/>
      <c r="I12" s="61"/>
      <c r="J12" s="61"/>
      <c r="K12" s="61"/>
      <c r="L12" s="61"/>
      <c r="M12" s="61"/>
      <c r="P12" s="62"/>
      <c r="Q12" s="56"/>
      <c r="R12" s="56"/>
      <c r="S12" s="56"/>
      <c r="T12" s="63"/>
      <c r="U12" s="63"/>
      <c r="V12" s="64"/>
      <c r="Z12" s="65"/>
    </row>
    <row r="13" spans="1:27" s="109" customFormat="1" ht="36" customHeight="1" thickBot="1">
      <c r="A13" s="192"/>
      <c r="B13" s="192"/>
      <c r="C13" s="192"/>
      <c r="D13" s="192"/>
      <c r="E13" s="192"/>
      <c r="F13" s="107"/>
      <c r="G13" s="108"/>
      <c r="I13" s="199"/>
      <c r="J13" s="282"/>
      <c r="K13" s="666" t="s">
        <v>278</v>
      </c>
      <c r="L13" s="667"/>
      <c r="M13" s="245"/>
      <c r="N13" s="668" t="s">
        <v>276</v>
      </c>
      <c r="O13" s="669"/>
      <c r="P13" s="670"/>
      <c r="Q13" s="246"/>
      <c r="R13" s="268" t="s">
        <v>275</v>
      </c>
      <c r="S13" s="225"/>
      <c r="T13" s="158"/>
      <c r="U13" s="158"/>
      <c r="V13" s="159"/>
      <c r="W13" s="108"/>
      <c r="X13" s="108"/>
      <c r="Y13" s="108"/>
      <c r="Z13" s="108"/>
      <c r="AA13" s="108"/>
    </row>
    <row r="14" spans="1:27" ht="50.25" customHeight="1" thickBot="1">
      <c r="A14" s="290">
        <v>0.02</v>
      </c>
      <c r="B14" s="290" t="s">
        <v>54</v>
      </c>
      <c r="C14" s="671" t="s">
        <v>195</v>
      </c>
      <c r="D14" s="671"/>
      <c r="E14" s="671"/>
      <c r="F14" s="671"/>
      <c r="G14" s="289" t="s">
        <v>218</v>
      </c>
      <c r="H14" s="289" t="s">
        <v>0</v>
      </c>
      <c r="I14" s="673" t="s">
        <v>236</v>
      </c>
      <c r="J14" s="276" t="s">
        <v>259</v>
      </c>
      <c r="K14" s="671" t="s">
        <v>5</v>
      </c>
      <c r="L14" s="602" t="s">
        <v>268</v>
      </c>
      <c r="M14" s="67"/>
      <c r="N14" s="601" t="s">
        <v>229</v>
      </c>
      <c r="O14" s="602"/>
      <c r="P14" s="288" t="s">
        <v>217</v>
      </c>
      <c r="Q14" s="121"/>
      <c r="R14" s="278" t="s">
        <v>277</v>
      </c>
      <c r="S14" s="226"/>
      <c r="T14" s="271" t="s">
        <v>225</v>
      </c>
      <c r="U14" s="633" t="s">
        <v>57</v>
      </c>
      <c r="V14" s="636" t="s">
        <v>301</v>
      </c>
    </row>
    <row r="15" spans="1:27" ht="11.25" customHeight="1" thickBot="1">
      <c r="A15" s="291"/>
      <c r="B15" s="291"/>
      <c r="C15" s="672"/>
      <c r="D15" s="672"/>
      <c r="E15" s="672"/>
      <c r="F15" s="672"/>
      <c r="G15" s="292"/>
      <c r="H15" s="292"/>
      <c r="I15" s="674"/>
      <c r="J15" s="280"/>
      <c r="K15" s="675"/>
      <c r="L15" s="676"/>
      <c r="M15" s="68"/>
      <c r="N15" s="660"/>
      <c r="O15" s="661"/>
      <c r="P15" s="189"/>
      <c r="Q15" s="121"/>
      <c r="R15" s="254">
        <f>(R34-SUM(R24:R25))/(I34-SUM(J24:J25))</f>
        <v>0</v>
      </c>
      <c r="S15" s="261"/>
      <c r="T15" s="662" t="s">
        <v>264</v>
      </c>
      <c r="U15" s="634"/>
      <c r="V15" s="637"/>
    </row>
    <row r="16" spans="1:27" ht="20.25" customHeight="1" thickBot="1">
      <c r="A16" s="281" t="s">
        <v>6</v>
      </c>
      <c r="B16" s="293"/>
      <c r="C16" s="273"/>
      <c r="D16" s="274"/>
      <c r="E16" s="274"/>
      <c r="F16" s="275"/>
      <c r="G16" s="294"/>
      <c r="H16" s="294"/>
      <c r="I16" s="279"/>
      <c r="J16" s="277"/>
      <c r="K16" s="258"/>
      <c r="L16" s="242" t="s">
        <v>38</v>
      </c>
      <c r="M16" s="68"/>
      <c r="N16" s="269"/>
      <c r="O16" s="270"/>
      <c r="P16" s="242" t="s">
        <v>39</v>
      </c>
      <c r="Q16" s="121"/>
      <c r="R16" s="242" t="s">
        <v>40</v>
      </c>
      <c r="S16" s="259"/>
      <c r="T16" s="663"/>
      <c r="U16" s="635"/>
      <c r="V16" s="638"/>
    </row>
    <row r="17" spans="1:27" s="74" customFormat="1" ht="15.75" thickTop="1">
      <c r="A17" s="69" t="s">
        <v>6</v>
      </c>
      <c r="B17" s="260"/>
      <c r="C17" s="571" t="s">
        <v>256</v>
      </c>
      <c r="D17" s="571"/>
      <c r="E17" s="571"/>
      <c r="F17" s="571"/>
      <c r="G17" s="341" t="s">
        <v>28</v>
      </c>
      <c r="H17" s="71" t="s">
        <v>13</v>
      </c>
      <c r="I17" s="154"/>
      <c r="J17" s="160"/>
      <c r="K17" s="162">
        <f>IF(A17="Y",(I34-J34)*2%,)</f>
        <v>0</v>
      </c>
      <c r="L17" s="198">
        <f>(I47-J47)-K17</f>
        <v>4</v>
      </c>
      <c r="M17" s="164"/>
      <c r="N17" s="616"/>
      <c r="O17" s="617"/>
      <c r="P17" s="215"/>
      <c r="Q17" s="72"/>
      <c r="R17" s="198">
        <f t="shared" ref="R17:R23" si="0">IF($R$47=0,,$R$15*L17)</f>
        <v>0</v>
      </c>
      <c r="S17" s="249"/>
      <c r="T17" s="181">
        <f>IF($T$15="Base-up   (B-A)",P17-L17,P17-R17)</f>
        <v>-4</v>
      </c>
      <c r="U17" s="318"/>
      <c r="V17" s="387"/>
      <c r="W17" s="125"/>
      <c r="X17" s="125"/>
      <c r="Y17" s="125"/>
      <c r="Z17" s="125"/>
      <c r="AA17" s="125"/>
    </row>
    <row r="18" spans="1:27" s="74" customFormat="1" ht="15">
      <c r="A18" s="69" t="s">
        <v>6</v>
      </c>
      <c r="B18" s="664" t="s">
        <v>210</v>
      </c>
      <c r="C18" s="517" t="s">
        <v>271</v>
      </c>
      <c r="D18" s="517"/>
      <c r="E18" s="517"/>
      <c r="F18" s="517"/>
      <c r="G18" s="333" t="s">
        <v>28</v>
      </c>
      <c r="H18" s="77" t="s">
        <v>23</v>
      </c>
      <c r="I18" s="155">
        <f>($D$10)*D8</f>
        <v>0</v>
      </c>
      <c r="J18" s="155"/>
      <c r="K18" s="162">
        <f t="shared" ref="K18:K31" si="1">IF(A18="Y",J18* 2%,0)</f>
        <v>0</v>
      </c>
      <c r="L18" s="167">
        <f t="shared" ref="L18:L33" si="2">J18-K18</f>
        <v>0</v>
      </c>
      <c r="M18" s="164"/>
      <c r="N18" s="528"/>
      <c r="O18" s="529"/>
      <c r="P18" s="78"/>
      <c r="Q18" s="72"/>
      <c r="R18" s="167">
        <f t="shared" si="0"/>
        <v>0</v>
      </c>
      <c r="S18" s="249"/>
      <c r="T18" s="181">
        <f t="shared" ref="T18:T44" si="3">IF($T$15="Base-up   (B-A)",P18-L18,P18-R18)</f>
        <v>0</v>
      </c>
      <c r="U18" s="385"/>
      <c r="V18" s="307"/>
      <c r="W18" s="125"/>
      <c r="X18" s="125"/>
      <c r="Y18" s="125"/>
      <c r="Z18" s="125"/>
      <c r="AA18" s="125"/>
    </row>
    <row r="19" spans="1:27" s="74" customFormat="1" ht="15.75" customHeight="1">
      <c r="A19" s="69" t="s">
        <v>6</v>
      </c>
      <c r="B19" s="665"/>
      <c r="C19" s="517" t="s">
        <v>270</v>
      </c>
      <c r="D19" s="517"/>
      <c r="E19" s="517"/>
      <c r="F19" s="517"/>
      <c r="G19" s="333" t="s">
        <v>48</v>
      </c>
      <c r="H19" s="77" t="s">
        <v>21</v>
      </c>
      <c r="I19" s="155">
        <f>($D$10)*D9</f>
        <v>0</v>
      </c>
      <c r="J19" s="155">
        <f>IF(I19&gt;0,I19*98%,)</f>
        <v>0</v>
      </c>
      <c r="K19" s="162">
        <f t="shared" si="1"/>
        <v>0</v>
      </c>
      <c r="L19" s="167">
        <f t="shared" si="2"/>
        <v>0</v>
      </c>
      <c r="M19" s="164"/>
      <c r="N19" s="528"/>
      <c r="O19" s="529"/>
      <c r="P19" s="78"/>
      <c r="Q19" s="72"/>
      <c r="R19" s="167">
        <f t="shared" si="0"/>
        <v>0</v>
      </c>
      <c r="S19" s="249"/>
      <c r="T19" s="181">
        <f t="shared" si="3"/>
        <v>0</v>
      </c>
      <c r="U19" s="317"/>
      <c r="V19" s="301"/>
      <c r="W19" s="125"/>
      <c r="X19" s="125"/>
      <c r="Y19" s="125"/>
      <c r="Z19" s="125"/>
      <c r="AA19" s="125"/>
    </row>
    <row r="20" spans="1:27" s="74" customFormat="1" ht="15.75" customHeight="1">
      <c r="A20" s="69" t="s">
        <v>6</v>
      </c>
      <c r="B20" s="75">
        <v>7</v>
      </c>
      <c r="C20" s="517" t="s">
        <v>396</v>
      </c>
      <c r="D20" s="517"/>
      <c r="E20" s="517"/>
      <c r="F20" s="517"/>
      <c r="G20" s="333" t="s">
        <v>27</v>
      </c>
      <c r="H20" s="77" t="s">
        <v>22</v>
      </c>
      <c r="I20" s="155">
        <f>$D$11*B20</f>
        <v>0</v>
      </c>
      <c r="J20" s="155"/>
      <c r="K20" s="162">
        <f t="shared" si="1"/>
        <v>0</v>
      </c>
      <c r="L20" s="167">
        <f t="shared" si="2"/>
        <v>0</v>
      </c>
      <c r="M20" s="164"/>
      <c r="N20" s="528"/>
      <c r="O20" s="529"/>
      <c r="P20" s="80"/>
      <c r="Q20" s="81"/>
      <c r="R20" s="167">
        <f t="shared" si="0"/>
        <v>0</v>
      </c>
      <c r="S20" s="249"/>
      <c r="T20" s="181">
        <f t="shared" si="3"/>
        <v>0</v>
      </c>
      <c r="U20" s="317"/>
      <c r="V20" s="301"/>
      <c r="W20" s="125"/>
      <c r="X20" s="125"/>
      <c r="Y20" s="125"/>
      <c r="Z20" s="125"/>
      <c r="AA20" s="125"/>
    </row>
    <row r="21" spans="1:27" s="74" customFormat="1" ht="15.75" customHeight="1">
      <c r="A21" s="69" t="s">
        <v>6</v>
      </c>
      <c r="B21" s="75">
        <v>3</v>
      </c>
      <c r="C21" s="517" t="s">
        <v>397</v>
      </c>
      <c r="D21" s="517"/>
      <c r="E21" s="517"/>
      <c r="F21" s="517"/>
      <c r="G21" s="333" t="s">
        <v>28</v>
      </c>
      <c r="H21" s="77" t="s">
        <v>23</v>
      </c>
      <c r="I21" s="155">
        <f t="shared" ref="I21:I32" si="4">$D$11*B21</f>
        <v>0</v>
      </c>
      <c r="J21" s="155"/>
      <c r="K21" s="162">
        <f t="shared" si="1"/>
        <v>0</v>
      </c>
      <c r="L21" s="167">
        <f t="shared" si="2"/>
        <v>0</v>
      </c>
      <c r="M21" s="164"/>
      <c r="N21" s="528"/>
      <c r="O21" s="529"/>
      <c r="P21" s="78"/>
      <c r="Q21" s="72"/>
      <c r="R21" s="167">
        <f t="shared" si="0"/>
        <v>0</v>
      </c>
      <c r="S21" s="249"/>
      <c r="T21" s="181">
        <f t="shared" si="3"/>
        <v>0</v>
      </c>
      <c r="U21" s="317"/>
      <c r="V21" s="301"/>
      <c r="W21" s="125"/>
      <c r="X21" s="125"/>
      <c r="Y21" s="125"/>
      <c r="Z21" s="125"/>
      <c r="AA21" s="125"/>
    </row>
    <row r="22" spans="1:27" s="74" customFormat="1" ht="15.75" customHeight="1">
      <c r="A22" s="69" t="s">
        <v>6</v>
      </c>
      <c r="B22" s="75">
        <v>1</v>
      </c>
      <c r="C22" s="528" t="s">
        <v>185</v>
      </c>
      <c r="D22" s="585"/>
      <c r="E22" s="585"/>
      <c r="F22" s="586"/>
      <c r="G22" s="333" t="s">
        <v>28</v>
      </c>
      <c r="H22" s="77" t="s">
        <v>51</v>
      </c>
      <c r="I22" s="155">
        <f t="shared" si="4"/>
        <v>0</v>
      </c>
      <c r="J22" s="155"/>
      <c r="K22" s="162">
        <f t="shared" si="1"/>
        <v>0</v>
      </c>
      <c r="L22" s="167">
        <f t="shared" si="2"/>
        <v>0</v>
      </c>
      <c r="M22" s="164"/>
      <c r="N22" s="528"/>
      <c r="O22" s="529"/>
      <c r="P22" s="78"/>
      <c r="Q22" s="72"/>
      <c r="R22" s="167">
        <f t="shared" si="0"/>
        <v>0</v>
      </c>
      <c r="S22" s="249"/>
      <c r="T22" s="181">
        <f t="shared" si="3"/>
        <v>0</v>
      </c>
      <c r="U22" s="317"/>
      <c r="V22" s="302"/>
      <c r="W22" s="125"/>
      <c r="X22" s="125"/>
      <c r="Y22" s="125"/>
      <c r="Z22" s="125"/>
      <c r="AA22" s="125"/>
    </row>
    <row r="23" spans="1:27" s="74" customFormat="1" ht="15.75" customHeight="1">
      <c r="A23" s="69" t="s">
        <v>6</v>
      </c>
      <c r="B23" s="75">
        <v>4</v>
      </c>
      <c r="C23" s="528" t="s">
        <v>351</v>
      </c>
      <c r="D23" s="585"/>
      <c r="E23" s="585"/>
      <c r="F23" s="586"/>
      <c r="G23" s="333" t="s">
        <v>27</v>
      </c>
      <c r="H23" s="77" t="s">
        <v>65</v>
      </c>
      <c r="I23" s="155">
        <f t="shared" si="4"/>
        <v>0</v>
      </c>
      <c r="J23" s="155"/>
      <c r="K23" s="162">
        <f t="shared" si="1"/>
        <v>0</v>
      </c>
      <c r="L23" s="167">
        <f t="shared" si="2"/>
        <v>0</v>
      </c>
      <c r="M23" s="164"/>
      <c r="N23" s="528"/>
      <c r="O23" s="529"/>
      <c r="P23" s="78"/>
      <c r="Q23" s="72"/>
      <c r="R23" s="167">
        <f t="shared" si="0"/>
        <v>0</v>
      </c>
      <c r="S23" s="249"/>
      <c r="T23" s="181">
        <f t="shared" si="3"/>
        <v>0</v>
      </c>
      <c r="U23" s="317"/>
      <c r="V23" s="310"/>
      <c r="W23" s="125"/>
      <c r="X23" s="125"/>
      <c r="Y23" s="125"/>
      <c r="Z23" s="125"/>
      <c r="AA23" s="125"/>
    </row>
    <row r="24" spans="1:27" s="74" customFormat="1" ht="15.75" customHeight="1">
      <c r="A24" s="69" t="s">
        <v>6</v>
      </c>
      <c r="B24" s="397">
        <f>'Local Penalties'!B9</f>
        <v>0</v>
      </c>
      <c r="C24" s="517" t="s">
        <v>186</v>
      </c>
      <c r="D24" s="517"/>
      <c r="E24" s="679" t="str">
        <f>IF(SUM(B24:B28)=N11,"GC 76000 PA ($" &amp;N11 &amp; " for every 10) breakdown per local board of supervisor resolution (BOS).","ERROR! GC 76000 PA total is not $" &amp;N11&amp; ". Check Court's board resolution.")</f>
        <v>ERROR! GC 76000 PA total is not $7. Check Court's board resolution.</v>
      </c>
      <c r="F24" s="680"/>
      <c r="G24" s="333" t="s">
        <v>28</v>
      </c>
      <c r="H24" s="77" t="s">
        <v>60</v>
      </c>
      <c r="I24" s="155">
        <f t="shared" si="4"/>
        <v>0</v>
      </c>
      <c r="J24" s="155">
        <f>IF(B24&gt;0,1,)</f>
        <v>0</v>
      </c>
      <c r="K24" s="162">
        <f t="shared" si="1"/>
        <v>0</v>
      </c>
      <c r="L24" s="167">
        <f t="shared" si="2"/>
        <v>0</v>
      </c>
      <c r="M24" s="164"/>
      <c r="N24" s="528"/>
      <c r="O24" s="529"/>
      <c r="P24" s="78"/>
      <c r="Q24" s="72"/>
      <c r="R24" s="167">
        <f>IF($R$47=0,,L24)</f>
        <v>0</v>
      </c>
      <c r="S24" s="249"/>
      <c r="T24" s="181">
        <f t="shared" si="3"/>
        <v>0</v>
      </c>
      <c r="U24" s="317"/>
      <c r="V24" s="302"/>
      <c r="W24" s="125"/>
      <c r="X24" s="125"/>
      <c r="Y24" s="125"/>
      <c r="Z24" s="125"/>
      <c r="AA24" s="125"/>
    </row>
    <row r="25" spans="1:27" s="74" customFormat="1" ht="15.75" customHeight="1">
      <c r="A25" s="69" t="s">
        <v>6</v>
      </c>
      <c r="B25" s="397">
        <f>'Local Penalties'!B10</f>
        <v>0</v>
      </c>
      <c r="C25" s="517" t="s">
        <v>187</v>
      </c>
      <c r="D25" s="517"/>
      <c r="E25" s="681"/>
      <c r="F25" s="682"/>
      <c r="G25" s="333" t="s">
        <v>28</v>
      </c>
      <c r="H25" s="77" t="s">
        <v>31</v>
      </c>
      <c r="I25" s="155">
        <f t="shared" si="4"/>
        <v>0</v>
      </c>
      <c r="J25" s="155">
        <f>IF(B25&gt;0,1,)</f>
        <v>0</v>
      </c>
      <c r="K25" s="162">
        <f t="shared" si="1"/>
        <v>0</v>
      </c>
      <c r="L25" s="167">
        <f t="shared" si="2"/>
        <v>0</v>
      </c>
      <c r="M25" s="164"/>
      <c r="N25" s="528"/>
      <c r="O25" s="529"/>
      <c r="P25" s="78"/>
      <c r="Q25" s="72"/>
      <c r="R25" s="167">
        <f>IF($R$47=0,,L25)</f>
        <v>0</v>
      </c>
      <c r="S25" s="249"/>
      <c r="T25" s="181">
        <f t="shared" si="3"/>
        <v>0</v>
      </c>
      <c r="U25" s="317"/>
      <c r="V25" s="302"/>
      <c r="W25" s="125"/>
      <c r="X25" s="125"/>
      <c r="Y25" s="125"/>
      <c r="Z25" s="125"/>
      <c r="AA25" s="125"/>
    </row>
    <row r="26" spans="1:27" s="74" customFormat="1" ht="15.75" customHeight="1">
      <c r="A26" s="69" t="s">
        <v>6</v>
      </c>
      <c r="B26" s="397">
        <f>'Local Penalties'!B11</f>
        <v>0</v>
      </c>
      <c r="C26" s="517" t="s">
        <v>188</v>
      </c>
      <c r="D26" s="517"/>
      <c r="E26" s="681"/>
      <c r="F26" s="682"/>
      <c r="G26" s="333" t="s">
        <v>28</v>
      </c>
      <c r="H26" s="77" t="s">
        <v>61</v>
      </c>
      <c r="I26" s="155">
        <f t="shared" si="4"/>
        <v>0</v>
      </c>
      <c r="J26" s="155">
        <f>IF(B26&gt;0,$D$11*2,)</f>
        <v>0</v>
      </c>
      <c r="K26" s="162">
        <f t="shared" si="1"/>
        <v>0</v>
      </c>
      <c r="L26" s="167">
        <f t="shared" si="2"/>
        <v>0</v>
      </c>
      <c r="M26" s="164"/>
      <c r="N26" s="528"/>
      <c r="O26" s="529"/>
      <c r="P26" s="78"/>
      <c r="Q26" s="72"/>
      <c r="R26" s="167">
        <f>IF($R$47=0,,$R$15*L26)</f>
        <v>0</v>
      </c>
      <c r="S26" s="249"/>
      <c r="T26" s="181">
        <f t="shared" si="3"/>
        <v>0</v>
      </c>
      <c r="U26" s="317"/>
      <c r="V26" s="302"/>
      <c r="W26" s="125"/>
      <c r="X26" s="125"/>
      <c r="Y26" s="125"/>
      <c r="Z26" s="125"/>
      <c r="AA26" s="125"/>
    </row>
    <row r="27" spans="1:27" s="74" customFormat="1" ht="15.75" customHeight="1">
      <c r="A27" s="69" t="s">
        <v>6</v>
      </c>
      <c r="B27" s="397">
        <f>'Local Penalties'!B12</f>
        <v>0</v>
      </c>
      <c r="C27" s="517" t="s">
        <v>308</v>
      </c>
      <c r="D27" s="517"/>
      <c r="E27" s="681"/>
      <c r="F27" s="682"/>
      <c r="G27" s="333" t="s">
        <v>28</v>
      </c>
      <c r="H27" s="77" t="s">
        <v>61</v>
      </c>
      <c r="I27" s="155">
        <f>$D$11*B27</f>
        <v>0</v>
      </c>
      <c r="J27" s="155"/>
      <c r="K27" s="162">
        <f>IF(A27="Y",J27* 2%,0)</f>
        <v>0</v>
      </c>
      <c r="L27" s="167">
        <f>J27-K27</f>
        <v>0</v>
      </c>
      <c r="M27" s="164"/>
      <c r="N27" s="528"/>
      <c r="O27" s="529"/>
      <c r="P27" s="78"/>
      <c r="Q27" s="72"/>
      <c r="R27" s="167">
        <f>IF($R$47=0,,$R$15*L27)</f>
        <v>0</v>
      </c>
      <c r="S27" s="249"/>
      <c r="T27" s="181">
        <f>IF($T$15="Base-up   (B-A)",P27-L27,P27-R27)</f>
        <v>0</v>
      </c>
      <c r="U27" s="317"/>
      <c r="V27" s="302"/>
      <c r="W27" s="125"/>
      <c r="X27" s="125"/>
      <c r="Y27" s="125"/>
      <c r="Z27" s="125"/>
      <c r="AA27" s="125"/>
    </row>
    <row r="28" spans="1:27" s="74" customFormat="1" ht="15.75" customHeight="1">
      <c r="A28" s="69" t="s">
        <v>6</v>
      </c>
      <c r="B28" s="397">
        <f>'Local Penalties'!B13</f>
        <v>0</v>
      </c>
      <c r="C28" s="517" t="s">
        <v>223</v>
      </c>
      <c r="D28" s="517"/>
      <c r="E28" s="683"/>
      <c r="F28" s="684"/>
      <c r="G28" s="333" t="s">
        <v>28</v>
      </c>
      <c r="H28" s="77"/>
      <c r="I28" s="155">
        <f t="shared" si="4"/>
        <v>0</v>
      </c>
      <c r="J28" s="155"/>
      <c r="K28" s="162">
        <f t="shared" si="1"/>
        <v>0</v>
      </c>
      <c r="L28" s="167">
        <f t="shared" si="2"/>
        <v>0</v>
      </c>
      <c r="M28" s="164"/>
      <c r="N28" s="528"/>
      <c r="O28" s="529"/>
      <c r="P28" s="78"/>
      <c r="Q28" s="72"/>
      <c r="R28" s="167">
        <f>IF($R$47=0,,$R$15*L28)</f>
        <v>0</v>
      </c>
      <c r="S28" s="249"/>
      <c r="T28" s="181">
        <f t="shared" si="3"/>
        <v>0</v>
      </c>
      <c r="U28" s="317"/>
      <c r="V28" s="302"/>
      <c r="W28" s="125"/>
      <c r="X28" s="125"/>
      <c r="Y28" s="125"/>
      <c r="Z28" s="125"/>
      <c r="AA28" s="125"/>
    </row>
    <row r="29" spans="1:27" s="85" customFormat="1" ht="15.75" customHeight="1">
      <c r="A29" s="69" t="s">
        <v>6</v>
      </c>
      <c r="B29" s="397">
        <f>'Local Penalties'!B16</f>
        <v>0</v>
      </c>
      <c r="C29" s="499" t="s">
        <v>251</v>
      </c>
      <c r="D29" s="500"/>
      <c r="E29" s="500"/>
      <c r="F29" s="577"/>
      <c r="G29" s="337" t="s">
        <v>28</v>
      </c>
      <c r="H29" s="84" t="s">
        <v>32</v>
      </c>
      <c r="I29" s="155">
        <f t="shared" si="4"/>
        <v>0</v>
      </c>
      <c r="J29" s="155">
        <f>IF(B29&gt;0,$D$11*2,)</f>
        <v>0</v>
      </c>
      <c r="K29" s="162">
        <f t="shared" si="1"/>
        <v>0</v>
      </c>
      <c r="L29" s="167">
        <f t="shared" si="2"/>
        <v>0</v>
      </c>
      <c r="M29" s="164"/>
      <c r="N29" s="528"/>
      <c r="O29" s="529"/>
      <c r="P29" s="78"/>
      <c r="Q29" s="72"/>
      <c r="R29" s="167">
        <f>IF($R$47=0,,$R$15*L29)</f>
        <v>0</v>
      </c>
      <c r="S29" s="249"/>
      <c r="T29" s="181">
        <f t="shared" si="3"/>
        <v>0</v>
      </c>
      <c r="U29" s="317"/>
      <c r="V29" s="302"/>
      <c r="W29" s="127"/>
      <c r="X29" s="127"/>
      <c r="Y29" s="127"/>
      <c r="Z29" s="127"/>
      <c r="AA29" s="127"/>
    </row>
    <row r="30" spans="1:27" s="85" customFormat="1" ht="15" customHeight="1">
      <c r="A30" s="69" t="s">
        <v>6</v>
      </c>
      <c r="B30" s="75"/>
      <c r="C30" s="499" t="s">
        <v>302</v>
      </c>
      <c r="D30" s="500"/>
      <c r="E30" s="500"/>
      <c r="F30" s="577"/>
      <c r="G30" s="337" t="s">
        <v>27</v>
      </c>
      <c r="H30" s="91" t="s">
        <v>35</v>
      </c>
      <c r="I30" s="202">
        <v>4</v>
      </c>
      <c r="J30" s="155"/>
      <c r="K30" s="162">
        <f>IF(A30="Y", IF($K$15="BASE-UP",#REF!*2%, IF($K$15="TOP-DOWN",#REF!* 2%,0)),0)</f>
        <v>0</v>
      </c>
      <c r="L30" s="167">
        <f>J30-K30</f>
        <v>0</v>
      </c>
      <c r="M30" s="164"/>
      <c r="N30" s="528"/>
      <c r="O30" s="529"/>
      <c r="P30" s="78"/>
      <c r="Q30" s="72"/>
      <c r="R30" s="167">
        <f>IF($R$47=0,,J30)</f>
        <v>0</v>
      </c>
      <c r="S30" s="249"/>
      <c r="T30" s="181">
        <f>IF($T$15="Base-up   (B-A)",P30-L30,P30-R30)</f>
        <v>0</v>
      </c>
      <c r="U30" s="385"/>
      <c r="V30" s="302"/>
      <c r="W30" s="127"/>
      <c r="X30" s="127"/>
      <c r="Y30" s="127"/>
      <c r="Z30" s="127"/>
      <c r="AA30" s="127"/>
    </row>
    <row r="31" spans="1:27" s="74" customFormat="1" ht="15.75" customHeight="1">
      <c r="A31" s="69" t="s">
        <v>6</v>
      </c>
      <c r="B31" s="397">
        <f>'Local Penalties'!B17</f>
        <v>0</v>
      </c>
      <c r="C31" s="499" t="s">
        <v>403</v>
      </c>
      <c r="D31" s="500"/>
      <c r="E31" s="577"/>
      <c r="F31" s="497" t="s">
        <v>246</v>
      </c>
      <c r="G31" s="337" t="s">
        <v>27</v>
      </c>
      <c r="H31" s="84" t="s">
        <v>33</v>
      </c>
      <c r="I31" s="155">
        <f t="shared" si="4"/>
        <v>0</v>
      </c>
      <c r="J31" s="155">
        <f>I31</f>
        <v>0</v>
      </c>
      <c r="K31" s="162">
        <f t="shared" si="1"/>
        <v>0</v>
      </c>
      <c r="L31" s="167">
        <f t="shared" si="2"/>
        <v>0</v>
      </c>
      <c r="M31" s="164"/>
      <c r="N31" s="528"/>
      <c r="O31" s="529"/>
      <c r="P31" s="78"/>
      <c r="Q31" s="72"/>
      <c r="R31" s="167">
        <f>IF($R$47=0,,$R$15*L31)</f>
        <v>0</v>
      </c>
      <c r="S31" s="249"/>
      <c r="T31" s="181">
        <f t="shared" si="3"/>
        <v>0</v>
      </c>
      <c r="U31" s="385"/>
      <c r="V31" s="302"/>
      <c r="W31" s="125"/>
      <c r="X31" s="125"/>
      <c r="Y31" s="125"/>
      <c r="Z31" s="125"/>
      <c r="AA31" s="125"/>
    </row>
    <row r="32" spans="1:27" s="74" customFormat="1" ht="15.75" customHeight="1">
      <c r="A32" s="69" t="s">
        <v>6</v>
      </c>
      <c r="B32" s="179">
        <f>5-B31</f>
        <v>5</v>
      </c>
      <c r="C32" s="499" t="s">
        <v>404</v>
      </c>
      <c r="D32" s="500"/>
      <c r="E32" s="577"/>
      <c r="F32" s="498"/>
      <c r="G32" s="337" t="s">
        <v>27</v>
      </c>
      <c r="H32" s="84" t="s">
        <v>166</v>
      </c>
      <c r="I32" s="155">
        <f t="shared" si="4"/>
        <v>0</v>
      </c>
      <c r="J32" s="155">
        <f>I32</f>
        <v>0</v>
      </c>
      <c r="K32" s="162">
        <f>IF(A32="Y",#REF!* 2%,0)</f>
        <v>0</v>
      </c>
      <c r="L32" s="167">
        <f t="shared" si="2"/>
        <v>0</v>
      </c>
      <c r="M32" s="164"/>
      <c r="N32" s="528"/>
      <c r="O32" s="529"/>
      <c r="P32" s="78"/>
      <c r="Q32" s="72"/>
      <c r="R32" s="167">
        <f>IF($R$47=0,,$R$15*L32)</f>
        <v>0</v>
      </c>
      <c r="S32" s="249"/>
      <c r="T32" s="181">
        <f t="shared" si="3"/>
        <v>0</v>
      </c>
      <c r="U32" s="317"/>
      <c r="V32" s="302"/>
      <c r="W32" s="125"/>
      <c r="X32" s="125"/>
      <c r="Y32" s="125"/>
      <c r="Z32" s="125"/>
      <c r="AA32" s="125"/>
    </row>
    <row r="33" spans="1:27" s="85" customFormat="1" ht="15.75" customHeight="1">
      <c r="A33" s="69" t="s">
        <v>6</v>
      </c>
      <c r="B33" s="75"/>
      <c r="C33" s="499" t="s">
        <v>189</v>
      </c>
      <c r="D33" s="500"/>
      <c r="E33" s="500"/>
      <c r="F33" s="577"/>
      <c r="G33" s="337" t="s">
        <v>27</v>
      </c>
      <c r="H33" s="84" t="s">
        <v>9</v>
      </c>
      <c r="I33" s="155">
        <f>D10*20%</f>
        <v>0</v>
      </c>
      <c r="J33" s="155">
        <f>I33</f>
        <v>0</v>
      </c>
      <c r="K33" s="162"/>
      <c r="L33" s="167">
        <f t="shared" si="2"/>
        <v>0</v>
      </c>
      <c r="M33" s="164"/>
      <c r="N33" s="528"/>
      <c r="O33" s="529"/>
      <c r="P33" s="78"/>
      <c r="Q33" s="72"/>
      <c r="R33" s="167">
        <f>IF($R$47=0,,$R$15*L33)</f>
        <v>0</v>
      </c>
      <c r="S33" s="249"/>
      <c r="T33" s="181">
        <f t="shared" si="3"/>
        <v>0</v>
      </c>
      <c r="U33" s="317"/>
      <c r="V33" s="302"/>
      <c r="W33" s="127"/>
      <c r="X33" s="127"/>
      <c r="Y33" s="127"/>
      <c r="Z33" s="127"/>
      <c r="AA33" s="127"/>
    </row>
    <row r="34" spans="1:27" s="90" customFormat="1" ht="15.75" customHeight="1">
      <c r="A34" s="69"/>
      <c r="B34" s="86"/>
      <c r="C34" s="574" t="s">
        <v>190</v>
      </c>
      <c r="D34" s="575"/>
      <c r="E34" s="575"/>
      <c r="F34" s="576"/>
      <c r="G34" s="338"/>
      <c r="H34" s="88"/>
      <c r="I34" s="157">
        <f>SUM(I18:I33)</f>
        <v>4</v>
      </c>
      <c r="J34" s="157">
        <f>SUM(J17:J33)</f>
        <v>0</v>
      </c>
      <c r="K34" s="162"/>
      <c r="L34" s="168">
        <f>SUM(L17:L33)</f>
        <v>4</v>
      </c>
      <c r="M34" s="165"/>
      <c r="N34" s="499"/>
      <c r="O34" s="584"/>
      <c r="P34" s="184">
        <f>SUM(P17:P33)</f>
        <v>0</v>
      </c>
      <c r="Q34" s="122"/>
      <c r="R34" s="168">
        <f>IF($R$47=0,,R47-SUM(R35:R43))</f>
        <v>0</v>
      </c>
      <c r="S34" s="250"/>
      <c r="T34" s="181">
        <f t="shared" si="3"/>
        <v>-4</v>
      </c>
      <c r="U34" s="317"/>
      <c r="V34" s="303"/>
      <c r="W34" s="143"/>
      <c r="X34" s="143"/>
      <c r="Y34" s="143"/>
      <c r="Z34" s="143"/>
      <c r="AA34" s="143"/>
    </row>
    <row r="35" spans="1:27" s="85" customFormat="1" ht="15" customHeight="1">
      <c r="A35" s="69" t="s">
        <v>6</v>
      </c>
      <c r="B35" s="75"/>
      <c r="C35" s="499" t="s">
        <v>325</v>
      </c>
      <c r="D35" s="500"/>
      <c r="E35" s="500"/>
      <c r="F35" s="577"/>
      <c r="G35" s="337"/>
      <c r="H35" s="91"/>
      <c r="I35" s="202">
        <v>40</v>
      </c>
      <c r="J35" s="155">
        <f>I35</f>
        <v>40</v>
      </c>
      <c r="K35" s="162">
        <f>IF(A35="Y", IF($K$15="BASE-UP",#REF!*2%, IF($K$15="TOP-DOWN",#REF!* 2%,0)),0)</f>
        <v>0</v>
      </c>
      <c r="L35" s="167">
        <f>J35-K35</f>
        <v>40</v>
      </c>
      <c r="M35" s="164"/>
      <c r="N35" s="528"/>
      <c r="O35" s="529"/>
      <c r="P35" s="78"/>
      <c r="Q35" s="72"/>
      <c r="R35" s="167">
        <f>IF($R$47=0,,J35)</f>
        <v>0</v>
      </c>
      <c r="S35" s="249"/>
      <c r="T35" s="181">
        <f t="shared" si="3"/>
        <v>-40</v>
      </c>
      <c r="U35" s="317"/>
      <c r="V35" s="302"/>
      <c r="W35" s="127"/>
      <c r="X35" s="127"/>
      <c r="Y35" s="127"/>
      <c r="Z35" s="127"/>
      <c r="AA35" s="127"/>
    </row>
    <row r="36" spans="1:27" s="85" customFormat="1" ht="15.75" customHeight="1">
      <c r="A36" s="69" t="s">
        <v>6</v>
      </c>
      <c r="B36" s="75"/>
      <c r="C36" s="578" t="s">
        <v>228</v>
      </c>
      <c r="D36" s="579"/>
      <c r="E36" s="579"/>
      <c r="F36" s="580"/>
      <c r="G36" s="339" t="s">
        <v>27</v>
      </c>
      <c r="H36" s="92" t="s">
        <v>166</v>
      </c>
      <c r="I36" s="202">
        <v>35</v>
      </c>
      <c r="J36" s="155">
        <f t="shared" ref="J36:J43" si="5">I36</f>
        <v>35</v>
      </c>
      <c r="K36" s="162">
        <f>IF(A36="Y", IF($K$15="BASE-UP",#REF!*2%, IF($K$15="TOP-DOWN",#REF!* 2%,0)),0)</f>
        <v>0</v>
      </c>
      <c r="L36" s="167">
        <f t="shared" ref="L36:L44" si="6">J36-K36</f>
        <v>35</v>
      </c>
      <c r="M36" s="164"/>
      <c r="N36" s="528"/>
      <c r="O36" s="529"/>
      <c r="P36" s="78"/>
      <c r="Q36" s="72"/>
      <c r="R36" s="167">
        <f t="shared" ref="R36:R37" si="7">IF($R$47=0,,J36)</f>
        <v>0</v>
      </c>
      <c r="S36" s="249"/>
      <c r="T36" s="181">
        <f t="shared" si="3"/>
        <v>-35</v>
      </c>
      <c r="U36" s="317"/>
      <c r="V36" s="301"/>
      <c r="W36" s="127"/>
      <c r="X36" s="127"/>
      <c r="Y36" s="127"/>
      <c r="Z36" s="127"/>
      <c r="AA36" s="127"/>
    </row>
    <row r="37" spans="1:27" s="85" customFormat="1" ht="15">
      <c r="A37" s="69" t="s">
        <v>6</v>
      </c>
      <c r="B37" s="75"/>
      <c r="C37" s="578" t="s">
        <v>257</v>
      </c>
      <c r="D37" s="579"/>
      <c r="E37" s="579"/>
      <c r="F37" s="580"/>
      <c r="G37" s="339" t="s">
        <v>28</v>
      </c>
      <c r="H37" s="92"/>
      <c r="I37" s="202">
        <f>49*49%</f>
        <v>24.009999999999998</v>
      </c>
      <c r="J37" s="155">
        <f t="shared" si="5"/>
        <v>24.009999999999998</v>
      </c>
      <c r="K37" s="162">
        <f>IF(A37="Y", IF($K$15="BASE-UP",#REF!*2%, IF($K$15="TOP-DOWN",#REF!* 2%,0)),0)</f>
        <v>0</v>
      </c>
      <c r="L37" s="167">
        <f t="shared" si="6"/>
        <v>24.009999999999998</v>
      </c>
      <c r="M37" s="164"/>
      <c r="N37" s="528"/>
      <c r="O37" s="529"/>
      <c r="P37" s="78"/>
      <c r="Q37" s="72"/>
      <c r="R37" s="167">
        <f t="shared" si="7"/>
        <v>0</v>
      </c>
      <c r="S37" s="249"/>
      <c r="T37" s="181">
        <f t="shared" si="3"/>
        <v>-24.009999999999998</v>
      </c>
      <c r="U37" s="318"/>
      <c r="V37" s="302"/>
      <c r="W37" s="127"/>
      <c r="X37" s="127"/>
      <c r="Y37" s="127"/>
      <c r="Z37" s="127"/>
      <c r="AA37" s="127"/>
    </row>
    <row r="38" spans="1:27" s="85" customFormat="1" ht="15">
      <c r="A38" s="69" t="s">
        <v>6</v>
      </c>
      <c r="B38" s="75"/>
      <c r="C38" s="578" t="s">
        <v>258</v>
      </c>
      <c r="D38" s="579"/>
      <c r="E38" s="579"/>
      <c r="F38" s="580"/>
      <c r="G38" s="339" t="s">
        <v>27</v>
      </c>
      <c r="H38" s="92"/>
      <c r="I38" s="202">
        <f>49*51%</f>
        <v>24.990000000000002</v>
      </c>
      <c r="J38" s="155">
        <f t="shared" si="5"/>
        <v>24.990000000000002</v>
      </c>
      <c r="K38" s="162">
        <f>IF(A38="Y", IF($K$15="BASE-UP",#REF!*2%, IF($K$15="TOP-DOWN",#REF!* 2%,0)),0)</f>
        <v>0</v>
      </c>
      <c r="L38" s="167">
        <f t="shared" si="6"/>
        <v>24.990000000000002</v>
      </c>
      <c r="M38" s="164"/>
      <c r="N38" s="528"/>
      <c r="O38" s="529"/>
      <c r="P38" s="78"/>
      <c r="Q38" s="72"/>
      <c r="R38" s="167">
        <f t="shared" ref="R38:R43" si="8">IF($R$47=0,,J38)</f>
        <v>0</v>
      </c>
      <c r="S38" s="249"/>
      <c r="T38" s="181">
        <f t="shared" si="3"/>
        <v>-24.990000000000002</v>
      </c>
      <c r="U38" s="385"/>
      <c r="V38" s="302"/>
      <c r="W38" s="127"/>
      <c r="X38" s="127"/>
      <c r="Y38" s="127"/>
      <c r="Z38" s="127"/>
      <c r="AA38" s="127"/>
    </row>
    <row r="39" spans="1:27" s="85" customFormat="1" ht="15.75" customHeight="1">
      <c r="A39" s="69" t="s">
        <v>6</v>
      </c>
      <c r="B39" s="75"/>
      <c r="C39" s="578" t="s">
        <v>332</v>
      </c>
      <c r="D39" s="579"/>
      <c r="E39" s="579"/>
      <c r="F39" s="580"/>
      <c r="G39" s="339" t="s">
        <v>199</v>
      </c>
      <c r="H39" s="92"/>
      <c r="I39" s="202"/>
      <c r="J39" s="155">
        <f>I39</f>
        <v>0</v>
      </c>
      <c r="K39" s="162">
        <f>IF(A39="Y", IF($K$15="BASE-UP",#REF!*2%, IF($K$15="TOP-DOWN",#REF!* 2%,0)),0)</f>
        <v>0</v>
      </c>
      <c r="L39" s="167">
        <f>J39-K39</f>
        <v>0</v>
      </c>
      <c r="M39" s="164"/>
      <c r="N39" s="528"/>
      <c r="O39" s="529"/>
      <c r="P39" s="78"/>
      <c r="Q39" s="72"/>
      <c r="R39" s="167">
        <f t="shared" si="8"/>
        <v>0</v>
      </c>
      <c r="S39" s="249"/>
      <c r="T39" s="181">
        <f>IF($T$15="Base-up   (B-A)",P39-L39,P39-R39)</f>
        <v>0</v>
      </c>
      <c r="U39" s="317"/>
      <c r="V39" s="304"/>
      <c r="W39" s="127"/>
      <c r="X39" s="127"/>
      <c r="Y39" s="127"/>
      <c r="Z39" s="127"/>
      <c r="AA39" s="127"/>
    </row>
    <row r="40" spans="1:27" s="85" customFormat="1" ht="34.5" customHeight="1">
      <c r="A40" s="69" t="s">
        <v>6</v>
      </c>
      <c r="B40" s="75"/>
      <c r="C40" s="499" t="s">
        <v>401</v>
      </c>
      <c r="D40" s="579"/>
      <c r="E40" s="579"/>
      <c r="F40" s="580"/>
      <c r="G40" s="339" t="s">
        <v>27</v>
      </c>
      <c r="H40" s="92"/>
      <c r="I40" s="202">
        <v>3</v>
      </c>
      <c r="J40" s="155">
        <f t="shared" si="5"/>
        <v>3</v>
      </c>
      <c r="K40" s="162"/>
      <c r="L40" s="167">
        <f t="shared" si="6"/>
        <v>3</v>
      </c>
      <c r="M40" s="164"/>
      <c r="N40" s="312"/>
      <c r="O40" s="313"/>
      <c r="P40" s="78"/>
      <c r="Q40" s="72"/>
      <c r="R40" s="167">
        <f t="shared" si="8"/>
        <v>0</v>
      </c>
      <c r="S40" s="249"/>
      <c r="T40" s="181">
        <f t="shared" si="3"/>
        <v>-3</v>
      </c>
      <c r="U40" s="317"/>
      <c r="V40" s="314"/>
      <c r="W40" s="127"/>
      <c r="X40" s="127"/>
      <c r="Y40" s="127"/>
      <c r="Z40" s="127"/>
      <c r="AA40" s="127"/>
    </row>
    <row r="41" spans="1:27" s="74" customFormat="1" ht="15.75" customHeight="1">
      <c r="A41" s="69" t="s">
        <v>6</v>
      </c>
      <c r="B41" s="94"/>
      <c r="C41" s="578" t="s">
        <v>326</v>
      </c>
      <c r="D41" s="579"/>
      <c r="E41" s="579"/>
      <c r="F41" s="580"/>
      <c r="G41" s="339" t="s">
        <v>199</v>
      </c>
      <c r="H41" s="92" t="s">
        <v>20</v>
      </c>
      <c r="I41" s="202"/>
      <c r="J41" s="155">
        <f t="shared" si="5"/>
        <v>0</v>
      </c>
      <c r="K41" s="162">
        <f>IF(A41="Y", IF($K$15="BASE-UP",#REF!*2%, IF($K$15="TOP-DOWN",#REF!* 2%,0)),0)</f>
        <v>0</v>
      </c>
      <c r="L41" s="167">
        <f t="shared" si="6"/>
        <v>0</v>
      </c>
      <c r="M41" s="164"/>
      <c r="N41" s="528"/>
      <c r="O41" s="529"/>
      <c r="P41" s="78"/>
      <c r="Q41" s="72"/>
      <c r="R41" s="167">
        <f t="shared" si="8"/>
        <v>0</v>
      </c>
      <c r="S41" s="249"/>
      <c r="T41" s="181">
        <f t="shared" si="3"/>
        <v>0</v>
      </c>
      <c r="U41" s="317"/>
      <c r="V41" s="301"/>
      <c r="W41" s="125"/>
      <c r="X41" s="125"/>
      <c r="Y41" s="125"/>
      <c r="Z41" s="125"/>
      <c r="AA41" s="125"/>
    </row>
    <row r="42" spans="1:27" s="74" customFormat="1" ht="63.75" customHeight="1">
      <c r="A42" s="69" t="s">
        <v>6</v>
      </c>
      <c r="B42" s="94"/>
      <c r="C42" s="499" t="s">
        <v>387</v>
      </c>
      <c r="D42" s="500"/>
      <c r="E42" s="500"/>
      <c r="F42" s="577"/>
      <c r="G42" s="339" t="s">
        <v>199</v>
      </c>
      <c r="H42" s="92" t="s">
        <v>73</v>
      </c>
      <c r="I42" s="202"/>
      <c r="J42" s="155">
        <f t="shared" si="5"/>
        <v>0</v>
      </c>
      <c r="K42" s="162">
        <f>IF(A42="Y", IF($K$15="BASE-UP",#REF!*2%, IF($K$15="TOP-DOWN",#REF!* 2%,0)),0)</f>
        <v>0</v>
      </c>
      <c r="L42" s="167">
        <f t="shared" si="6"/>
        <v>0</v>
      </c>
      <c r="M42" s="164"/>
      <c r="N42" s="528"/>
      <c r="O42" s="529"/>
      <c r="P42" s="78"/>
      <c r="Q42" s="72"/>
      <c r="R42" s="167">
        <f t="shared" si="8"/>
        <v>0</v>
      </c>
      <c r="S42" s="249"/>
      <c r="T42" s="181">
        <f t="shared" si="3"/>
        <v>0</v>
      </c>
      <c r="U42" s="317"/>
      <c r="V42" s="301"/>
      <c r="W42" s="125"/>
      <c r="X42" s="125"/>
      <c r="Y42" s="125"/>
      <c r="Z42" s="125"/>
      <c r="AA42" s="125"/>
    </row>
    <row r="43" spans="1:27" s="74" customFormat="1" ht="15.75" customHeight="1">
      <c r="A43" s="69" t="s">
        <v>6</v>
      </c>
      <c r="B43" s="94"/>
      <c r="C43" s="578" t="s">
        <v>194</v>
      </c>
      <c r="D43" s="579"/>
      <c r="E43" s="579"/>
      <c r="F43" s="580"/>
      <c r="G43" s="339" t="s">
        <v>27</v>
      </c>
      <c r="H43" s="92" t="s">
        <v>71</v>
      </c>
      <c r="I43" s="203"/>
      <c r="J43" s="155">
        <f t="shared" si="5"/>
        <v>0</v>
      </c>
      <c r="K43" s="162">
        <f>IF(A43="Y", IF($K$15="BASE-UP",#REF!*2%, IF($K$15="TOP-DOWN",#REF!* 2%,0)),0)</f>
        <v>0</v>
      </c>
      <c r="L43" s="167">
        <f t="shared" si="6"/>
        <v>0</v>
      </c>
      <c r="M43" s="164"/>
      <c r="N43" s="528"/>
      <c r="O43" s="529"/>
      <c r="P43" s="78"/>
      <c r="Q43" s="72"/>
      <c r="R43" s="167">
        <f t="shared" si="8"/>
        <v>0</v>
      </c>
      <c r="S43" s="249"/>
      <c r="T43" s="181">
        <f t="shared" si="3"/>
        <v>0</v>
      </c>
      <c r="U43" s="317"/>
      <c r="V43" s="301"/>
      <c r="W43" s="125"/>
      <c r="X43" s="125"/>
      <c r="Y43" s="125"/>
      <c r="Z43" s="125"/>
      <c r="AA43" s="125"/>
    </row>
    <row r="44" spans="1:27" s="74" customFormat="1" ht="15.75" hidden="1" customHeight="1">
      <c r="A44" s="69"/>
      <c r="B44" s="94"/>
      <c r="C44" s="581" t="s">
        <v>193</v>
      </c>
      <c r="D44" s="582"/>
      <c r="E44" s="582"/>
      <c r="F44" s="583"/>
      <c r="G44" s="95" t="s">
        <v>27</v>
      </c>
      <c r="H44" s="96" t="s">
        <v>37</v>
      </c>
      <c r="I44" s="97"/>
      <c r="J44" s="197"/>
      <c r="K44" s="163"/>
      <c r="L44" s="167">
        <f t="shared" si="6"/>
        <v>0</v>
      </c>
      <c r="M44" s="164"/>
      <c r="N44" s="528"/>
      <c r="O44" s="529"/>
      <c r="P44" s="78"/>
      <c r="Q44" s="72"/>
      <c r="R44" s="169"/>
      <c r="S44" s="251"/>
      <c r="T44" s="181">
        <f t="shared" si="3"/>
        <v>0</v>
      </c>
      <c r="U44" s="181"/>
      <c r="V44" s="77"/>
      <c r="W44" s="125"/>
      <c r="X44" s="125"/>
      <c r="Y44" s="125"/>
      <c r="Z44" s="125"/>
      <c r="AA44" s="125"/>
    </row>
    <row r="45" spans="1:27" s="125" customFormat="1" ht="15">
      <c r="A45" s="200"/>
      <c r="B45" s="123"/>
      <c r="C45" s="123"/>
      <c r="D45" s="123"/>
      <c r="E45" s="124"/>
      <c r="F45" s="124"/>
      <c r="J45" s="126"/>
      <c r="K45" s="126">
        <f>SUM(K18:K44)</f>
        <v>0</v>
      </c>
      <c r="L45" s="170"/>
      <c r="M45" s="127"/>
      <c r="P45" s="128"/>
      <c r="Q45" s="129"/>
      <c r="R45" s="170"/>
      <c r="S45" s="127"/>
      <c r="T45" s="180"/>
      <c r="U45" s="180"/>
      <c r="V45" s="130"/>
    </row>
    <row r="46" spans="1:27" s="125" customFormat="1" ht="15" hidden="1">
      <c r="A46" s="201" t="s">
        <v>7</v>
      </c>
      <c r="B46" s="123"/>
      <c r="C46" s="123"/>
      <c r="D46" s="123"/>
      <c r="E46" s="124"/>
      <c r="F46" s="124"/>
      <c r="J46" s="126"/>
      <c r="K46" s="126"/>
      <c r="L46" s="170"/>
      <c r="M46" s="127"/>
      <c r="P46" s="128"/>
      <c r="Q46" s="129"/>
      <c r="R46" s="170"/>
      <c r="S46" s="127"/>
      <c r="T46" s="180"/>
      <c r="U46" s="180"/>
      <c r="V46" s="130"/>
    </row>
    <row r="47" spans="1:27" s="106" customFormat="1" ht="16.5" thickBot="1">
      <c r="A47" s="201"/>
      <c r="B47" s="144"/>
      <c r="C47" s="144"/>
      <c r="D47" s="144"/>
      <c r="E47" s="131"/>
      <c r="F47" s="145" t="s">
        <v>72</v>
      </c>
      <c r="G47" s="146"/>
      <c r="H47" s="147" t="s">
        <v>1</v>
      </c>
      <c r="I47" s="148">
        <f>SUM(I34:I45)</f>
        <v>131</v>
      </c>
      <c r="J47" s="148">
        <f>SUM(J34:J44)</f>
        <v>127</v>
      </c>
      <c r="K47" s="149"/>
      <c r="L47" s="171">
        <f>SUM(L34:L45)</f>
        <v>131</v>
      </c>
      <c r="M47" s="150"/>
      <c r="N47" s="144" t="s">
        <v>1</v>
      </c>
      <c r="O47" s="144"/>
      <c r="P47" s="151">
        <f>SUM(P34:P45)</f>
        <v>0</v>
      </c>
      <c r="Q47" s="150"/>
      <c r="R47" s="253"/>
      <c r="S47" s="252"/>
      <c r="T47" s="193">
        <f>SUM(T34:T45)</f>
        <v>-131</v>
      </c>
      <c r="U47" s="315"/>
      <c r="V47" s="152"/>
    </row>
    <row r="48" spans="1:27" s="54" customFormat="1" ht="15.75" customHeight="1" thickTop="1">
      <c r="A48" s="487" t="s">
        <v>57</v>
      </c>
      <c r="B48" s="487"/>
      <c r="C48" s="487"/>
      <c r="D48" s="210"/>
      <c r="E48" s="133"/>
      <c r="F48" s="133"/>
      <c r="L48" s="135"/>
      <c r="M48" s="136"/>
      <c r="Q48" s="137"/>
      <c r="R48" s="137"/>
      <c r="S48" s="137"/>
      <c r="T48" s="138"/>
      <c r="U48" s="138"/>
      <c r="V48" s="139"/>
    </row>
    <row r="49" spans="1:22" s="141" customFormat="1" ht="18" customHeight="1">
      <c r="A49" s="388">
        <v>1</v>
      </c>
      <c r="B49" s="618"/>
      <c r="C49" s="619"/>
      <c r="D49" s="619"/>
      <c r="E49" s="619"/>
      <c r="F49" s="619"/>
      <c r="G49" s="619"/>
      <c r="H49" s="619"/>
      <c r="I49" s="619"/>
      <c r="J49" s="619"/>
      <c r="K49" s="619"/>
      <c r="L49" s="619"/>
      <c r="M49" s="619"/>
      <c r="N49" s="619"/>
      <c r="O49" s="619"/>
      <c r="P49" s="619"/>
      <c r="Q49" s="619"/>
      <c r="R49" s="619"/>
      <c r="S49" s="619"/>
      <c r="T49" s="619"/>
      <c r="U49" s="619"/>
      <c r="V49" s="620"/>
    </row>
    <row r="50" spans="1:22" s="141" customFormat="1" ht="18" customHeight="1">
      <c r="A50" s="388">
        <v>2</v>
      </c>
      <c r="B50" s="618"/>
      <c r="C50" s="619"/>
      <c r="D50" s="619"/>
      <c r="E50" s="619"/>
      <c r="F50" s="619"/>
      <c r="G50" s="619"/>
      <c r="H50" s="619"/>
      <c r="I50" s="619"/>
      <c r="J50" s="619"/>
      <c r="K50" s="619"/>
      <c r="L50" s="619"/>
      <c r="M50" s="619"/>
      <c r="N50" s="619"/>
      <c r="O50" s="619"/>
      <c r="P50" s="619"/>
      <c r="Q50" s="619"/>
      <c r="R50" s="619"/>
      <c r="S50" s="619"/>
      <c r="T50" s="619"/>
      <c r="U50" s="619"/>
      <c r="V50" s="620"/>
    </row>
    <row r="51" spans="1:22" s="141" customFormat="1" ht="18" customHeight="1">
      <c r="A51" s="388">
        <v>3</v>
      </c>
      <c r="B51" s="618"/>
      <c r="C51" s="619"/>
      <c r="D51" s="619"/>
      <c r="E51" s="619"/>
      <c r="F51" s="619"/>
      <c r="G51" s="619"/>
      <c r="H51" s="619"/>
      <c r="I51" s="619"/>
      <c r="J51" s="619"/>
      <c r="K51" s="619"/>
      <c r="L51" s="619"/>
      <c r="M51" s="619"/>
      <c r="N51" s="619"/>
      <c r="O51" s="619"/>
      <c r="P51" s="619"/>
      <c r="Q51" s="619"/>
      <c r="R51" s="619"/>
      <c r="S51" s="619"/>
      <c r="T51" s="619"/>
      <c r="U51" s="619"/>
      <c r="V51" s="620"/>
    </row>
    <row r="52" spans="1:22" s="54" customFormat="1" ht="21" customHeight="1">
      <c r="A52" s="388">
        <v>4</v>
      </c>
      <c r="B52" s="618"/>
      <c r="C52" s="619"/>
      <c r="D52" s="619"/>
      <c r="E52" s="619"/>
      <c r="F52" s="619"/>
      <c r="G52" s="619"/>
      <c r="H52" s="619"/>
      <c r="I52" s="619"/>
      <c r="J52" s="619"/>
      <c r="K52" s="619"/>
      <c r="L52" s="619"/>
      <c r="M52" s="619"/>
      <c r="N52" s="619"/>
      <c r="O52" s="619"/>
      <c r="P52" s="619"/>
      <c r="Q52" s="619"/>
      <c r="R52" s="619"/>
      <c r="S52" s="619"/>
      <c r="T52" s="619"/>
      <c r="U52" s="619"/>
      <c r="V52" s="620"/>
    </row>
  </sheetData>
  <sheetProtection insertRows="0"/>
  <mergeCells count="125">
    <mergeCell ref="B51:V51"/>
    <mergeCell ref="C43:F43"/>
    <mergeCell ref="N43:O43"/>
    <mergeCell ref="C44:F44"/>
    <mergeCell ref="N44:O44"/>
    <mergeCell ref="A48:C48"/>
    <mergeCell ref="C37:F37"/>
    <mergeCell ref="N37:O37"/>
    <mergeCell ref="C38:F38"/>
    <mergeCell ref="N38:O38"/>
    <mergeCell ref="B50:V50"/>
    <mergeCell ref="C41:F41"/>
    <mergeCell ref="N41:O41"/>
    <mergeCell ref="C42:F42"/>
    <mergeCell ref="N42:O42"/>
    <mergeCell ref="B49:V49"/>
    <mergeCell ref="C39:F39"/>
    <mergeCell ref="N39:O39"/>
    <mergeCell ref="C40:F40"/>
    <mergeCell ref="C33:F33"/>
    <mergeCell ref="N33:O33"/>
    <mergeCell ref="C34:F34"/>
    <mergeCell ref="C35:F35"/>
    <mergeCell ref="C36:F36"/>
    <mergeCell ref="N36:O36"/>
    <mergeCell ref="N34:O34"/>
    <mergeCell ref="L3:M3"/>
    <mergeCell ref="N29:O29"/>
    <mergeCell ref="C31:E31"/>
    <mergeCell ref="F31:F32"/>
    <mergeCell ref="N31:O31"/>
    <mergeCell ref="C32:E32"/>
    <mergeCell ref="C30:F30"/>
    <mergeCell ref="N30:O30"/>
    <mergeCell ref="C29:F29"/>
    <mergeCell ref="N35:O35"/>
    <mergeCell ref="N20:O20"/>
    <mergeCell ref="C24:D24"/>
    <mergeCell ref="E24:F28"/>
    <mergeCell ref="N24:O24"/>
    <mergeCell ref="C25:D25"/>
    <mergeCell ref="N25:O25"/>
    <mergeCell ref="C27:D27"/>
    <mergeCell ref="C20:F20"/>
    <mergeCell ref="N32:O32"/>
    <mergeCell ref="C17:F17"/>
    <mergeCell ref="N17:O17"/>
    <mergeCell ref="K13:L13"/>
    <mergeCell ref="N13:P13"/>
    <mergeCell ref="C14:F15"/>
    <mergeCell ref="I14:I15"/>
    <mergeCell ref="K14:K15"/>
    <mergeCell ref="L14:L15"/>
    <mergeCell ref="N14:O14"/>
    <mergeCell ref="N27:O27"/>
    <mergeCell ref="C26:D26"/>
    <mergeCell ref="N26:O26"/>
    <mergeCell ref="C28:D28"/>
    <mergeCell ref="N28:O28"/>
    <mergeCell ref="N21:O21"/>
    <mergeCell ref="C22:F22"/>
    <mergeCell ref="N22:O22"/>
    <mergeCell ref="C23:F23"/>
    <mergeCell ref="N23:O23"/>
    <mergeCell ref="C21:F21"/>
    <mergeCell ref="P7:V7"/>
    <mergeCell ref="C18:F18"/>
    <mergeCell ref="N18:O18"/>
    <mergeCell ref="C19:F19"/>
    <mergeCell ref="N19:O19"/>
    <mergeCell ref="P8:V9"/>
    <mergeCell ref="A9:C9"/>
    <mergeCell ref="D9:E9"/>
    <mergeCell ref="F9:G9"/>
    <mergeCell ref="P10:V10"/>
    <mergeCell ref="A11:C11"/>
    <mergeCell ref="D11:E11"/>
    <mergeCell ref="F11:G11"/>
    <mergeCell ref="I11:J11"/>
    <mergeCell ref="K11:M11"/>
    <mergeCell ref="P11:V11"/>
    <mergeCell ref="N15:O15"/>
    <mergeCell ref="T15:T16"/>
    <mergeCell ref="B18:B19"/>
    <mergeCell ref="A10:C10"/>
    <mergeCell ref="D10:E10"/>
    <mergeCell ref="F10:G10"/>
    <mergeCell ref="I10:J10"/>
    <mergeCell ref="K10:M10"/>
    <mergeCell ref="K6:M6"/>
    <mergeCell ref="I9:J9"/>
    <mergeCell ref="A7:C7"/>
    <mergeCell ref="D7:E7"/>
    <mergeCell ref="F7:G7"/>
    <mergeCell ref="A8:C8"/>
    <mergeCell ref="D8:E8"/>
    <mergeCell ref="F8:G8"/>
    <mergeCell ref="I8:J8"/>
    <mergeCell ref="K8:M8"/>
    <mergeCell ref="I7:J7"/>
    <mergeCell ref="K7:M7"/>
    <mergeCell ref="B52:V52"/>
    <mergeCell ref="A1:J1"/>
    <mergeCell ref="P3:V3"/>
    <mergeCell ref="A4:C4"/>
    <mergeCell ref="D4:E4"/>
    <mergeCell ref="F4:G4"/>
    <mergeCell ref="P6:V6"/>
    <mergeCell ref="I4:J4"/>
    <mergeCell ref="K4:M4"/>
    <mergeCell ref="P4:V4"/>
    <mergeCell ref="A5:C5"/>
    <mergeCell ref="D5:E5"/>
    <mergeCell ref="F5:G5"/>
    <mergeCell ref="I5:J5"/>
    <mergeCell ref="K5:M5"/>
    <mergeCell ref="P5:V5"/>
    <mergeCell ref="L1:T1"/>
    <mergeCell ref="U14:U16"/>
    <mergeCell ref="V14:V16"/>
    <mergeCell ref="K9:M9"/>
    <mergeCell ref="A6:C6"/>
    <mergeCell ref="D6:E6"/>
    <mergeCell ref="F6:G6"/>
    <mergeCell ref="I6:J6"/>
  </mergeCells>
  <conditionalFormatting sqref="I27:L27 I31:J33 I18:J29 R17:R33 R35:R44 K17:L44 J30">
    <cfRule type="cellIs" dxfId="41" priority="23" stopIfTrue="1" operator="equal">
      <formula>0</formula>
    </cfRule>
  </conditionalFormatting>
  <conditionalFormatting sqref="H17:H23 H29 H31:H33">
    <cfRule type="expression" dxfId="40" priority="22" stopIfTrue="1">
      <formula>MOD(ROW(),2)=0</formula>
    </cfRule>
  </conditionalFormatting>
  <conditionalFormatting sqref="T12:U13 T48:U48 T53:U65535">
    <cfRule type="cellIs" dxfId="39" priority="21" stopIfTrue="1" operator="notEqual">
      <formula>0</formula>
    </cfRule>
  </conditionalFormatting>
  <conditionalFormatting sqref="H24:H29">
    <cfRule type="expression" dxfId="38" priority="20" stopIfTrue="1">
      <formula>MOD(ROW(), 2)=0</formula>
    </cfRule>
  </conditionalFormatting>
  <conditionalFormatting sqref="R17:R44">
    <cfRule type="cellIs" dxfId="37" priority="18" operator="equal">
      <formula>0</formula>
    </cfRule>
  </conditionalFormatting>
  <conditionalFormatting sqref="N17:P43">
    <cfRule type="expression" dxfId="36" priority="17">
      <formula>MOD(ROW(),2)=0</formula>
    </cfRule>
  </conditionalFormatting>
  <conditionalFormatting sqref="U17:U43">
    <cfRule type="cellIs" dxfId="35" priority="3" operator="greaterThan">
      <formula>0</formula>
    </cfRule>
  </conditionalFormatting>
  <conditionalFormatting sqref="E24">
    <cfRule type="cellIs" dxfId="34" priority="1" operator="notEqual">
      <formula>"GC 76000 PA ($" &amp;N11 &amp;" for every 10) breakdown per local board of supervisor resolution (BOS)."</formula>
    </cfRule>
  </conditionalFormatting>
  <dataValidations count="1">
    <dataValidation type="list" allowBlank="1" showInputMessage="1" showErrorMessage="1" sqref="T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J34 L34 R30" formula="1"/>
    <ignoredError sqref="I37:I38" unlockedFormula="1"/>
  </ignoredErrors>
  <legacyDrawing r:id="rId2"/>
</worksheet>
</file>

<file path=xl/worksheets/sheet17.xml><?xml version="1.0" encoding="utf-8"?>
<worksheet xmlns="http://schemas.openxmlformats.org/spreadsheetml/2006/main" xmlns:r="http://schemas.openxmlformats.org/officeDocument/2006/relationships">
  <sheetPr codeName="Sheet30">
    <tabColor theme="6"/>
    <pageSetUpPr fitToPage="1"/>
  </sheetPr>
  <dimension ref="A1:AD52"/>
  <sheetViews>
    <sheetView zoomScale="80" zoomScaleNormal="80" workbookViewId="0">
      <pane ySplit="1" topLeftCell="A2" activePane="bottomLeft" state="frozen"/>
      <selection pane="bottomLeft" sqref="A1:M1"/>
    </sheetView>
  </sheetViews>
  <sheetFormatPr defaultRowHeight="18.75"/>
  <cols>
    <col min="1" max="1" width="4.28515625" style="98" customWidth="1"/>
    <col min="2" max="2" width="4.7109375" style="98" customWidth="1"/>
    <col min="3" max="3" width="13.5703125" style="98" customWidth="1"/>
    <col min="4" max="4" width="12" style="98" customWidth="1"/>
    <col min="5" max="5" width="11.28515625" style="99" customWidth="1"/>
    <col min="6" max="6" width="17.42578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85546875" style="101" customWidth="1"/>
    <col min="25" max="25" width="19.140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c r="A1" s="532" t="s">
        <v>238</v>
      </c>
      <c r="B1" s="533"/>
      <c r="C1" s="533"/>
      <c r="D1" s="533"/>
      <c r="E1" s="533"/>
      <c r="F1" s="533"/>
      <c r="G1" s="533"/>
      <c r="H1" s="533"/>
      <c r="I1" s="533"/>
      <c r="J1" s="533"/>
      <c r="K1" s="533"/>
      <c r="L1" s="533"/>
      <c r="M1" s="533"/>
      <c r="N1" s="530"/>
      <c r="O1" s="530"/>
      <c r="P1" s="530"/>
      <c r="Q1" s="530"/>
      <c r="R1" s="530"/>
      <c r="S1" s="530"/>
      <c r="T1" s="530"/>
      <c r="U1" s="530"/>
      <c r="V1" s="530"/>
      <c r="W1" s="530"/>
      <c r="X1" s="355" t="s">
        <v>364</v>
      </c>
      <c r="Y1" s="375" t="str">
        <f>'Cover Page'!A3</f>
        <v>January 2014</v>
      </c>
    </row>
    <row r="2" spans="1:30" s="54" customFormat="1" ht="6" customHeight="1" thickBot="1">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c r="A3" s="395" t="s">
        <v>203</v>
      </c>
      <c r="B3" s="396"/>
      <c r="C3" s="396"/>
      <c r="D3" s="396"/>
      <c r="E3" s="396"/>
      <c r="F3" s="396"/>
      <c r="G3" s="396"/>
      <c r="H3" s="396"/>
      <c r="I3" s="396"/>
      <c r="J3" s="396"/>
      <c r="K3" s="396"/>
      <c r="L3" s="396"/>
      <c r="M3" s="396"/>
      <c r="N3" s="396"/>
      <c r="O3" s="677"/>
      <c r="P3" s="678"/>
      <c r="Q3" s="400"/>
      <c r="R3" s="236"/>
      <c r="S3" s="689" t="s">
        <v>230</v>
      </c>
      <c r="T3" s="690"/>
      <c r="U3" s="690"/>
      <c r="V3" s="690"/>
      <c r="W3" s="690"/>
      <c r="X3" s="690"/>
      <c r="Y3" s="691"/>
      <c r="AA3" s="174" t="s">
        <v>219</v>
      </c>
      <c r="AB3" s="132"/>
    </row>
    <row r="4" spans="1:30" s="57" customFormat="1" ht="15.75">
      <c r="A4" s="547" t="s">
        <v>200</v>
      </c>
      <c r="B4" s="544"/>
      <c r="C4" s="544"/>
      <c r="D4" s="548">
        <f>N1</f>
        <v>0</v>
      </c>
      <c r="E4" s="549"/>
      <c r="F4" s="705" t="s">
        <v>24</v>
      </c>
      <c r="G4" s="706"/>
      <c r="H4" s="706"/>
      <c r="I4" s="707"/>
      <c r="J4" s="700"/>
      <c r="K4" s="700"/>
      <c r="L4" s="700"/>
      <c r="M4" s="700"/>
      <c r="N4" s="701"/>
      <c r="O4" s="627" t="s">
        <v>226</v>
      </c>
      <c r="P4" s="627"/>
      <c r="Q4" s="209">
        <v>0</v>
      </c>
      <c r="R4" s="237"/>
      <c r="S4" s="702" t="s">
        <v>205</v>
      </c>
      <c r="T4" s="703"/>
      <c r="U4" s="703"/>
      <c r="V4" s="703"/>
      <c r="W4" s="703"/>
      <c r="X4" s="703"/>
      <c r="Y4" s="704"/>
      <c r="AA4" s="267" t="s">
        <v>272</v>
      </c>
      <c r="AB4" s="265" t="s">
        <v>273</v>
      </c>
      <c r="AC4" s="265" t="s">
        <v>274</v>
      </c>
    </row>
    <row r="5" spans="1:30" s="57" customFormat="1" ht="15.75">
      <c r="A5" s="545" t="s">
        <v>3</v>
      </c>
      <c r="B5" s="546"/>
      <c r="C5" s="546"/>
      <c r="D5" s="566"/>
      <c r="E5" s="538"/>
      <c r="F5" s="628" t="s">
        <v>213</v>
      </c>
      <c r="G5" s="629"/>
      <c r="H5" s="629"/>
      <c r="I5" s="565"/>
      <c r="J5" s="692"/>
      <c r="K5" s="692"/>
      <c r="L5" s="692"/>
      <c r="M5" s="692"/>
      <c r="N5" s="504"/>
      <c r="O5" s="629" t="s">
        <v>19</v>
      </c>
      <c r="P5" s="629"/>
      <c r="Q5" s="58"/>
      <c r="R5" s="237"/>
      <c r="S5" s="630" t="s">
        <v>266</v>
      </c>
      <c r="T5" s="631"/>
      <c r="U5" s="631"/>
      <c r="V5" s="631"/>
      <c r="W5" s="631"/>
      <c r="X5" s="631"/>
      <c r="Y5" s="632"/>
      <c r="AA5" s="172" t="s">
        <v>27</v>
      </c>
      <c r="AB5" s="176">
        <f>SUMIF($G$16:$G$45,"STATE",$M$16:$M$45)</f>
        <v>77.823999999999998</v>
      </c>
      <c r="AC5" s="176">
        <f>SUMIF($G$16:$G$45,"STATE",$U$16:$U$45)</f>
        <v>0</v>
      </c>
    </row>
    <row r="6" spans="1:30" s="57" customFormat="1" ht="16.5" thickBot="1">
      <c r="A6" s="545" t="s">
        <v>11</v>
      </c>
      <c r="B6" s="546"/>
      <c r="C6" s="546"/>
      <c r="D6" s="566"/>
      <c r="E6" s="639"/>
      <c r="F6" s="628" t="s">
        <v>17</v>
      </c>
      <c r="G6" s="629"/>
      <c r="H6" s="629"/>
      <c r="I6" s="565"/>
      <c r="J6" s="692" t="s">
        <v>281</v>
      </c>
      <c r="K6" s="692"/>
      <c r="L6" s="692"/>
      <c r="M6" s="692"/>
      <c r="N6" s="504"/>
      <c r="O6" s="640" t="s">
        <v>202</v>
      </c>
      <c r="P6" s="640"/>
      <c r="Q6" s="212">
        <f>Q4+Q5*10</f>
        <v>0</v>
      </c>
      <c r="R6" s="237"/>
      <c r="S6" s="624" t="s">
        <v>415</v>
      </c>
      <c r="T6" s="625"/>
      <c r="U6" s="625"/>
      <c r="V6" s="625"/>
      <c r="W6" s="625"/>
      <c r="X6" s="625"/>
      <c r="Y6" s="626"/>
      <c r="AA6" s="172" t="s">
        <v>28</v>
      </c>
      <c r="AB6" s="176">
        <f>SUMIF($G$16:$G$45,"COUNTY",$M$16:$M$45)</f>
        <v>1.1759999999999999</v>
      </c>
      <c r="AC6" s="176">
        <f>SUMIF($G$16:$G$45,"COUNTY",$U$16:$U$45)</f>
        <v>0</v>
      </c>
    </row>
    <row r="7" spans="1:30" s="57" customFormat="1" ht="16.5" thickBot="1">
      <c r="A7" s="545" t="s">
        <v>4</v>
      </c>
      <c r="B7" s="546"/>
      <c r="C7" s="546"/>
      <c r="D7" s="503"/>
      <c r="E7" s="538"/>
      <c r="F7" s="710" t="s">
        <v>18</v>
      </c>
      <c r="G7" s="711"/>
      <c r="H7" s="711"/>
      <c r="I7" s="712"/>
      <c r="J7" s="713" t="s">
        <v>2</v>
      </c>
      <c r="K7" s="713"/>
      <c r="L7" s="713"/>
      <c r="M7" s="713"/>
      <c r="N7" s="540"/>
      <c r="O7" s="234"/>
      <c r="P7" s="240"/>
      <c r="Q7" s="235"/>
      <c r="R7" s="237"/>
      <c r="S7" s="694" t="s">
        <v>204</v>
      </c>
      <c r="T7" s="695"/>
      <c r="U7" s="695"/>
      <c r="V7" s="695"/>
      <c r="W7" s="695"/>
      <c r="X7" s="695"/>
      <c r="Y7" s="696"/>
      <c r="AA7" s="172" t="s">
        <v>48</v>
      </c>
      <c r="AB7" s="176">
        <f>SUMIF($G$16:$G$45,"CITY",$M$16:$M$45)</f>
        <v>0</v>
      </c>
      <c r="AC7" s="176">
        <f>SUMIF($G$16:$G$45,"CITY",$U$16:$U$45)</f>
        <v>0</v>
      </c>
    </row>
    <row r="8" spans="1:30" s="57" customFormat="1" ht="15.75" customHeight="1">
      <c r="A8" s="697" t="s">
        <v>50</v>
      </c>
      <c r="B8" s="643"/>
      <c r="C8" s="643"/>
      <c r="D8" s="698">
        <v>1</v>
      </c>
      <c r="E8" s="699"/>
      <c r="F8" s="646" t="s">
        <v>222</v>
      </c>
      <c r="G8" s="647"/>
      <c r="H8" s="647"/>
      <c r="I8" s="543"/>
      <c r="J8" s="700"/>
      <c r="K8" s="700"/>
      <c r="L8" s="700"/>
      <c r="M8" s="700"/>
      <c r="N8" s="701"/>
      <c r="O8" s="647" t="s">
        <v>226</v>
      </c>
      <c r="P8" s="647"/>
      <c r="Q8" s="55">
        <v>0</v>
      </c>
      <c r="R8" s="238"/>
      <c r="S8" s="722" t="s">
        <v>267</v>
      </c>
      <c r="T8" s="611"/>
      <c r="U8" s="611"/>
      <c r="V8" s="611"/>
      <c r="W8" s="611"/>
      <c r="X8" s="611"/>
      <c r="Y8" s="723"/>
      <c r="AA8" s="172" t="s">
        <v>199</v>
      </c>
      <c r="AB8" s="176">
        <f>SUMIF($G$16:$G$45,"COURT",$M$16:$M$45)</f>
        <v>0</v>
      </c>
      <c r="AC8" s="176">
        <f>SUMIF($G$16:$G$45,"COURT",$U$16:$U$45)</f>
        <v>0</v>
      </c>
    </row>
    <row r="9" spans="1:30" s="57" customFormat="1" ht="18" customHeight="1" thickBot="1">
      <c r="A9" s="726" t="s">
        <v>49</v>
      </c>
      <c r="B9" s="727"/>
      <c r="C9" s="727"/>
      <c r="D9" s="534">
        <f>100%-D8</f>
        <v>0</v>
      </c>
      <c r="E9" s="535"/>
      <c r="F9" s="628" t="s">
        <v>213</v>
      </c>
      <c r="G9" s="629"/>
      <c r="H9" s="629"/>
      <c r="I9" s="565"/>
      <c r="J9" s="692"/>
      <c r="K9" s="692"/>
      <c r="L9" s="692"/>
      <c r="M9" s="692"/>
      <c r="N9" s="504"/>
      <c r="O9" s="629" t="s">
        <v>19</v>
      </c>
      <c r="P9" s="629"/>
      <c r="Q9" s="58"/>
      <c r="R9" s="238"/>
      <c r="S9" s="724"/>
      <c r="T9" s="614"/>
      <c r="U9" s="614"/>
      <c r="V9" s="614"/>
      <c r="W9" s="614"/>
      <c r="X9" s="614"/>
      <c r="Y9" s="725"/>
      <c r="AA9" s="153" t="s">
        <v>339</v>
      </c>
      <c r="AB9" s="176">
        <f>SUMIF($G$16:$G$45,"CNTY or CTY",$M$16:$M$45)</f>
        <v>0</v>
      </c>
      <c r="AC9" s="176">
        <f>SUMIF($G$16:$G$45,"CNTY or CTY",$U$16:$U$45)</f>
        <v>0</v>
      </c>
    </row>
    <row r="10" spans="1:30" s="57" customFormat="1" ht="16.5" customHeight="1" thickBot="1">
      <c r="A10" s="495" t="s">
        <v>241</v>
      </c>
      <c r="B10" s="496"/>
      <c r="C10" s="496"/>
      <c r="D10" s="491">
        <f>Q6+Q10</f>
        <v>0</v>
      </c>
      <c r="E10" s="492"/>
      <c r="F10" s="628" t="s">
        <v>17</v>
      </c>
      <c r="G10" s="629"/>
      <c r="H10" s="629"/>
      <c r="I10" s="565"/>
      <c r="J10" s="692"/>
      <c r="K10" s="692"/>
      <c r="L10" s="692"/>
      <c r="M10" s="692"/>
      <c r="N10" s="504"/>
      <c r="O10" s="640" t="s">
        <v>202</v>
      </c>
      <c r="P10" s="640"/>
      <c r="Q10" s="212">
        <f>Q8+Q9*10</f>
        <v>0</v>
      </c>
      <c r="R10" s="239"/>
      <c r="S10" s="708" t="s">
        <v>208</v>
      </c>
      <c r="T10" s="652"/>
      <c r="U10" s="652"/>
      <c r="V10" s="652"/>
      <c r="W10" s="652"/>
      <c r="X10" s="652"/>
      <c r="Y10" s="709"/>
      <c r="AA10" s="262" t="s">
        <v>215</v>
      </c>
      <c r="AB10" s="148">
        <f>SUM(AB5:AB9)</f>
        <v>79</v>
      </c>
      <c r="AC10" s="148">
        <f>SUM(AC5:AC9)</f>
        <v>0</v>
      </c>
    </row>
    <row r="11" spans="1:30" s="57" customFormat="1" ht="16.5" customHeight="1" thickBot="1">
      <c r="A11" s="493" t="s">
        <v>242</v>
      </c>
      <c r="B11" s="494"/>
      <c r="C11" s="494"/>
      <c r="D11" s="489">
        <f>ROUNDUP(D10/10,0)</f>
        <v>0</v>
      </c>
      <c r="E11" s="490"/>
      <c r="F11" s="642" t="s">
        <v>18</v>
      </c>
      <c r="G11" s="731"/>
      <c r="H11" s="731"/>
      <c r="I11" s="518"/>
      <c r="J11" s="501"/>
      <c r="K11" s="502"/>
      <c r="L11" s="502"/>
      <c r="M11" s="502"/>
      <c r="N11" s="654"/>
      <c r="O11" s="655" t="s">
        <v>410</v>
      </c>
      <c r="P11" s="732"/>
      <c r="Q11" s="416">
        <f>'Local Penalties'!B8</f>
        <v>7</v>
      </c>
      <c r="R11" s="239"/>
      <c r="S11" s="714" t="s">
        <v>334</v>
      </c>
      <c r="T11" s="715"/>
      <c r="U11" s="715"/>
      <c r="V11" s="715"/>
      <c r="W11" s="715"/>
      <c r="X11" s="715"/>
      <c r="Y11" s="716"/>
      <c r="AB11" s="266">
        <f>AB10-M47</f>
        <v>0</v>
      </c>
      <c r="AC11" s="266">
        <f>AC10-U47</f>
        <v>0</v>
      </c>
    </row>
    <row r="12" spans="1:30" s="57" customFormat="1" ht="15.75" customHeight="1" thickBot="1">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c r="A13" s="192"/>
      <c r="B13" s="192"/>
      <c r="C13" s="192"/>
      <c r="D13" s="192"/>
      <c r="E13" s="192"/>
      <c r="F13" s="107"/>
      <c r="G13" s="108"/>
      <c r="I13" s="284"/>
      <c r="J13" s="285"/>
      <c r="K13" s="717" t="s">
        <v>261</v>
      </c>
      <c r="L13" s="666"/>
      <c r="M13" s="666"/>
      <c r="N13" s="110"/>
      <c r="O13" s="718" t="s">
        <v>198</v>
      </c>
      <c r="P13" s="669"/>
      <c r="Q13" s="670"/>
      <c r="R13" s="111"/>
      <c r="S13" s="719" t="s">
        <v>260</v>
      </c>
      <c r="T13" s="720"/>
      <c r="U13" s="721"/>
      <c r="V13" s="225"/>
      <c r="W13" s="158"/>
      <c r="X13" s="158"/>
      <c r="Y13" s="159"/>
      <c r="Z13" s="108"/>
      <c r="AA13" s="108"/>
      <c r="AB13" s="108"/>
      <c r="AC13" s="108"/>
      <c r="AD13" s="108"/>
    </row>
    <row r="14" spans="1:30" ht="44.25" customHeight="1" thickBot="1">
      <c r="A14" s="112">
        <v>0.02</v>
      </c>
      <c r="B14" s="112" t="s">
        <v>54</v>
      </c>
      <c r="C14" s="505" t="s">
        <v>195</v>
      </c>
      <c r="D14" s="506"/>
      <c r="E14" s="506"/>
      <c r="F14" s="507"/>
      <c r="G14" s="113" t="s">
        <v>218</v>
      </c>
      <c r="H14" s="114" t="s">
        <v>0</v>
      </c>
      <c r="I14" s="673" t="s">
        <v>262</v>
      </c>
      <c r="J14" s="729" t="s">
        <v>240</v>
      </c>
      <c r="K14" s="673" t="s">
        <v>279</v>
      </c>
      <c r="L14" s="671" t="s">
        <v>5</v>
      </c>
      <c r="M14" s="233" t="s">
        <v>263</v>
      </c>
      <c r="N14" s="67"/>
      <c r="O14" s="601" t="s">
        <v>229</v>
      </c>
      <c r="P14" s="602"/>
      <c r="Q14" s="120" t="s">
        <v>217</v>
      </c>
      <c r="R14" s="121"/>
      <c r="S14" s="331" t="s">
        <v>333</v>
      </c>
      <c r="T14" s="671" t="s">
        <v>5</v>
      </c>
      <c r="U14" s="233" t="s">
        <v>263</v>
      </c>
      <c r="V14" s="227"/>
      <c r="W14" s="263" t="s">
        <v>225</v>
      </c>
      <c r="X14" s="633" t="s">
        <v>57</v>
      </c>
      <c r="Y14" s="636" t="s">
        <v>301</v>
      </c>
    </row>
    <row r="15" spans="1:30" ht="30.75" customHeight="1" thickBot="1">
      <c r="A15" s="115"/>
      <c r="B15" s="115"/>
      <c r="C15" s="508"/>
      <c r="D15" s="509"/>
      <c r="E15" s="509"/>
      <c r="F15" s="510"/>
      <c r="G15" s="116"/>
      <c r="H15" s="116"/>
      <c r="I15" s="728"/>
      <c r="J15" s="730"/>
      <c r="K15" s="728"/>
      <c r="L15" s="675"/>
      <c r="M15" s="242" t="s">
        <v>38</v>
      </c>
      <c r="N15" s="68"/>
      <c r="O15" s="599"/>
      <c r="P15" s="600"/>
      <c r="Q15" s="243" t="s">
        <v>39</v>
      </c>
      <c r="R15" s="121"/>
      <c r="S15" s="244">
        <f>(S35-S31)/(K35-K31)</f>
        <v>0</v>
      </c>
      <c r="T15" s="675"/>
      <c r="U15" s="242" t="s">
        <v>40</v>
      </c>
      <c r="V15" s="227"/>
      <c r="W15" s="295" t="s">
        <v>264</v>
      </c>
      <c r="X15" s="635"/>
      <c r="Y15" s="638"/>
    </row>
    <row r="16" spans="1:30" s="74" customFormat="1" ht="15.75" hidden="1" customHeight="1" thickTop="1">
      <c r="A16" s="69" t="s">
        <v>7</v>
      </c>
      <c r="B16" s="195"/>
      <c r="C16" s="571"/>
      <c r="D16" s="571"/>
      <c r="E16" s="571"/>
      <c r="F16" s="571"/>
      <c r="G16" s="70"/>
      <c r="H16" s="71"/>
      <c r="I16" s="154"/>
      <c r="J16" s="162"/>
      <c r="K16" s="162"/>
      <c r="L16" s="162"/>
      <c r="M16" s="198"/>
      <c r="N16" s="164"/>
      <c r="O16" s="616"/>
      <c r="P16" s="617"/>
      <c r="Q16" s="190"/>
      <c r="R16" s="72"/>
      <c r="S16" s="160"/>
      <c r="T16" s="162"/>
      <c r="U16" s="166"/>
      <c r="V16" s="228"/>
      <c r="W16" s="181"/>
      <c r="X16" s="181"/>
      <c r="Y16" s="105"/>
      <c r="Z16" s="125"/>
      <c r="AA16" s="125"/>
      <c r="AB16" s="125"/>
      <c r="AC16" s="125"/>
      <c r="AD16" s="125"/>
    </row>
    <row r="17" spans="1:30" s="74" customFormat="1" ht="15.75" hidden="1" customHeight="1">
      <c r="A17" s="69" t="s">
        <v>7</v>
      </c>
      <c r="B17" s="260"/>
      <c r="C17" s="528"/>
      <c r="D17" s="585"/>
      <c r="E17" s="585"/>
      <c r="F17" s="586"/>
      <c r="G17" s="76"/>
      <c r="H17" s="77"/>
      <c r="I17" s="156"/>
      <c r="J17" s="162"/>
      <c r="K17" s="162"/>
      <c r="L17" s="162"/>
      <c r="M17" s="167"/>
      <c r="N17" s="164"/>
      <c r="O17" s="528"/>
      <c r="P17" s="529"/>
      <c r="Q17" s="287"/>
      <c r="R17" s="72"/>
      <c r="S17" s="160"/>
      <c r="T17" s="162"/>
      <c r="U17" s="167"/>
      <c r="V17" s="228"/>
      <c r="W17" s="181"/>
      <c r="X17" s="181"/>
      <c r="Y17" s="73"/>
      <c r="Z17" s="125"/>
      <c r="AA17" s="125"/>
      <c r="AB17" s="125"/>
      <c r="AC17" s="125"/>
      <c r="AD17" s="125"/>
    </row>
    <row r="18" spans="1:30" s="74" customFormat="1" ht="15.75" thickTop="1">
      <c r="A18" s="69" t="s">
        <v>7</v>
      </c>
      <c r="B18" s="260"/>
      <c r="C18" s="571" t="s">
        <v>239</v>
      </c>
      <c r="D18" s="571"/>
      <c r="E18" s="571"/>
      <c r="F18" s="571"/>
      <c r="G18" s="336" t="str">
        <f>IF(D9=0,"COUNTY","CITY")</f>
        <v>COUNTY</v>
      </c>
      <c r="H18" s="77" t="s">
        <v>47</v>
      </c>
      <c r="I18" s="156"/>
      <c r="J18" s="162"/>
      <c r="K18" s="162">
        <f>J46</f>
        <v>1.2</v>
      </c>
      <c r="L18" s="162">
        <f>IF(A18="Y", K18*2%,0)</f>
        <v>2.4E-2</v>
      </c>
      <c r="M18" s="167">
        <f>K18-L18</f>
        <v>1.1759999999999999</v>
      </c>
      <c r="N18" s="164"/>
      <c r="O18" s="528"/>
      <c r="P18" s="529"/>
      <c r="Q18" s="190"/>
      <c r="R18" s="72"/>
      <c r="S18" s="160">
        <f t="shared" ref="S18:S30" si="0">IF($S$47=0,,K18*$S$15)</f>
        <v>0</v>
      </c>
      <c r="T18" s="162">
        <f t="shared" ref="T18:T34" si="1">IF(A18="Y", S18*2%,)</f>
        <v>0</v>
      </c>
      <c r="U18" s="167">
        <f t="shared" ref="U18:U44" si="2">S18-T18</f>
        <v>0</v>
      </c>
      <c r="V18" s="228"/>
      <c r="W18" s="181">
        <f t="shared" ref="W18:W34" si="3">IF($W$15="BASE-UP   (B-A)", Q18-M18,Q18-U18)</f>
        <v>-1.1759999999999999</v>
      </c>
      <c r="X18" s="317"/>
      <c r="Y18" s="306"/>
      <c r="Z18" s="125"/>
      <c r="AA18" s="125"/>
      <c r="AB18" s="125"/>
      <c r="AC18" s="125"/>
      <c r="AD18" s="125"/>
    </row>
    <row r="19" spans="1:30" s="74" customFormat="1" ht="15.75" customHeight="1">
      <c r="A19" s="69" t="s">
        <v>7</v>
      </c>
      <c r="B19" s="664" t="s">
        <v>210</v>
      </c>
      <c r="C19" s="517" t="s">
        <v>181</v>
      </c>
      <c r="D19" s="517"/>
      <c r="E19" s="517"/>
      <c r="F19" s="517"/>
      <c r="G19" s="333" t="s">
        <v>28</v>
      </c>
      <c r="H19" s="77" t="s">
        <v>23</v>
      </c>
      <c r="I19" s="155">
        <f>(D10-SUM(I16:I18))*D8</f>
        <v>0</v>
      </c>
      <c r="J19" s="162">
        <f>I19*30%</f>
        <v>0</v>
      </c>
      <c r="K19" s="162">
        <f t="shared" ref="K19:K34" si="4">I19-J19</f>
        <v>0</v>
      </c>
      <c r="L19" s="162">
        <f t="shared" ref="L19:L34" si="5">IF(A19="Y", K19*2%,0)</f>
        <v>0</v>
      </c>
      <c r="M19" s="167">
        <f t="shared" ref="M19:M33" si="6">K19-L19</f>
        <v>0</v>
      </c>
      <c r="N19" s="164"/>
      <c r="O19" s="528"/>
      <c r="P19" s="529"/>
      <c r="Q19" s="78"/>
      <c r="R19" s="72"/>
      <c r="S19" s="160">
        <f t="shared" si="0"/>
        <v>0</v>
      </c>
      <c r="T19" s="162">
        <f t="shared" si="1"/>
        <v>0</v>
      </c>
      <c r="U19" s="167">
        <f t="shared" si="2"/>
        <v>0</v>
      </c>
      <c r="V19" s="228"/>
      <c r="W19" s="181">
        <f t="shared" si="3"/>
        <v>0</v>
      </c>
      <c r="X19" s="317"/>
      <c r="Y19" s="302"/>
      <c r="Z19" s="693"/>
      <c r="AA19" s="125"/>
      <c r="AB19" s="125"/>
      <c r="AC19" s="125"/>
      <c r="AD19" s="125"/>
    </row>
    <row r="20" spans="1:30" s="74" customFormat="1" ht="20.25" customHeight="1">
      <c r="A20" s="69" t="s">
        <v>7</v>
      </c>
      <c r="B20" s="665"/>
      <c r="C20" s="517" t="s">
        <v>182</v>
      </c>
      <c r="D20" s="517"/>
      <c r="E20" s="517"/>
      <c r="F20" s="517"/>
      <c r="G20" s="333" t="s">
        <v>48</v>
      </c>
      <c r="H20" s="77" t="s">
        <v>21</v>
      </c>
      <c r="I20" s="155">
        <f>(D10-SUM(I16:I18))*D9</f>
        <v>0</v>
      </c>
      <c r="J20" s="162">
        <f>I20*30%</f>
        <v>0</v>
      </c>
      <c r="K20" s="162">
        <f t="shared" si="4"/>
        <v>0</v>
      </c>
      <c r="L20" s="162">
        <f t="shared" si="5"/>
        <v>0</v>
      </c>
      <c r="M20" s="167">
        <f t="shared" si="6"/>
        <v>0</v>
      </c>
      <c r="N20" s="164"/>
      <c r="O20" s="528"/>
      <c r="P20" s="529"/>
      <c r="Q20" s="78"/>
      <c r="R20" s="72"/>
      <c r="S20" s="160">
        <f t="shared" si="0"/>
        <v>0</v>
      </c>
      <c r="T20" s="162">
        <f t="shared" si="1"/>
        <v>0</v>
      </c>
      <c r="U20" s="167">
        <f t="shared" si="2"/>
        <v>0</v>
      </c>
      <c r="V20" s="228"/>
      <c r="W20" s="181">
        <f t="shared" si="3"/>
        <v>0</v>
      </c>
      <c r="X20" s="317"/>
      <c r="Y20" s="302"/>
      <c r="Z20" s="693"/>
      <c r="AA20" s="125"/>
      <c r="AB20" s="125"/>
      <c r="AC20" s="125"/>
      <c r="AD20" s="125"/>
    </row>
    <row r="21" spans="1:30" s="74" customFormat="1" ht="15.75" customHeight="1">
      <c r="A21" s="69" t="s">
        <v>7</v>
      </c>
      <c r="B21" s="75">
        <v>7</v>
      </c>
      <c r="C21" s="517" t="s">
        <v>396</v>
      </c>
      <c r="D21" s="517"/>
      <c r="E21" s="517"/>
      <c r="F21" s="517"/>
      <c r="G21" s="333" t="s">
        <v>27</v>
      </c>
      <c r="H21" s="77" t="s">
        <v>22</v>
      </c>
      <c r="I21" s="155">
        <f>$D$11*B21</f>
        <v>0</v>
      </c>
      <c r="J21" s="162">
        <f>I21*30%</f>
        <v>0</v>
      </c>
      <c r="K21" s="162">
        <f t="shared" si="4"/>
        <v>0</v>
      </c>
      <c r="L21" s="162">
        <f t="shared" si="5"/>
        <v>0</v>
      </c>
      <c r="M21" s="167">
        <f t="shared" si="6"/>
        <v>0</v>
      </c>
      <c r="N21" s="164"/>
      <c r="O21" s="528"/>
      <c r="P21" s="529"/>
      <c r="Q21" s="80"/>
      <c r="R21" s="81"/>
      <c r="S21" s="160">
        <f t="shared" si="0"/>
        <v>0</v>
      </c>
      <c r="T21" s="162">
        <f t="shared" si="1"/>
        <v>0</v>
      </c>
      <c r="U21" s="167">
        <f t="shared" si="2"/>
        <v>0</v>
      </c>
      <c r="V21" s="228"/>
      <c r="W21" s="181">
        <f t="shared" si="3"/>
        <v>0</v>
      </c>
      <c r="X21" s="317"/>
      <c r="Y21" s="301"/>
      <c r="Z21" s="125"/>
      <c r="AA21" s="125"/>
      <c r="AB21" s="125"/>
      <c r="AC21" s="125"/>
      <c r="AD21" s="125"/>
    </row>
    <row r="22" spans="1:30" s="74" customFormat="1" ht="15.75" customHeight="1">
      <c r="A22" s="69" t="s">
        <v>7</v>
      </c>
      <c r="B22" s="75">
        <v>3</v>
      </c>
      <c r="C22" s="517" t="s">
        <v>397</v>
      </c>
      <c r="D22" s="517"/>
      <c r="E22" s="517"/>
      <c r="F22" s="517"/>
      <c r="G22" s="333" t="s">
        <v>28</v>
      </c>
      <c r="H22" s="77" t="s">
        <v>23</v>
      </c>
      <c r="I22" s="155">
        <f t="shared" ref="I22:I33" si="7">$D$11*B22</f>
        <v>0</v>
      </c>
      <c r="J22" s="162">
        <f>I22*30%</f>
        <v>0</v>
      </c>
      <c r="K22" s="162">
        <f t="shared" si="4"/>
        <v>0</v>
      </c>
      <c r="L22" s="162">
        <f t="shared" si="5"/>
        <v>0</v>
      </c>
      <c r="M22" s="167">
        <f t="shared" si="6"/>
        <v>0</v>
      </c>
      <c r="N22" s="164"/>
      <c r="O22" s="528"/>
      <c r="P22" s="529"/>
      <c r="Q22" s="78"/>
      <c r="R22" s="72"/>
      <c r="S22" s="160">
        <f t="shared" si="0"/>
        <v>0</v>
      </c>
      <c r="T22" s="162">
        <f t="shared" si="1"/>
        <v>0</v>
      </c>
      <c r="U22" s="167">
        <f t="shared" si="2"/>
        <v>0</v>
      </c>
      <c r="V22" s="228"/>
      <c r="W22" s="181">
        <f t="shared" si="3"/>
        <v>0</v>
      </c>
      <c r="X22" s="317"/>
      <c r="Y22" s="301"/>
      <c r="Z22" s="125"/>
      <c r="AA22" s="125"/>
      <c r="AB22" s="125"/>
      <c r="AC22" s="125"/>
      <c r="AD22" s="125"/>
    </row>
    <row r="23" spans="1:30" s="74" customFormat="1" ht="15.75" customHeight="1">
      <c r="A23" s="69" t="s">
        <v>7</v>
      </c>
      <c r="B23" s="75">
        <v>1</v>
      </c>
      <c r="C23" s="528" t="s">
        <v>185</v>
      </c>
      <c r="D23" s="585"/>
      <c r="E23" s="585"/>
      <c r="F23" s="586"/>
      <c r="G23" s="333" t="s">
        <v>28</v>
      </c>
      <c r="H23" s="77" t="s">
        <v>51</v>
      </c>
      <c r="I23" s="155">
        <f t="shared" si="7"/>
        <v>0</v>
      </c>
      <c r="J23" s="162"/>
      <c r="K23" s="162">
        <f t="shared" si="4"/>
        <v>0</v>
      </c>
      <c r="L23" s="162">
        <f t="shared" si="5"/>
        <v>0</v>
      </c>
      <c r="M23" s="167">
        <f t="shared" si="6"/>
        <v>0</v>
      </c>
      <c r="N23" s="164"/>
      <c r="O23" s="528"/>
      <c r="P23" s="529"/>
      <c r="Q23" s="78"/>
      <c r="R23" s="72"/>
      <c r="S23" s="160">
        <f t="shared" si="0"/>
        <v>0</v>
      </c>
      <c r="T23" s="162">
        <f t="shared" si="1"/>
        <v>0</v>
      </c>
      <c r="U23" s="167">
        <f t="shared" si="2"/>
        <v>0</v>
      </c>
      <c r="V23" s="228"/>
      <c r="W23" s="181">
        <f t="shared" si="3"/>
        <v>0</v>
      </c>
      <c r="X23" s="317"/>
      <c r="Y23" s="302"/>
      <c r="Z23" s="125"/>
      <c r="AA23" s="125"/>
      <c r="AB23" s="125"/>
      <c r="AC23" s="125"/>
      <c r="AD23" s="125"/>
    </row>
    <row r="24" spans="1:30" s="74" customFormat="1" ht="15.75" customHeight="1">
      <c r="A24" s="69" t="s">
        <v>7</v>
      </c>
      <c r="B24" s="75">
        <v>4</v>
      </c>
      <c r="C24" s="528" t="s">
        <v>351</v>
      </c>
      <c r="D24" s="585"/>
      <c r="E24" s="585"/>
      <c r="F24" s="586"/>
      <c r="G24" s="333" t="s">
        <v>27</v>
      </c>
      <c r="H24" s="77" t="s">
        <v>65</v>
      </c>
      <c r="I24" s="155">
        <f t="shared" si="7"/>
        <v>0</v>
      </c>
      <c r="J24" s="162"/>
      <c r="K24" s="162">
        <f t="shared" si="4"/>
        <v>0</v>
      </c>
      <c r="L24" s="162">
        <f t="shared" si="5"/>
        <v>0</v>
      </c>
      <c r="M24" s="167">
        <f t="shared" si="6"/>
        <v>0</v>
      </c>
      <c r="N24" s="164"/>
      <c r="O24" s="528"/>
      <c r="P24" s="529"/>
      <c r="Q24" s="78"/>
      <c r="R24" s="72"/>
      <c r="S24" s="160">
        <f t="shared" si="0"/>
        <v>0</v>
      </c>
      <c r="T24" s="162">
        <f t="shared" si="1"/>
        <v>0</v>
      </c>
      <c r="U24" s="167">
        <f t="shared" si="2"/>
        <v>0</v>
      </c>
      <c r="V24" s="228"/>
      <c r="W24" s="181">
        <f t="shared" si="3"/>
        <v>0</v>
      </c>
      <c r="X24" s="317"/>
      <c r="Y24" s="301"/>
      <c r="Z24" s="125"/>
      <c r="AA24" s="125"/>
      <c r="AB24" s="125"/>
      <c r="AC24" s="125"/>
      <c r="AD24" s="125"/>
    </row>
    <row r="25" spans="1:30" s="74" customFormat="1" ht="15.75" customHeight="1">
      <c r="A25" s="69" t="s">
        <v>7</v>
      </c>
      <c r="B25" s="397">
        <f>'Local Penalties'!B9</f>
        <v>0</v>
      </c>
      <c r="C25" s="517" t="s">
        <v>186</v>
      </c>
      <c r="D25" s="517"/>
      <c r="E25" s="679" t="str">
        <f>IF(SUM(B25:B29)=Q11,"GC 76000 PA ($" &amp;Q11 &amp; " for every 10) breakdown per local board of supervisor resolution (BOS).","ERROR! GC 76000 PA total is not $" &amp;Q11&amp; ". Check Court's board resolution.")</f>
        <v>ERROR! GC 76000 PA total is not $7. Check Court's board resolution.</v>
      </c>
      <c r="F25" s="680"/>
      <c r="G25" s="333" t="s">
        <v>28</v>
      </c>
      <c r="H25" s="77" t="s">
        <v>60</v>
      </c>
      <c r="I25" s="155">
        <f t="shared" si="7"/>
        <v>0</v>
      </c>
      <c r="J25" s="162">
        <f>I25*30%</f>
        <v>0</v>
      </c>
      <c r="K25" s="162">
        <f t="shared" si="4"/>
        <v>0</v>
      </c>
      <c r="L25" s="162">
        <f t="shared" si="5"/>
        <v>0</v>
      </c>
      <c r="M25" s="167">
        <f t="shared" si="6"/>
        <v>0</v>
      </c>
      <c r="N25" s="164"/>
      <c r="O25" s="528"/>
      <c r="P25" s="529"/>
      <c r="Q25" s="78"/>
      <c r="R25" s="72"/>
      <c r="S25" s="160">
        <f t="shared" si="0"/>
        <v>0</v>
      </c>
      <c r="T25" s="162">
        <f t="shared" si="1"/>
        <v>0</v>
      </c>
      <c r="U25" s="167">
        <f t="shared" si="2"/>
        <v>0</v>
      </c>
      <c r="V25" s="228"/>
      <c r="W25" s="181">
        <f t="shared" si="3"/>
        <v>0</v>
      </c>
      <c r="X25" s="317"/>
      <c r="Y25" s="302"/>
      <c r="Z25" s="125"/>
      <c r="AA25" s="125"/>
      <c r="AB25" s="125"/>
      <c r="AC25" s="125"/>
      <c r="AD25" s="125"/>
    </row>
    <row r="26" spans="1:30" s="74" customFormat="1" ht="15.75" customHeight="1">
      <c r="A26" s="69" t="s">
        <v>7</v>
      </c>
      <c r="B26" s="397">
        <f>'Local Penalties'!B10</f>
        <v>0</v>
      </c>
      <c r="C26" s="517" t="s">
        <v>187</v>
      </c>
      <c r="D26" s="517"/>
      <c r="E26" s="681"/>
      <c r="F26" s="682"/>
      <c r="G26" s="333" t="s">
        <v>28</v>
      </c>
      <c r="H26" s="77" t="s">
        <v>31</v>
      </c>
      <c r="I26" s="155">
        <f t="shared" si="7"/>
        <v>0</v>
      </c>
      <c r="J26" s="162">
        <f>I26*30%</f>
        <v>0</v>
      </c>
      <c r="K26" s="162">
        <f t="shared" si="4"/>
        <v>0</v>
      </c>
      <c r="L26" s="162">
        <f t="shared" si="5"/>
        <v>0</v>
      </c>
      <c r="M26" s="167">
        <f t="shared" si="6"/>
        <v>0</v>
      </c>
      <c r="N26" s="164"/>
      <c r="O26" s="528"/>
      <c r="P26" s="529"/>
      <c r="Q26" s="78"/>
      <c r="R26" s="72"/>
      <c r="S26" s="160">
        <f t="shared" si="0"/>
        <v>0</v>
      </c>
      <c r="T26" s="162">
        <f t="shared" si="1"/>
        <v>0</v>
      </c>
      <c r="U26" s="167">
        <f t="shared" si="2"/>
        <v>0</v>
      </c>
      <c r="V26" s="228"/>
      <c r="W26" s="181">
        <f t="shared" si="3"/>
        <v>0</v>
      </c>
      <c r="X26" s="317"/>
      <c r="Y26" s="302"/>
      <c r="Z26" s="125"/>
      <c r="AA26" s="125"/>
      <c r="AB26" s="125"/>
      <c r="AC26" s="125"/>
      <c r="AD26" s="125"/>
    </row>
    <row r="27" spans="1:30" s="74" customFormat="1" ht="15.75" customHeight="1">
      <c r="A27" s="69" t="s">
        <v>7</v>
      </c>
      <c r="B27" s="397">
        <f>'Local Penalties'!B11</f>
        <v>0</v>
      </c>
      <c r="C27" s="517" t="s">
        <v>188</v>
      </c>
      <c r="D27" s="517"/>
      <c r="E27" s="681"/>
      <c r="F27" s="682"/>
      <c r="G27" s="333" t="s">
        <v>28</v>
      </c>
      <c r="H27" s="77" t="s">
        <v>61</v>
      </c>
      <c r="I27" s="155">
        <f t="shared" si="7"/>
        <v>0</v>
      </c>
      <c r="J27" s="162">
        <f>I27*30%</f>
        <v>0</v>
      </c>
      <c r="K27" s="162">
        <f t="shared" si="4"/>
        <v>0</v>
      </c>
      <c r="L27" s="162">
        <f t="shared" si="5"/>
        <v>0</v>
      </c>
      <c r="M27" s="167">
        <f t="shared" si="6"/>
        <v>0</v>
      </c>
      <c r="N27" s="164"/>
      <c r="O27" s="528"/>
      <c r="P27" s="529"/>
      <c r="Q27" s="78"/>
      <c r="R27" s="72"/>
      <c r="S27" s="160">
        <f t="shared" si="0"/>
        <v>0</v>
      </c>
      <c r="T27" s="162">
        <f t="shared" si="1"/>
        <v>0</v>
      </c>
      <c r="U27" s="167">
        <f t="shared" si="2"/>
        <v>0</v>
      </c>
      <c r="V27" s="228"/>
      <c r="W27" s="181">
        <f t="shared" si="3"/>
        <v>0</v>
      </c>
      <c r="X27" s="317"/>
      <c r="Y27" s="302"/>
      <c r="Z27" s="125"/>
      <c r="AA27" s="125"/>
      <c r="AB27" s="125"/>
      <c r="AC27" s="125"/>
      <c r="AD27" s="125"/>
    </row>
    <row r="28" spans="1:30" s="74" customFormat="1" ht="15.75" customHeight="1">
      <c r="A28" s="69" t="s">
        <v>7</v>
      </c>
      <c r="B28" s="397">
        <f>'Local Penalties'!B12</f>
        <v>0</v>
      </c>
      <c r="C28" s="517" t="s">
        <v>308</v>
      </c>
      <c r="D28" s="517"/>
      <c r="E28" s="681"/>
      <c r="F28" s="682"/>
      <c r="G28" s="333" t="s">
        <v>28</v>
      </c>
      <c r="H28" s="77" t="s">
        <v>61</v>
      </c>
      <c r="I28" s="155">
        <f>$D$11*B28</f>
        <v>0</v>
      </c>
      <c r="J28" s="162">
        <f>I28*30%</f>
        <v>0</v>
      </c>
      <c r="K28" s="162">
        <f>I28-J28</f>
        <v>0</v>
      </c>
      <c r="L28" s="162">
        <f>IF(A28="Y", K28*2%,0)</f>
        <v>0</v>
      </c>
      <c r="M28" s="167">
        <f>K28-L28</f>
        <v>0</v>
      </c>
      <c r="N28" s="164"/>
      <c r="O28" s="528"/>
      <c r="P28" s="529"/>
      <c r="Q28" s="78"/>
      <c r="R28" s="72"/>
      <c r="S28" s="160">
        <f t="shared" si="0"/>
        <v>0</v>
      </c>
      <c r="T28" s="162">
        <f>IF(A28="Y", S28*2%,)</f>
        <v>0</v>
      </c>
      <c r="U28" s="167">
        <f>S28-T28</f>
        <v>0</v>
      </c>
      <c r="V28" s="228"/>
      <c r="W28" s="181">
        <f>IF($W$15="BASE-UP   (B-A)", Q28-M28,Q28-U28)</f>
        <v>0</v>
      </c>
      <c r="X28" s="317"/>
      <c r="Y28" s="302"/>
      <c r="Z28" s="125"/>
      <c r="AA28" s="125"/>
      <c r="AB28" s="125"/>
      <c r="AC28" s="125"/>
      <c r="AD28" s="125"/>
    </row>
    <row r="29" spans="1:30" s="74" customFormat="1" ht="15.75" customHeight="1">
      <c r="A29" s="69" t="s">
        <v>7</v>
      </c>
      <c r="B29" s="397">
        <f>'Local Penalties'!B13</f>
        <v>0</v>
      </c>
      <c r="C29" s="517" t="s">
        <v>223</v>
      </c>
      <c r="D29" s="517"/>
      <c r="E29" s="683"/>
      <c r="F29" s="684"/>
      <c r="G29" s="333" t="s">
        <v>28</v>
      </c>
      <c r="H29" s="77"/>
      <c r="I29" s="155">
        <f t="shared" si="7"/>
        <v>0</v>
      </c>
      <c r="J29" s="162">
        <f>I29*30%</f>
        <v>0</v>
      </c>
      <c r="K29" s="162">
        <f t="shared" si="4"/>
        <v>0</v>
      </c>
      <c r="L29" s="162">
        <f t="shared" si="5"/>
        <v>0</v>
      </c>
      <c r="M29" s="167">
        <f t="shared" si="6"/>
        <v>0</v>
      </c>
      <c r="N29" s="164"/>
      <c r="O29" s="528"/>
      <c r="P29" s="529"/>
      <c r="Q29" s="78"/>
      <c r="R29" s="72"/>
      <c r="S29" s="160">
        <f t="shared" si="0"/>
        <v>0</v>
      </c>
      <c r="T29" s="162">
        <f t="shared" si="1"/>
        <v>0</v>
      </c>
      <c r="U29" s="167">
        <f t="shared" si="2"/>
        <v>0</v>
      </c>
      <c r="V29" s="228"/>
      <c r="W29" s="181">
        <f t="shared" si="3"/>
        <v>0</v>
      </c>
      <c r="X29" s="317"/>
      <c r="Y29" s="302"/>
      <c r="Z29" s="125"/>
      <c r="AA29" s="125"/>
      <c r="AB29" s="125"/>
      <c r="AC29" s="125"/>
      <c r="AD29" s="125"/>
    </row>
    <row r="30" spans="1:30" s="85" customFormat="1" ht="15.75" customHeight="1">
      <c r="A30" s="69" t="s">
        <v>7</v>
      </c>
      <c r="B30" s="397">
        <f>'Local Penalties'!B16</f>
        <v>0</v>
      </c>
      <c r="C30" s="499" t="s">
        <v>251</v>
      </c>
      <c r="D30" s="500"/>
      <c r="E30" s="500"/>
      <c r="F30" s="577"/>
      <c r="G30" s="337" t="s">
        <v>28</v>
      </c>
      <c r="H30" s="84" t="s">
        <v>32</v>
      </c>
      <c r="I30" s="155">
        <f t="shared" si="7"/>
        <v>0</v>
      </c>
      <c r="J30" s="162"/>
      <c r="K30" s="162">
        <f t="shared" si="4"/>
        <v>0</v>
      </c>
      <c r="L30" s="162">
        <f t="shared" si="5"/>
        <v>0</v>
      </c>
      <c r="M30" s="167">
        <f t="shared" si="6"/>
        <v>0</v>
      </c>
      <c r="N30" s="164"/>
      <c r="O30" s="528"/>
      <c r="P30" s="529"/>
      <c r="Q30" s="78"/>
      <c r="R30" s="72"/>
      <c r="S30" s="160">
        <f t="shared" si="0"/>
        <v>0</v>
      </c>
      <c r="T30" s="162">
        <f t="shared" si="1"/>
        <v>0</v>
      </c>
      <c r="U30" s="167">
        <f t="shared" si="2"/>
        <v>0</v>
      </c>
      <c r="V30" s="228"/>
      <c r="W30" s="181">
        <f t="shared" si="3"/>
        <v>0</v>
      </c>
      <c r="X30" s="317"/>
      <c r="Y30" s="310"/>
      <c r="Z30" s="127"/>
      <c r="AA30" s="127"/>
      <c r="AB30" s="127"/>
      <c r="AC30" s="127"/>
      <c r="AD30" s="127"/>
    </row>
    <row r="31" spans="1:30" s="85" customFormat="1" ht="15" customHeight="1">
      <c r="A31" s="69" t="s">
        <v>7</v>
      </c>
      <c r="B31" s="75"/>
      <c r="C31" s="499" t="s">
        <v>302</v>
      </c>
      <c r="D31" s="500"/>
      <c r="E31" s="500"/>
      <c r="F31" s="577"/>
      <c r="G31" s="337" t="s">
        <v>27</v>
      </c>
      <c r="H31" s="91" t="s">
        <v>35</v>
      </c>
      <c r="I31" s="204">
        <v>4</v>
      </c>
      <c r="J31" s="162">
        <f>I31*30%</f>
        <v>1.2</v>
      </c>
      <c r="K31" s="162">
        <f>I31-J31</f>
        <v>2.8</v>
      </c>
      <c r="L31" s="162">
        <f>IF(A31="Y", K31*2%,0)</f>
        <v>5.5999999999999994E-2</v>
      </c>
      <c r="M31" s="167">
        <f>K31-L31</f>
        <v>2.7439999999999998</v>
      </c>
      <c r="N31" s="164"/>
      <c r="O31" s="528"/>
      <c r="P31" s="529"/>
      <c r="Q31" s="78"/>
      <c r="R31" s="72"/>
      <c r="S31" s="160">
        <f>IF($S$47=0,,I31*70%)</f>
        <v>0</v>
      </c>
      <c r="T31" s="162">
        <f>IF(A31="Y", S31*2%,)</f>
        <v>0</v>
      </c>
      <c r="U31" s="167">
        <f>S31-T31</f>
        <v>0</v>
      </c>
      <c r="V31" s="228"/>
      <c r="W31" s="181">
        <f>IF($W$15="BASE-UP   (B-A)", Q31-M31,Q31-U31)</f>
        <v>-2.7439999999999998</v>
      </c>
      <c r="X31" s="318"/>
      <c r="Y31" s="310"/>
      <c r="Z31" s="127"/>
      <c r="AA31" s="127"/>
      <c r="AB31" s="127"/>
      <c r="AC31" s="127"/>
      <c r="AD31" s="127"/>
    </row>
    <row r="32" spans="1:30" s="74" customFormat="1" ht="15.75" customHeight="1">
      <c r="A32" s="69" t="s">
        <v>7</v>
      </c>
      <c r="B32" s="397">
        <f>'Local Penalties'!B17</f>
        <v>0</v>
      </c>
      <c r="C32" s="499" t="s">
        <v>403</v>
      </c>
      <c r="D32" s="500"/>
      <c r="E32" s="577"/>
      <c r="F32" s="497" t="s">
        <v>246</v>
      </c>
      <c r="G32" s="337" t="s">
        <v>27</v>
      </c>
      <c r="H32" s="84" t="s">
        <v>33</v>
      </c>
      <c r="I32" s="155">
        <f t="shared" si="7"/>
        <v>0</v>
      </c>
      <c r="J32" s="162">
        <f>I32*30%</f>
        <v>0</v>
      </c>
      <c r="K32" s="162">
        <f t="shared" si="4"/>
        <v>0</v>
      </c>
      <c r="L32" s="162">
        <f t="shared" si="5"/>
        <v>0</v>
      </c>
      <c r="M32" s="167">
        <f t="shared" si="6"/>
        <v>0</v>
      </c>
      <c r="N32" s="164"/>
      <c r="O32" s="528"/>
      <c r="P32" s="529"/>
      <c r="Q32" s="78"/>
      <c r="R32" s="72"/>
      <c r="S32" s="160">
        <f>IF($S$47=0,,K32*$S$15)</f>
        <v>0</v>
      </c>
      <c r="T32" s="162">
        <f t="shared" si="1"/>
        <v>0</v>
      </c>
      <c r="U32" s="167">
        <f t="shared" si="2"/>
        <v>0</v>
      </c>
      <c r="V32" s="228"/>
      <c r="W32" s="181">
        <f t="shared" si="3"/>
        <v>0</v>
      </c>
      <c r="X32" s="385"/>
      <c r="Y32" s="310"/>
      <c r="Z32" s="125"/>
      <c r="AA32" s="125"/>
      <c r="AB32" s="125"/>
      <c r="AC32" s="125"/>
      <c r="AD32" s="125"/>
    </row>
    <row r="33" spans="1:30" s="74" customFormat="1" ht="15.75" customHeight="1">
      <c r="A33" s="69" t="s">
        <v>7</v>
      </c>
      <c r="B33" s="179">
        <f>5-B32</f>
        <v>5</v>
      </c>
      <c r="C33" s="499" t="s">
        <v>404</v>
      </c>
      <c r="D33" s="500"/>
      <c r="E33" s="577"/>
      <c r="F33" s="498"/>
      <c r="G33" s="337" t="s">
        <v>27</v>
      </c>
      <c r="H33" s="84" t="s">
        <v>166</v>
      </c>
      <c r="I33" s="155">
        <f t="shared" si="7"/>
        <v>0</v>
      </c>
      <c r="J33" s="162">
        <f>I33*30%</f>
        <v>0</v>
      </c>
      <c r="K33" s="162">
        <f t="shared" si="4"/>
        <v>0</v>
      </c>
      <c r="L33" s="162">
        <f t="shared" si="5"/>
        <v>0</v>
      </c>
      <c r="M33" s="167">
        <f t="shared" si="6"/>
        <v>0</v>
      </c>
      <c r="N33" s="164"/>
      <c r="O33" s="528"/>
      <c r="P33" s="529"/>
      <c r="Q33" s="78"/>
      <c r="R33" s="72"/>
      <c r="S33" s="160">
        <f>IF($S$47=0,,K33*$S$15)</f>
        <v>0</v>
      </c>
      <c r="T33" s="162">
        <f t="shared" si="1"/>
        <v>0</v>
      </c>
      <c r="U33" s="167">
        <f t="shared" si="2"/>
        <v>0</v>
      </c>
      <c r="V33" s="228"/>
      <c r="W33" s="181">
        <f t="shared" si="3"/>
        <v>0</v>
      </c>
      <c r="X33" s="317"/>
      <c r="Y33" s="310"/>
      <c r="Z33" s="125"/>
      <c r="AA33" s="125"/>
      <c r="AB33" s="125"/>
      <c r="AC33" s="125"/>
      <c r="AD33" s="125"/>
    </row>
    <row r="34" spans="1:30" s="85" customFormat="1" ht="15.75" customHeight="1">
      <c r="A34" s="69" t="s">
        <v>6</v>
      </c>
      <c r="B34" s="75"/>
      <c r="C34" s="499" t="s">
        <v>189</v>
      </c>
      <c r="D34" s="500"/>
      <c r="E34" s="500"/>
      <c r="F34" s="577"/>
      <c r="G34" s="337" t="s">
        <v>27</v>
      </c>
      <c r="H34" s="84" t="s">
        <v>9</v>
      </c>
      <c r="I34" s="155">
        <f>$D$10*20%</f>
        <v>0</v>
      </c>
      <c r="J34" s="162"/>
      <c r="K34" s="162">
        <f t="shared" si="4"/>
        <v>0</v>
      </c>
      <c r="L34" s="162">
        <f t="shared" si="5"/>
        <v>0</v>
      </c>
      <c r="M34" s="167">
        <f>I34-L34</f>
        <v>0</v>
      </c>
      <c r="N34" s="164"/>
      <c r="O34" s="528"/>
      <c r="P34" s="529"/>
      <c r="Q34" s="78"/>
      <c r="R34" s="72"/>
      <c r="S34" s="160">
        <f>IF($S$47=0,,K34*$S$15)</f>
        <v>0</v>
      </c>
      <c r="T34" s="162">
        <f t="shared" si="1"/>
        <v>0</v>
      </c>
      <c r="U34" s="167">
        <f t="shared" si="2"/>
        <v>0</v>
      </c>
      <c r="V34" s="228"/>
      <c r="W34" s="181">
        <f t="shared" si="3"/>
        <v>0</v>
      </c>
      <c r="X34" s="317"/>
      <c r="Y34" s="302"/>
      <c r="Z34" s="127"/>
      <c r="AA34" s="127"/>
      <c r="AB34" s="127"/>
      <c r="AC34" s="127"/>
      <c r="AD34" s="127"/>
    </row>
    <row r="35" spans="1:30" s="90" customFormat="1" ht="15.75" customHeight="1">
      <c r="A35" s="69"/>
      <c r="B35" s="86"/>
      <c r="C35" s="574" t="s">
        <v>190</v>
      </c>
      <c r="D35" s="575"/>
      <c r="E35" s="575"/>
      <c r="F35" s="576"/>
      <c r="G35" s="338"/>
      <c r="H35" s="88"/>
      <c r="I35" s="157">
        <f>SUM(I16:I34)</f>
        <v>4</v>
      </c>
      <c r="J35" s="283"/>
      <c r="K35" s="283">
        <f>SUM(K18:K34)</f>
        <v>4</v>
      </c>
      <c r="L35" s="162"/>
      <c r="M35" s="168">
        <f>SUM(M16:M34)</f>
        <v>3.92</v>
      </c>
      <c r="N35" s="165"/>
      <c r="O35" s="499"/>
      <c r="P35" s="584"/>
      <c r="Q35" s="184">
        <f>SUM(Q16:Q34)</f>
        <v>0</v>
      </c>
      <c r="R35" s="122"/>
      <c r="S35" s="157">
        <f>IF($S$47=0,,S47-SUM(S36:S44))</f>
        <v>0</v>
      </c>
      <c r="T35" s="162"/>
      <c r="U35" s="168">
        <f>SUM(U16:U34)</f>
        <v>0</v>
      </c>
      <c r="V35" s="229"/>
      <c r="W35" s="181">
        <f>SUM(W16:W34)</f>
        <v>-3.92</v>
      </c>
      <c r="X35" s="317"/>
      <c r="Y35" s="303"/>
      <c r="Z35" s="143"/>
      <c r="AA35" s="143"/>
      <c r="AB35" s="143"/>
      <c r="AC35" s="143"/>
      <c r="AD35" s="143"/>
    </row>
    <row r="36" spans="1:30" s="85" customFormat="1" ht="15" customHeight="1">
      <c r="A36" s="69" t="s">
        <v>6</v>
      </c>
      <c r="B36" s="75"/>
      <c r="C36" s="499" t="s">
        <v>325</v>
      </c>
      <c r="D36" s="500"/>
      <c r="E36" s="500"/>
      <c r="F36" s="577"/>
      <c r="G36" s="337" t="s">
        <v>27</v>
      </c>
      <c r="H36" s="91"/>
      <c r="I36" s="204">
        <v>40</v>
      </c>
      <c r="J36" s="162"/>
      <c r="K36" s="162">
        <f>I36</f>
        <v>40</v>
      </c>
      <c r="L36" s="162">
        <f>IF(A36="Y", I36*2%,0)</f>
        <v>0</v>
      </c>
      <c r="M36" s="167">
        <f>I36-L36</f>
        <v>40</v>
      </c>
      <c r="N36" s="164"/>
      <c r="O36" s="528"/>
      <c r="P36" s="529"/>
      <c r="Q36" s="78"/>
      <c r="R36" s="72"/>
      <c r="S36" s="155">
        <f>IF($S$47=0,,I36)</f>
        <v>0</v>
      </c>
      <c r="T36" s="162">
        <f t="shared" ref="T36" si="8">IF(A36="Y", S36*2%,)</f>
        <v>0</v>
      </c>
      <c r="U36" s="167">
        <f t="shared" ref="U36" si="9">S36-T36</f>
        <v>0</v>
      </c>
      <c r="V36" s="228"/>
      <c r="W36" s="181">
        <f t="shared" ref="W36:W45" si="10">IF($W$15="BASE-UP   (B-A)", Q36-M36,Q36-U36)</f>
        <v>-40</v>
      </c>
      <c r="X36" s="317"/>
      <c r="Y36" s="310"/>
      <c r="Z36" s="127"/>
      <c r="AA36" s="127"/>
      <c r="AB36" s="127"/>
      <c r="AC36" s="127"/>
      <c r="AD36" s="127"/>
    </row>
    <row r="37" spans="1:30" s="85" customFormat="1" ht="15.75" customHeight="1">
      <c r="A37" s="69" t="s">
        <v>6</v>
      </c>
      <c r="B37" s="75"/>
      <c r="C37" s="578" t="s">
        <v>228</v>
      </c>
      <c r="D37" s="579"/>
      <c r="E37" s="579"/>
      <c r="F37" s="580"/>
      <c r="G37" s="339" t="s">
        <v>27</v>
      </c>
      <c r="H37" s="92" t="s">
        <v>166</v>
      </c>
      <c r="I37" s="204">
        <v>35</v>
      </c>
      <c r="J37" s="162"/>
      <c r="K37" s="162">
        <f t="shared" ref="K37:K44" si="11">I37</f>
        <v>35</v>
      </c>
      <c r="L37" s="162">
        <f t="shared" ref="L37:L44" si="12">IF(A37="Y", I37*2%,0)</f>
        <v>0</v>
      </c>
      <c r="M37" s="167">
        <f t="shared" ref="M37:M44" si="13">I37-L37</f>
        <v>35</v>
      </c>
      <c r="N37" s="164"/>
      <c r="O37" s="528"/>
      <c r="P37" s="529"/>
      <c r="Q37" s="78"/>
      <c r="R37" s="72"/>
      <c r="S37" s="155">
        <f>IF($S$47=0,,I37)</f>
        <v>0</v>
      </c>
      <c r="T37" s="162">
        <f t="shared" ref="T37:T44" si="14">IF(A37="Y", S37*2%,)</f>
        <v>0</v>
      </c>
      <c r="U37" s="167">
        <f t="shared" si="2"/>
        <v>0</v>
      </c>
      <c r="V37" s="228"/>
      <c r="W37" s="181">
        <f t="shared" si="10"/>
        <v>-35</v>
      </c>
      <c r="X37" s="317"/>
      <c r="Y37" s="301"/>
      <c r="Z37" s="127"/>
      <c r="AA37" s="127"/>
      <c r="AB37" s="127"/>
      <c r="AC37" s="127"/>
      <c r="AD37" s="127"/>
    </row>
    <row r="38" spans="1:30" s="74" customFormat="1" ht="15.75" customHeight="1">
      <c r="A38" s="69" t="s">
        <v>6</v>
      </c>
      <c r="B38" s="94"/>
      <c r="C38" s="578" t="s">
        <v>326</v>
      </c>
      <c r="D38" s="579"/>
      <c r="E38" s="579"/>
      <c r="F38" s="580"/>
      <c r="G38" s="339" t="s">
        <v>199</v>
      </c>
      <c r="H38" s="92" t="s">
        <v>20</v>
      </c>
      <c r="I38" s="204"/>
      <c r="J38" s="162"/>
      <c r="K38" s="162">
        <f t="shared" si="11"/>
        <v>0</v>
      </c>
      <c r="L38" s="162">
        <f t="shared" si="12"/>
        <v>0</v>
      </c>
      <c r="M38" s="167">
        <f t="shared" si="13"/>
        <v>0</v>
      </c>
      <c r="N38" s="164"/>
      <c r="O38" s="528"/>
      <c r="P38" s="529"/>
      <c r="Q38" s="78"/>
      <c r="R38" s="72"/>
      <c r="S38" s="155">
        <f t="shared" ref="S38:S44" si="15">IF($S$47=0,,I38)</f>
        <v>0</v>
      </c>
      <c r="T38" s="162">
        <f t="shared" si="14"/>
        <v>0</v>
      </c>
      <c r="U38" s="167">
        <f t="shared" si="2"/>
        <v>0</v>
      </c>
      <c r="V38" s="228"/>
      <c r="W38" s="181">
        <f t="shared" si="10"/>
        <v>0</v>
      </c>
      <c r="X38" s="317"/>
      <c r="Y38" s="301"/>
      <c r="Z38" s="125"/>
      <c r="AA38" s="125"/>
      <c r="AB38" s="125"/>
      <c r="AC38" s="125"/>
      <c r="AD38" s="125"/>
    </row>
    <row r="39" spans="1:30" s="74" customFormat="1" ht="15.75" hidden="1" customHeight="1">
      <c r="A39" s="69" t="s">
        <v>6</v>
      </c>
      <c r="B39" s="94"/>
      <c r="C39" s="578" t="s">
        <v>191</v>
      </c>
      <c r="D39" s="579"/>
      <c r="E39" s="579"/>
      <c r="F39" s="580"/>
      <c r="G39" s="339" t="s">
        <v>28</v>
      </c>
      <c r="H39" s="92" t="s">
        <v>14</v>
      </c>
      <c r="I39" s="204"/>
      <c r="J39" s="162"/>
      <c r="K39" s="162">
        <f t="shared" si="11"/>
        <v>0</v>
      </c>
      <c r="L39" s="162">
        <f t="shared" si="12"/>
        <v>0</v>
      </c>
      <c r="M39" s="167">
        <f t="shared" si="13"/>
        <v>0</v>
      </c>
      <c r="N39" s="164"/>
      <c r="O39" s="528"/>
      <c r="P39" s="529"/>
      <c r="Q39" s="78"/>
      <c r="R39" s="72"/>
      <c r="S39" s="155">
        <f t="shared" si="15"/>
        <v>0</v>
      </c>
      <c r="T39" s="162">
        <f t="shared" si="14"/>
        <v>0</v>
      </c>
      <c r="U39" s="167">
        <f t="shared" si="2"/>
        <v>0</v>
      </c>
      <c r="V39" s="228"/>
      <c r="W39" s="181">
        <f t="shared" si="10"/>
        <v>0</v>
      </c>
      <c r="X39" s="317"/>
      <c r="Y39" s="301"/>
      <c r="Z39" s="125"/>
      <c r="AA39" s="125"/>
      <c r="AB39" s="125"/>
      <c r="AC39" s="125"/>
      <c r="AD39" s="125"/>
    </row>
    <row r="40" spans="1:30" s="74" customFormat="1" ht="15.75" hidden="1" customHeight="1">
      <c r="A40" s="69" t="s">
        <v>6</v>
      </c>
      <c r="B40" s="94"/>
      <c r="C40" s="578" t="s">
        <v>249</v>
      </c>
      <c r="D40" s="579"/>
      <c r="E40" s="579"/>
      <c r="F40" s="580"/>
      <c r="G40" s="339" t="s">
        <v>28</v>
      </c>
      <c r="H40" s="92" t="s">
        <v>23</v>
      </c>
      <c r="I40" s="204"/>
      <c r="J40" s="162"/>
      <c r="K40" s="162">
        <f t="shared" si="11"/>
        <v>0</v>
      </c>
      <c r="L40" s="162">
        <f t="shared" si="12"/>
        <v>0</v>
      </c>
      <c r="M40" s="167">
        <f t="shared" si="13"/>
        <v>0</v>
      </c>
      <c r="N40" s="164"/>
      <c r="O40" s="528"/>
      <c r="P40" s="529"/>
      <c r="Q40" s="78"/>
      <c r="R40" s="72"/>
      <c r="S40" s="155">
        <f t="shared" si="15"/>
        <v>0</v>
      </c>
      <c r="T40" s="162">
        <f t="shared" si="14"/>
        <v>0</v>
      </c>
      <c r="U40" s="167">
        <f t="shared" si="2"/>
        <v>0</v>
      </c>
      <c r="V40" s="228"/>
      <c r="W40" s="181">
        <f t="shared" si="10"/>
        <v>0</v>
      </c>
      <c r="X40" s="317"/>
      <c r="Y40" s="301"/>
      <c r="Z40" s="125"/>
      <c r="AA40" s="125"/>
      <c r="AB40" s="125"/>
      <c r="AC40" s="125"/>
      <c r="AD40" s="125"/>
    </row>
    <row r="41" spans="1:30" s="74" customFormat="1" ht="15.75" hidden="1" customHeight="1">
      <c r="A41" s="69" t="s">
        <v>7</v>
      </c>
      <c r="B41" s="94"/>
      <c r="C41" s="578" t="s">
        <v>192</v>
      </c>
      <c r="D41" s="579"/>
      <c r="E41" s="579"/>
      <c r="F41" s="580"/>
      <c r="G41" s="339" t="s">
        <v>27</v>
      </c>
      <c r="H41" s="92" t="s">
        <v>12</v>
      </c>
      <c r="I41" s="204"/>
      <c r="J41" s="162"/>
      <c r="K41" s="162">
        <f t="shared" si="11"/>
        <v>0</v>
      </c>
      <c r="L41" s="162">
        <f t="shared" si="12"/>
        <v>0</v>
      </c>
      <c r="M41" s="167">
        <f t="shared" si="13"/>
        <v>0</v>
      </c>
      <c r="N41" s="164"/>
      <c r="O41" s="528"/>
      <c r="P41" s="529"/>
      <c r="Q41" s="78"/>
      <c r="R41" s="72"/>
      <c r="S41" s="155">
        <f t="shared" si="15"/>
        <v>0</v>
      </c>
      <c r="T41" s="162">
        <f t="shared" si="14"/>
        <v>0</v>
      </c>
      <c r="U41" s="167">
        <f t="shared" si="2"/>
        <v>0</v>
      </c>
      <c r="V41" s="228"/>
      <c r="W41" s="181">
        <f t="shared" si="10"/>
        <v>0</v>
      </c>
      <c r="X41" s="317"/>
      <c r="Y41" s="301"/>
      <c r="Z41" s="125"/>
      <c r="AA41" s="125"/>
      <c r="AB41" s="125"/>
      <c r="AC41" s="125"/>
      <c r="AD41" s="125"/>
    </row>
    <row r="42" spans="1:30" s="74" customFormat="1" ht="15.75" hidden="1" customHeight="1">
      <c r="A42" s="69" t="s">
        <v>6</v>
      </c>
      <c r="B42" s="94"/>
      <c r="C42" s="578" t="s">
        <v>231</v>
      </c>
      <c r="D42" s="579"/>
      <c r="E42" s="579"/>
      <c r="F42" s="580"/>
      <c r="G42" s="339" t="s">
        <v>28</v>
      </c>
      <c r="H42" s="92" t="s">
        <v>23</v>
      </c>
      <c r="I42" s="204"/>
      <c r="J42" s="162"/>
      <c r="K42" s="162">
        <f t="shared" si="11"/>
        <v>0</v>
      </c>
      <c r="L42" s="162">
        <f t="shared" si="12"/>
        <v>0</v>
      </c>
      <c r="M42" s="167">
        <f t="shared" si="13"/>
        <v>0</v>
      </c>
      <c r="N42" s="164"/>
      <c r="O42" s="528"/>
      <c r="P42" s="529"/>
      <c r="Q42" s="78"/>
      <c r="R42" s="72"/>
      <c r="S42" s="155">
        <f t="shared" si="15"/>
        <v>0</v>
      </c>
      <c r="T42" s="162">
        <f t="shared" si="14"/>
        <v>0</v>
      </c>
      <c r="U42" s="167">
        <f t="shared" si="2"/>
        <v>0</v>
      </c>
      <c r="V42" s="228"/>
      <c r="W42" s="181">
        <f t="shared" si="10"/>
        <v>0</v>
      </c>
      <c r="X42" s="317"/>
      <c r="Y42" s="301"/>
      <c r="Z42" s="125"/>
      <c r="AA42" s="125"/>
      <c r="AB42" s="125"/>
      <c r="AC42" s="125"/>
      <c r="AD42" s="125"/>
    </row>
    <row r="43" spans="1:30" s="74" customFormat="1" ht="48" customHeight="1">
      <c r="A43" s="69" t="s">
        <v>6</v>
      </c>
      <c r="B43" s="94"/>
      <c r="C43" s="499" t="s">
        <v>386</v>
      </c>
      <c r="D43" s="500"/>
      <c r="E43" s="500"/>
      <c r="F43" s="577"/>
      <c r="G43" s="339" t="s">
        <v>199</v>
      </c>
      <c r="H43" s="92" t="s">
        <v>73</v>
      </c>
      <c r="I43" s="204"/>
      <c r="J43" s="162"/>
      <c r="K43" s="162">
        <f t="shared" si="11"/>
        <v>0</v>
      </c>
      <c r="L43" s="162">
        <f t="shared" si="12"/>
        <v>0</v>
      </c>
      <c r="M43" s="167">
        <f t="shared" si="13"/>
        <v>0</v>
      </c>
      <c r="N43" s="164"/>
      <c r="O43" s="528"/>
      <c r="P43" s="529"/>
      <c r="Q43" s="78"/>
      <c r="R43" s="72"/>
      <c r="S43" s="155">
        <f t="shared" si="15"/>
        <v>0</v>
      </c>
      <c r="T43" s="162">
        <f t="shared" si="14"/>
        <v>0</v>
      </c>
      <c r="U43" s="167">
        <f t="shared" si="2"/>
        <v>0</v>
      </c>
      <c r="V43" s="228"/>
      <c r="W43" s="181">
        <f t="shared" si="10"/>
        <v>0</v>
      </c>
      <c r="X43" s="317"/>
      <c r="Y43" s="301"/>
      <c r="Z43" s="125"/>
      <c r="AA43" s="125"/>
      <c r="AB43" s="125"/>
      <c r="AC43" s="125"/>
      <c r="AD43" s="125"/>
    </row>
    <row r="44" spans="1:30" s="74" customFormat="1" ht="15.75" customHeight="1">
      <c r="A44" s="69" t="s">
        <v>6</v>
      </c>
      <c r="B44" s="94"/>
      <c r="C44" s="578" t="s">
        <v>194</v>
      </c>
      <c r="D44" s="579"/>
      <c r="E44" s="579"/>
      <c r="F44" s="580"/>
      <c r="G44" s="339" t="s">
        <v>27</v>
      </c>
      <c r="H44" s="92" t="s">
        <v>71</v>
      </c>
      <c r="I44" s="204"/>
      <c r="J44" s="162"/>
      <c r="K44" s="162">
        <f t="shared" si="11"/>
        <v>0</v>
      </c>
      <c r="L44" s="162">
        <f t="shared" si="12"/>
        <v>0</v>
      </c>
      <c r="M44" s="167">
        <f t="shared" si="13"/>
        <v>0</v>
      </c>
      <c r="N44" s="164"/>
      <c r="O44" s="528"/>
      <c r="P44" s="529"/>
      <c r="Q44" s="78"/>
      <c r="R44" s="72"/>
      <c r="S44" s="155">
        <f t="shared" si="15"/>
        <v>0</v>
      </c>
      <c r="T44" s="162">
        <f t="shared" si="14"/>
        <v>0</v>
      </c>
      <c r="U44" s="167">
        <f t="shared" si="2"/>
        <v>0</v>
      </c>
      <c r="V44" s="228"/>
      <c r="W44" s="181">
        <f t="shared" si="10"/>
        <v>0</v>
      </c>
      <c r="X44" s="317"/>
      <c r="Y44" s="301"/>
      <c r="Z44" s="125"/>
      <c r="AA44" s="125"/>
      <c r="AB44" s="125"/>
      <c r="AC44" s="125"/>
      <c r="AD44" s="125"/>
    </row>
    <row r="45" spans="1:30" s="74" customFormat="1" ht="31.5" customHeight="1">
      <c r="A45" s="93" t="s">
        <v>6</v>
      </c>
      <c r="B45" s="94"/>
      <c r="C45" s="528" t="s">
        <v>366</v>
      </c>
      <c r="D45" s="585"/>
      <c r="E45" s="585"/>
      <c r="F45" s="586"/>
      <c r="G45" s="340" t="s">
        <v>27</v>
      </c>
      <c r="H45" s="96" t="s">
        <v>37</v>
      </c>
      <c r="I45" s="97"/>
      <c r="J45" s="163"/>
      <c r="K45" s="163"/>
      <c r="L45" s="163"/>
      <c r="M45" s="169">
        <f>L46</f>
        <v>7.9999999999999988E-2</v>
      </c>
      <c r="N45" s="164"/>
      <c r="O45" s="528"/>
      <c r="P45" s="529"/>
      <c r="Q45" s="78"/>
      <c r="R45" s="72"/>
      <c r="S45" s="104"/>
      <c r="T45" s="163"/>
      <c r="U45" s="169">
        <f>T46</f>
        <v>0</v>
      </c>
      <c r="V45" s="230"/>
      <c r="W45" s="181">
        <f t="shared" si="10"/>
        <v>-7.9999999999999988E-2</v>
      </c>
      <c r="X45" s="317"/>
      <c r="Y45" s="301"/>
      <c r="Z45" s="125"/>
      <c r="AA45" s="125"/>
      <c r="AB45" s="125"/>
      <c r="AC45" s="125"/>
      <c r="AD45" s="125"/>
    </row>
    <row r="46" spans="1:30" s="125" customFormat="1" ht="15">
      <c r="A46" s="123"/>
      <c r="B46" s="123"/>
      <c r="C46" s="123"/>
      <c r="D46" s="123"/>
      <c r="E46" s="124"/>
      <c r="F46" s="124"/>
      <c r="J46" s="286">
        <f>SUM(J18:J45)</f>
        <v>1.2</v>
      </c>
      <c r="L46" s="126">
        <f>SUM(L16:L45)</f>
        <v>7.9999999999999988E-2</v>
      </c>
      <c r="M46" s="170"/>
      <c r="N46" s="127"/>
      <c r="Q46" s="128"/>
      <c r="R46" s="129"/>
      <c r="T46" s="126">
        <f>SUM(T16:T45)</f>
        <v>0</v>
      </c>
      <c r="U46" s="170"/>
      <c r="V46" s="231"/>
      <c r="W46" s="180"/>
      <c r="X46" s="180"/>
      <c r="Y46" s="130"/>
    </row>
    <row r="47" spans="1:30" s="106" customFormat="1" ht="16.5" thickBot="1">
      <c r="A47" s="144"/>
      <c r="B47" s="144"/>
      <c r="C47" s="144"/>
      <c r="D47" s="144"/>
      <c r="E47" s="131"/>
      <c r="F47" s="145" t="s">
        <v>72</v>
      </c>
      <c r="G47" s="146"/>
      <c r="H47" s="147" t="s">
        <v>1</v>
      </c>
      <c r="I47" s="148">
        <f>SUM(I35:I46)</f>
        <v>79</v>
      </c>
      <c r="J47" s="148"/>
      <c r="K47" s="148">
        <f>SUM(K35:K46)</f>
        <v>79</v>
      </c>
      <c r="L47" s="149"/>
      <c r="M47" s="171">
        <f>SUM(M35:M46)</f>
        <v>79</v>
      </c>
      <c r="N47" s="150"/>
      <c r="O47" s="144" t="s">
        <v>1</v>
      </c>
      <c r="P47" s="144"/>
      <c r="Q47" s="151">
        <f>SUM(Q35:Q46)</f>
        <v>0</v>
      </c>
      <c r="R47" s="150"/>
      <c r="S47" s="206"/>
      <c r="T47" s="149"/>
      <c r="U47" s="171">
        <f>SUM(U35:U46)</f>
        <v>0</v>
      </c>
      <c r="V47" s="232"/>
      <c r="W47" s="193">
        <f>SUM(W35:W46)</f>
        <v>-79</v>
      </c>
      <c r="X47" s="315"/>
      <c r="Y47" s="152"/>
    </row>
    <row r="48" spans="1:30" s="54" customFormat="1" ht="15.75" customHeight="1" thickTop="1">
      <c r="A48" s="688" t="s">
        <v>57</v>
      </c>
      <c r="B48" s="688"/>
      <c r="C48" s="688"/>
      <c r="D48" s="210"/>
      <c r="E48" s="133"/>
      <c r="F48" s="133"/>
      <c r="J48" s="134"/>
      <c r="K48" s="134"/>
      <c r="M48" s="135"/>
      <c r="N48" s="136"/>
      <c r="R48" s="137"/>
      <c r="S48" s="137"/>
      <c r="T48" s="137"/>
      <c r="U48" s="137"/>
      <c r="V48" s="137"/>
      <c r="W48" s="138"/>
      <c r="X48" s="138"/>
      <c r="Y48" s="139"/>
    </row>
    <row r="49" spans="1:25" s="141" customFormat="1" ht="18" customHeight="1">
      <c r="A49" s="388">
        <v>1</v>
      </c>
      <c r="B49" s="685"/>
      <c r="C49" s="686"/>
      <c r="D49" s="686"/>
      <c r="E49" s="686"/>
      <c r="F49" s="686"/>
      <c r="G49" s="686"/>
      <c r="H49" s="686"/>
      <c r="I49" s="686"/>
      <c r="J49" s="686"/>
      <c r="K49" s="686"/>
      <c r="L49" s="686"/>
      <c r="M49" s="686"/>
      <c r="N49" s="686"/>
      <c r="O49" s="686"/>
      <c r="P49" s="686"/>
      <c r="Q49" s="686"/>
      <c r="R49" s="686"/>
      <c r="S49" s="686"/>
      <c r="T49" s="686"/>
      <c r="U49" s="686"/>
      <c r="V49" s="686"/>
      <c r="W49" s="686"/>
      <c r="X49" s="686"/>
      <c r="Y49" s="687"/>
    </row>
    <row r="50" spans="1:25" s="141" customFormat="1" ht="18" customHeight="1">
      <c r="A50" s="388">
        <v>2</v>
      </c>
      <c r="B50" s="685"/>
      <c r="C50" s="686"/>
      <c r="D50" s="686"/>
      <c r="E50" s="686"/>
      <c r="F50" s="686"/>
      <c r="G50" s="686"/>
      <c r="H50" s="686"/>
      <c r="I50" s="686"/>
      <c r="J50" s="686"/>
      <c r="K50" s="686"/>
      <c r="L50" s="686"/>
      <c r="M50" s="686"/>
      <c r="N50" s="686"/>
      <c r="O50" s="686"/>
      <c r="P50" s="686"/>
      <c r="Q50" s="686"/>
      <c r="R50" s="686"/>
      <c r="S50" s="686"/>
      <c r="T50" s="686"/>
      <c r="U50" s="686"/>
      <c r="V50" s="686"/>
      <c r="W50" s="686"/>
      <c r="X50" s="686"/>
      <c r="Y50" s="687"/>
    </row>
    <row r="51" spans="1:25" s="141" customFormat="1" ht="19.5" customHeight="1">
      <c r="A51" s="388">
        <v>3</v>
      </c>
      <c r="B51" s="685"/>
      <c r="C51" s="686"/>
      <c r="D51" s="686"/>
      <c r="E51" s="686"/>
      <c r="F51" s="686"/>
      <c r="G51" s="686"/>
      <c r="H51" s="686"/>
      <c r="I51" s="686"/>
      <c r="J51" s="686"/>
      <c r="K51" s="686"/>
      <c r="L51" s="686"/>
      <c r="M51" s="686"/>
      <c r="N51" s="686"/>
      <c r="O51" s="686"/>
      <c r="P51" s="686"/>
      <c r="Q51" s="686"/>
      <c r="R51" s="686"/>
      <c r="S51" s="686"/>
      <c r="T51" s="686"/>
      <c r="U51" s="686"/>
      <c r="V51" s="686"/>
      <c r="W51" s="686"/>
      <c r="X51" s="686"/>
      <c r="Y51" s="687"/>
    </row>
    <row r="52" spans="1:25" s="54" customFormat="1" ht="19.5" customHeight="1">
      <c r="A52" s="388">
        <v>4</v>
      </c>
      <c r="B52" s="685"/>
      <c r="C52" s="686"/>
      <c r="D52" s="686"/>
      <c r="E52" s="686"/>
      <c r="F52" s="686"/>
      <c r="G52" s="686"/>
      <c r="H52" s="686"/>
      <c r="I52" s="686"/>
      <c r="J52" s="686"/>
      <c r="K52" s="686"/>
      <c r="L52" s="686"/>
      <c r="M52" s="686"/>
      <c r="N52" s="686"/>
      <c r="O52" s="686"/>
      <c r="P52" s="686"/>
      <c r="Q52" s="686"/>
      <c r="R52" s="686"/>
      <c r="S52" s="686"/>
      <c r="T52" s="686"/>
      <c r="U52" s="686"/>
      <c r="V52" s="686"/>
      <c r="W52" s="686"/>
      <c r="X52" s="686"/>
      <c r="Y52" s="687"/>
    </row>
  </sheetData>
  <sheetProtection insertRows="0"/>
  <mergeCells count="132">
    <mergeCell ref="X14:X15"/>
    <mergeCell ref="Y14:Y15"/>
    <mergeCell ref="S13:U13"/>
    <mergeCell ref="A10:C10"/>
    <mergeCell ref="D10:E10"/>
    <mergeCell ref="J8:N8"/>
    <mergeCell ref="O8:P8"/>
    <mergeCell ref="S8:Y9"/>
    <mergeCell ref="A9:C9"/>
    <mergeCell ref="D9:E9"/>
    <mergeCell ref="F9:I9"/>
    <mergeCell ref="J9:N9"/>
    <mergeCell ref="O9:P9"/>
    <mergeCell ref="C14:F15"/>
    <mergeCell ref="I14:I15"/>
    <mergeCell ref="J14:J15"/>
    <mergeCell ref="K14:K15"/>
    <mergeCell ref="A11:C11"/>
    <mergeCell ref="D11:E11"/>
    <mergeCell ref="F11:I11"/>
    <mergeCell ref="J11:N11"/>
    <mergeCell ref="T14:T15"/>
    <mergeCell ref="O15:P15"/>
    <mergeCell ref="O11:P11"/>
    <mergeCell ref="Z19:Z20"/>
    <mergeCell ref="S7:Y7"/>
    <mergeCell ref="A8:C8"/>
    <mergeCell ref="D8:E8"/>
    <mergeCell ref="F8:I8"/>
    <mergeCell ref="J4:N4"/>
    <mergeCell ref="O4:P4"/>
    <mergeCell ref="S4:Y4"/>
    <mergeCell ref="F4:I4"/>
    <mergeCell ref="O5:P5"/>
    <mergeCell ref="S5:Y5"/>
    <mergeCell ref="F10:I10"/>
    <mergeCell ref="J10:N10"/>
    <mergeCell ref="O10:P10"/>
    <mergeCell ref="S10:Y10"/>
    <mergeCell ref="L14:L15"/>
    <mergeCell ref="O14:P14"/>
    <mergeCell ref="A7:C7"/>
    <mergeCell ref="D7:E7"/>
    <mergeCell ref="F7:I7"/>
    <mergeCell ref="J7:N7"/>
    <mergeCell ref="S11:Y11"/>
    <mergeCell ref="K13:M13"/>
    <mergeCell ref="O13:Q13"/>
    <mergeCell ref="A1:M1"/>
    <mergeCell ref="S3:Y3"/>
    <mergeCell ref="A4:C4"/>
    <mergeCell ref="D4:E4"/>
    <mergeCell ref="O6:P6"/>
    <mergeCell ref="S6:Y6"/>
    <mergeCell ref="A5:C5"/>
    <mergeCell ref="N1:W1"/>
    <mergeCell ref="D5:E5"/>
    <mergeCell ref="F5:I5"/>
    <mergeCell ref="J5:N5"/>
    <mergeCell ref="A6:C6"/>
    <mergeCell ref="D6:E6"/>
    <mergeCell ref="F6:I6"/>
    <mergeCell ref="J6:N6"/>
    <mergeCell ref="O3:P3"/>
    <mergeCell ref="C18:F18"/>
    <mergeCell ref="O18:P18"/>
    <mergeCell ref="B19:B20"/>
    <mergeCell ref="C19:F19"/>
    <mergeCell ref="O19:P19"/>
    <mergeCell ref="C20:F20"/>
    <mergeCell ref="O20:P20"/>
    <mergeCell ref="C21:F21"/>
    <mergeCell ref="C16:F16"/>
    <mergeCell ref="O16:P16"/>
    <mergeCell ref="C17:F17"/>
    <mergeCell ref="O17:P17"/>
    <mergeCell ref="O21:P21"/>
    <mergeCell ref="O29:P29"/>
    <mergeCell ref="C30:F30"/>
    <mergeCell ref="O30:P30"/>
    <mergeCell ref="C38:F38"/>
    <mergeCell ref="O38:P38"/>
    <mergeCell ref="C39:F39"/>
    <mergeCell ref="O39:P39"/>
    <mergeCell ref="C22:F22"/>
    <mergeCell ref="O22:P22"/>
    <mergeCell ref="C23:F23"/>
    <mergeCell ref="O23:P23"/>
    <mergeCell ref="C25:D25"/>
    <mergeCell ref="E25:F29"/>
    <mergeCell ref="O25:P25"/>
    <mergeCell ref="C26:D26"/>
    <mergeCell ref="O26:P26"/>
    <mergeCell ref="C24:F24"/>
    <mergeCell ref="O24:P24"/>
    <mergeCell ref="C27:D27"/>
    <mergeCell ref="O27:P27"/>
    <mergeCell ref="C29:D29"/>
    <mergeCell ref="C28:D28"/>
    <mergeCell ref="O28:P28"/>
    <mergeCell ref="C40:F40"/>
    <mergeCell ref="O40:P40"/>
    <mergeCell ref="C35:F35"/>
    <mergeCell ref="O35:P35"/>
    <mergeCell ref="C31:F31"/>
    <mergeCell ref="O31:P31"/>
    <mergeCell ref="C37:F37"/>
    <mergeCell ref="O37:P37"/>
    <mergeCell ref="C32:E32"/>
    <mergeCell ref="F32:F33"/>
    <mergeCell ref="O32:P32"/>
    <mergeCell ref="C33:E33"/>
    <mergeCell ref="O33:P33"/>
    <mergeCell ref="C34:F34"/>
    <mergeCell ref="O34:P34"/>
    <mergeCell ref="O36:P36"/>
    <mergeCell ref="C36:F36"/>
    <mergeCell ref="B52:Y52"/>
    <mergeCell ref="O45:P45"/>
    <mergeCell ref="C41:F41"/>
    <mergeCell ref="O41:P41"/>
    <mergeCell ref="C42:F42"/>
    <mergeCell ref="O42:P42"/>
    <mergeCell ref="A48:C48"/>
    <mergeCell ref="C43:F43"/>
    <mergeCell ref="O43:P43"/>
    <mergeCell ref="C44:F44"/>
    <mergeCell ref="O44:P44"/>
    <mergeCell ref="C45:F45"/>
    <mergeCell ref="B49:Y49"/>
    <mergeCell ref="B50:Y50"/>
    <mergeCell ref="B51:Y51"/>
  </mergeCells>
  <conditionalFormatting sqref="S16:U45">
    <cfRule type="cellIs" dxfId="33" priority="19" stopIfTrue="1" operator="equal">
      <formula>0</formula>
    </cfRule>
  </conditionalFormatting>
  <conditionalFormatting sqref="W12:X13 W48:X48 W53:X65536">
    <cfRule type="cellIs" dxfId="32" priority="18" stopIfTrue="1" operator="notEqual">
      <formula>0</formula>
    </cfRule>
  </conditionalFormatting>
  <conditionalFormatting sqref="I16:I18">
    <cfRule type="cellIs" dxfId="31" priority="17" stopIfTrue="1" operator="equal">
      <formula>0</formula>
    </cfRule>
  </conditionalFormatting>
  <conditionalFormatting sqref="O16:Q45">
    <cfRule type="expression" dxfId="30" priority="15">
      <formula>MOD(ROW(),2)=0</formula>
    </cfRule>
  </conditionalFormatting>
  <conditionalFormatting sqref="J36:M45 J31:M31 I18:M30 I32:M35">
    <cfRule type="cellIs" dxfId="29" priority="14" operator="equal">
      <formula>0</formula>
    </cfRule>
  </conditionalFormatting>
  <conditionalFormatting sqref="X18:X45">
    <cfRule type="cellIs" dxfId="28" priority="2" operator="greaterThan">
      <formula>0</formula>
    </cfRule>
  </conditionalFormatting>
  <conditionalFormatting sqref="E25">
    <cfRule type="cellIs" dxfId="27"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formula="1"/>
  </ignoredErrors>
  <legacyDrawing r:id="rId2"/>
</worksheet>
</file>

<file path=xl/worksheets/sheet18.xml><?xml version="1.0" encoding="utf-8"?>
<worksheet xmlns="http://schemas.openxmlformats.org/spreadsheetml/2006/main" xmlns:r="http://schemas.openxmlformats.org/officeDocument/2006/relationships">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c r="A1" s="532" t="s">
        <v>253</v>
      </c>
      <c r="B1" s="533"/>
      <c r="C1" s="533"/>
      <c r="D1" s="533"/>
      <c r="E1" s="533"/>
      <c r="F1" s="533"/>
      <c r="G1" s="533"/>
      <c r="H1" s="533"/>
      <c r="I1" s="533"/>
      <c r="J1" s="533"/>
      <c r="K1" s="533"/>
      <c r="L1" s="354"/>
      <c r="M1" s="354"/>
      <c r="N1" s="354"/>
      <c r="O1" s="354"/>
      <c r="P1" s="354"/>
      <c r="Q1" s="354"/>
      <c r="R1" s="354"/>
      <c r="S1" s="354"/>
      <c r="T1" s="354"/>
      <c r="U1" s="354"/>
      <c r="V1" s="356" t="s">
        <v>365</v>
      </c>
      <c r="W1" s="375" t="str">
        <f>'Cover Page'!A3</f>
        <v>January 2014</v>
      </c>
    </row>
    <row r="2" spans="1:28" s="54" customFormat="1" ht="11.25" customHeight="1" thickBot="1">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c r="A3" s="395" t="s">
        <v>203</v>
      </c>
      <c r="B3" s="396"/>
      <c r="C3" s="396"/>
      <c r="D3" s="396"/>
      <c r="E3" s="396"/>
      <c r="F3" s="396"/>
      <c r="G3" s="396"/>
      <c r="H3" s="396"/>
      <c r="I3" s="396"/>
      <c r="J3" s="396"/>
      <c r="K3" s="396"/>
      <c r="L3" s="396"/>
      <c r="M3" s="677"/>
      <c r="N3" s="678"/>
      <c r="O3" s="400"/>
      <c r="P3" s="175"/>
      <c r="Q3" s="553" t="s">
        <v>230</v>
      </c>
      <c r="R3" s="554"/>
      <c r="S3" s="554"/>
      <c r="T3" s="554"/>
      <c r="U3" s="554"/>
      <c r="V3" s="554"/>
      <c r="W3" s="555"/>
      <c r="Y3" s="174" t="s">
        <v>219</v>
      </c>
      <c r="Z3" s="132"/>
    </row>
    <row r="4" spans="1:28" s="57" customFormat="1" ht="15.75">
      <c r="A4" s="542" t="s">
        <v>200</v>
      </c>
      <c r="B4" s="542"/>
      <c r="C4" s="542"/>
      <c r="D4" s="621">
        <f>L1</f>
        <v>0</v>
      </c>
      <c r="E4" s="622"/>
      <c r="F4" s="623" t="s">
        <v>24</v>
      </c>
      <c r="G4" s="562"/>
      <c r="H4" s="208"/>
      <c r="I4" s="569"/>
      <c r="J4" s="733"/>
      <c r="K4" s="570"/>
      <c r="L4" s="627" t="s">
        <v>226</v>
      </c>
      <c r="M4" s="627"/>
      <c r="N4" s="562"/>
      <c r="O4" s="209">
        <v>0</v>
      </c>
      <c r="P4" s="56"/>
      <c r="Q4" s="556" t="s">
        <v>205</v>
      </c>
      <c r="R4" s="557"/>
      <c r="S4" s="557"/>
      <c r="T4" s="557"/>
      <c r="U4" s="557"/>
      <c r="V4" s="557"/>
      <c r="W4" s="558"/>
      <c r="Y4" s="264" t="s">
        <v>272</v>
      </c>
      <c r="Z4" s="265" t="s">
        <v>273</v>
      </c>
      <c r="AA4" s="265" t="s">
        <v>274</v>
      </c>
    </row>
    <row r="5" spans="1:28" s="57" customFormat="1" ht="15.75">
      <c r="A5" s="546" t="s">
        <v>3</v>
      </c>
      <c r="B5" s="546"/>
      <c r="C5" s="546"/>
      <c r="D5" s="566"/>
      <c r="E5" s="538"/>
      <c r="F5" s="628" t="s">
        <v>213</v>
      </c>
      <c r="G5" s="565"/>
      <c r="H5" s="185"/>
      <c r="I5" s="503"/>
      <c r="J5" s="692"/>
      <c r="K5" s="504"/>
      <c r="L5" s="629" t="s">
        <v>19</v>
      </c>
      <c r="M5" s="629"/>
      <c r="N5" s="565"/>
      <c r="O5" s="58"/>
      <c r="P5" s="56"/>
      <c r="Q5" s="630" t="s">
        <v>266</v>
      </c>
      <c r="R5" s="631"/>
      <c r="S5" s="631"/>
      <c r="T5" s="631"/>
      <c r="U5" s="631"/>
      <c r="V5" s="631"/>
      <c r="W5" s="632"/>
      <c r="Y5" s="172" t="s">
        <v>27</v>
      </c>
      <c r="Z5" s="176">
        <f>SUMIF($G$17:$G$45,"STATE",$M$17:$M$45)</f>
        <v>102.99000000000001</v>
      </c>
      <c r="AA5" s="176">
        <f>SUMIF($G$17:$G$45,"STATE",$S$17:$S$45)</f>
        <v>0</v>
      </c>
    </row>
    <row r="6" spans="1:28" s="57" customFormat="1" ht="16.5" thickBot="1">
      <c r="A6" s="546" t="s">
        <v>11</v>
      </c>
      <c r="B6" s="546"/>
      <c r="C6" s="546"/>
      <c r="D6" s="566"/>
      <c r="E6" s="639"/>
      <c r="F6" s="628" t="s">
        <v>17</v>
      </c>
      <c r="G6" s="565"/>
      <c r="H6" s="185"/>
      <c r="I6" s="503" t="s">
        <v>237</v>
      </c>
      <c r="J6" s="692"/>
      <c r="K6" s="504"/>
      <c r="L6" s="640" t="s">
        <v>202</v>
      </c>
      <c r="M6" s="640"/>
      <c r="N6" s="641"/>
      <c r="O6" s="212">
        <f>O4+O5*10</f>
        <v>0</v>
      </c>
      <c r="P6" s="56"/>
      <c r="Q6" s="624" t="s">
        <v>415</v>
      </c>
      <c r="R6" s="625"/>
      <c r="S6" s="625"/>
      <c r="T6" s="625"/>
      <c r="U6" s="625"/>
      <c r="V6" s="625"/>
      <c r="W6" s="626"/>
      <c r="Y6" s="172" t="s">
        <v>28</v>
      </c>
      <c r="Z6" s="176">
        <f>SUMIF($G$17:$G$45,"county",$M$17:$M$45)</f>
        <v>28.00999999999998</v>
      </c>
      <c r="AA6" s="176">
        <f>SUMIF($G$17:$G$45,"county",$S$17:$S$45)</f>
        <v>0</v>
      </c>
    </row>
    <row r="7" spans="1:28" s="57" customFormat="1" ht="16.5" thickBot="1">
      <c r="A7" s="546" t="s">
        <v>4</v>
      </c>
      <c r="B7" s="546"/>
      <c r="C7" s="546"/>
      <c r="D7" s="503"/>
      <c r="E7" s="538"/>
      <c r="F7" s="642" t="s">
        <v>18</v>
      </c>
      <c r="G7" s="518"/>
      <c r="H7" s="186"/>
      <c r="I7" s="501" t="s">
        <v>62</v>
      </c>
      <c r="J7" s="502"/>
      <c r="K7" s="648"/>
      <c r="L7" s="568"/>
      <c r="M7" s="568"/>
      <c r="N7" s="568"/>
      <c r="O7" s="213"/>
      <c r="P7" s="56"/>
      <c r="Q7" s="596" t="s">
        <v>204</v>
      </c>
      <c r="R7" s="597"/>
      <c r="S7" s="597"/>
      <c r="T7" s="597"/>
      <c r="U7" s="597"/>
      <c r="V7" s="597"/>
      <c r="W7" s="598"/>
      <c r="Y7" s="172" t="s">
        <v>48</v>
      </c>
      <c r="Z7" s="176">
        <f>SUMIF($G$17:$G$45,"city",$M$17:$M$45)</f>
        <v>0</v>
      </c>
      <c r="AA7" s="176">
        <f>SUMIF($G$17:$G$45,"city",$S$17:$S$45)</f>
        <v>0</v>
      </c>
    </row>
    <row r="8" spans="1:28" s="57" customFormat="1" ht="15.75" customHeight="1">
      <c r="A8" s="643" t="s">
        <v>50</v>
      </c>
      <c r="B8" s="643"/>
      <c r="C8" s="643"/>
      <c r="D8" s="698">
        <v>1</v>
      </c>
      <c r="E8" s="699"/>
      <c r="F8" s="646" t="s">
        <v>222</v>
      </c>
      <c r="G8" s="543"/>
      <c r="H8" s="187"/>
      <c r="I8" s="569"/>
      <c r="J8" s="733"/>
      <c r="K8" s="570"/>
      <c r="L8" s="647" t="s">
        <v>226</v>
      </c>
      <c r="M8" s="647"/>
      <c r="N8" s="543"/>
      <c r="O8" s="55">
        <v>0</v>
      </c>
      <c r="P8" s="56"/>
      <c r="Q8" s="610" t="s">
        <v>267</v>
      </c>
      <c r="R8" s="611"/>
      <c r="S8" s="611"/>
      <c r="T8" s="611"/>
      <c r="U8" s="611"/>
      <c r="V8" s="611"/>
      <c r="W8" s="612"/>
      <c r="Y8" s="172" t="s">
        <v>199</v>
      </c>
      <c r="Z8" s="176">
        <f>SUMIF($G$17:$G$45,"court",$M$17:$M$45)</f>
        <v>0</v>
      </c>
      <c r="AA8" s="176">
        <f>SUMIF($G$17:$G$45,"court",$S$17:$S$45)</f>
        <v>0</v>
      </c>
    </row>
    <row r="9" spans="1:28" s="57" customFormat="1" ht="20.25" customHeight="1" thickBot="1">
      <c r="A9" s="643" t="s">
        <v>49</v>
      </c>
      <c r="B9" s="643"/>
      <c r="C9" s="643"/>
      <c r="D9" s="534">
        <f>100%-D8</f>
        <v>0</v>
      </c>
      <c r="E9" s="535"/>
      <c r="F9" s="628" t="s">
        <v>213</v>
      </c>
      <c r="G9" s="565"/>
      <c r="H9" s="185"/>
      <c r="I9" s="503"/>
      <c r="J9" s="692"/>
      <c r="K9" s="504"/>
      <c r="L9" s="629" t="s">
        <v>19</v>
      </c>
      <c r="M9" s="629"/>
      <c r="N9" s="565"/>
      <c r="O9" s="58"/>
      <c r="Q9" s="613"/>
      <c r="R9" s="614"/>
      <c r="S9" s="614"/>
      <c r="T9" s="614"/>
      <c r="U9" s="614"/>
      <c r="V9" s="614"/>
      <c r="W9" s="615"/>
      <c r="Y9" s="153" t="s">
        <v>339</v>
      </c>
      <c r="Z9" s="176">
        <f>SUMIF($G$17:$G$45,"CNTY or CTY",$M$17:$M$45)</f>
        <v>0</v>
      </c>
      <c r="AA9" s="176">
        <f>SUMIF($G$17:$G$45,"CNTY or CTY",$S$17:$S$45)</f>
        <v>0</v>
      </c>
    </row>
    <row r="10" spans="1:28" s="57" customFormat="1" ht="16.5" customHeight="1" thickBot="1">
      <c r="A10" s="495" t="s">
        <v>241</v>
      </c>
      <c r="B10" s="496"/>
      <c r="C10" s="496"/>
      <c r="D10" s="491">
        <f>O6+O10</f>
        <v>0</v>
      </c>
      <c r="E10" s="492"/>
      <c r="F10" s="628" t="s">
        <v>17</v>
      </c>
      <c r="G10" s="565"/>
      <c r="H10" s="185"/>
      <c r="I10" s="503"/>
      <c r="J10" s="692"/>
      <c r="K10" s="504"/>
      <c r="L10" s="640" t="s">
        <v>202</v>
      </c>
      <c r="M10" s="640"/>
      <c r="N10" s="641"/>
      <c r="O10" s="212">
        <f>O8+O9*10</f>
        <v>0</v>
      </c>
      <c r="Q10" s="651" t="s">
        <v>208</v>
      </c>
      <c r="R10" s="652"/>
      <c r="S10" s="652"/>
      <c r="T10" s="652"/>
      <c r="U10" s="652"/>
      <c r="V10" s="652"/>
      <c r="W10" s="653"/>
      <c r="Y10" s="247" t="s">
        <v>215</v>
      </c>
      <c r="Z10" s="148">
        <f>SUM(Z5:Z9)</f>
        <v>131</v>
      </c>
      <c r="AA10" s="148">
        <f>SUM(AA5:AA9)</f>
        <v>0</v>
      </c>
    </row>
    <row r="11" spans="1:28" s="57" customFormat="1" ht="16.5" customHeight="1" thickBot="1">
      <c r="A11" s="493" t="s">
        <v>242</v>
      </c>
      <c r="B11" s="494"/>
      <c r="C11" s="494"/>
      <c r="D11" s="489">
        <f>ROUNDUP(D10/10,0)</f>
        <v>0</v>
      </c>
      <c r="E11" s="490"/>
      <c r="F11" s="642" t="s">
        <v>18</v>
      </c>
      <c r="G11" s="518"/>
      <c r="H11" s="186"/>
      <c r="I11" s="501"/>
      <c r="J11" s="502"/>
      <c r="K11" s="654"/>
      <c r="L11" s="655" t="s">
        <v>410</v>
      </c>
      <c r="M11" s="656"/>
      <c r="N11" s="732"/>
      <c r="O11" s="415">
        <f>'Local Penalties'!B8</f>
        <v>7</v>
      </c>
      <c r="Q11" s="657" t="s">
        <v>334</v>
      </c>
      <c r="R11" s="658"/>
      <c r="S11" s="658"/>
      <c r="T11" s="658"/>
      <c r="U11" s="658"/>
      <c r="V11" s="658"/>
      <c r="W11" s="659"/>
      <c r="Z11" s="266">
        <f>Z10-M48</f>
        <v>0</v>
      </c>
      <c r="AA11" s="266">
        <f>AA10-S48</f>
        <v>0</v>
      </c>
    </row>
    <row r="12" spans="1:28" s="57" customFormat="1" ht="15" customHeight="1" thickBot="1">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c r="A13" s="192"/>
      <c r="B13" s="192"/>
      <c r="C13" s="192"/>
      <c r="D13" s="192"/>
      <c r="E13" s="192"/>
      <c r="F13" s="107"/>
      <c r="G13" s="108"/>
      <c r="I13" s="199"/>
      <c r="J13" s="199"/>
      <c r="K13" s="282"/>
      <c r="L13" s="666" t="s">
        <v>278</v>
      </c>
      <c r="M13" s="667"/>
      <c r="N13" s="245"/>
      <c r="O13" s="668" t="s">
        <v>276</v>
      </c>
      <c r="P13" s="669"/>
      <c r="Q13" s="670"/>
      <c r="R13" s="246"/>
      <c r="S13" s="268" t="s">
        <v>275</v>
      </c>
      <c r="T13" s="225"/>
      <c r="U13" s="158"/>
      <c r="V13" s="158"/>
      <c r="W13" s="159"/>
      <c r="X13" s="108"/>
      <c r="Y13" s="108"/>
      <c r="Z13" s="108"/>
      <c r="AA13" s="108"/>
      <c r="AB13" s="108"/>
    </row>
    <row r="14" spans="1:28" ht="50.25" customHeight="1" thickBot="1">
      <c r="A14" s="112">
        <v>0.02</v>
      </c>
      <c r="B14" s="112" t="s">
        <v>54</v>
      </c>
      <c r="C14" s="671" t="s">
        <v>195</v>
      </c>
      <c r="D14" s="671"/>
      <c r="E14" s="671"/>
      <c r="F14" s="671"/>
      <c r="G14" s="113" t="s">
        <v>218</v>
      </c>
      <c r="H14" s="113" t="s">
        <v>0</v>
      </c>
      <c r="I14" s="673" t="s">
        <v>236</v>
      </c>
      <c r="J14" s="319" t="s">
        <v>255</v>
      </c>
      <c r="K14" s="222" t="s">
        <v>259</v>
      </c>
      <c r="L14" s="671" t="s">
        <v>5</v>
      </c>
      <c r="M14" s="602" t="s">
        <v>268</v>
      </c>
      <c r="N14" s="67"/>
      <c r="O14" s="601" t="s">
        <v>229</v>
      </c>
      <c r="P14" s="602"/>
      <c r="Q14" s="120" t="s">
        <v>217</v>
      </c>
      <c r="R14" s="121"/>
      <c r="S14" s="248" t="s">
        <v>277</v>
      </c>
      <c r="T14" s="226"/>
      <c r="U14" s="207" t="s">
        <v>225</v>
      </c>
      <c r="V14" s="633" t="s">
        <v>57</v>
      </c>
      <c r="W14" s="636" t="s">
        <v>301</v>
      </c>
    </row>
    <row r="15" spans="1:28" ht="11.25" customHeight="1" thickBot="1">
      <c r="A15" s="255"/>
      <c r="B15" s="255"/>
      <c r="C15" s="672"/>
      <c r="D15" s="672"/>
      <c r="E15" s="672"/>
      <c r="F15" s="672"/>
      <c r="G15" s="256"/>
      <c r="H15" s="256"/>
      <c r="I15" s="674"/>
      <c r="J15" s="321"/>
      <c r="K15" s="257"/>
      <c r="L15" s="675"/>
      <c r="M15" s="676"/>
      <c r="N15" s="68"/>
      <c r="O15" s="660"/>
      <c r="P15" s="661"/>
      <c r="Q15" s="189"/>
      <c r="R15" s="121"/>
      <c r="S15" s="254">
        <f>(S35-SUM(S25:S26))/(I35-SUM(K25:K26))</f>
        <v>0</v>
      </c>
      <c r="T15" s="261"/>
      <c r="U15" s="662" t="s">
        <v>264</v>
      </c>
      <c r="V15" s="634"/>
      <c r="W15" s="637"/>
    </row>
    <row r="16" spans="1:28" ht="20.25" customHeight="1" thickBot="1">
      <c r="A16" s="281" t="s">
        <v>6</v>
      </c>
      <c r="B16" s="115"/>
      <c r="C16" s="217"/>
      <c r="D16" s="218"/>
      <c r="E16" s="218"/>
      <c r="F16" s="219"/>
      <c r="G16" s="116"/>
      <c r="H16" s="116"/>
      <c r="I16" s="224"/>
      <c r="J16" s="320"/>
      <c r="K16" s="223"/>
      <c r="L16" s="258"/>
      <c r="M16" s="242" t="s">
        <v>38</v>
      </c>
      <c r="N16" s="68"/>
      <c r="O16" s="220"/>
      <c r="P16" s="221"/>
      <c r="Q16" s="242" t="s">
        <v>39</v>
      </c>
      <c r="R16" s="121"/>
      <c r="S16" s="242" t="s">
        <v>40</v>
      </c>
      <c r="T16" s="259"/>
      <c r="U16" s="663"/>
      <c r="V16" s="634"/>
      <c r="W16" s="734"/>
    </row>
    <row r="17" spans="1:28" s="74" customFormat="1" ht="15.75" thickTop="1">
      <c r="A17" s="69" t="s">
        <v>6</v>
      </c>
      <c r="B17" s="260"/>
      <c r="C17" s="571" t="s">
        <v>256</v>
      </c>
      <c r="D17" s="571"/>
      <c r="E17" s="571"/>
      <c r="F17" s="571"/>
      <c r="G17" s="341" t="s">
        <v>28</v>
      </c>
      <c r="H17" s="71" t="s">
        <v>13</v>
      </c>
      <c r="I17" s="154"/>
      <c r="J17" s="160"/>
      <c r="K17" s="160"/>
      <c r="L17" s="162">
        <f>IF(A17="Y",(I35-K35)*2%,)</f>
        <v>0</v>
      </c>
      <c r="M17" s="198">
        <f>(I48-K48)-L17</f>
        <v>2.7999999999999829</v>
      </c>
      <c r="N17" s="164"/>
      <c r="O17" s="735"/>
      <c r="P17" s="736"/>
      <c r="Q17" s="215"/>
      <c r="R17" s="72"/>
      <c r="S17" s="198">
        <f t="shared" ref="S17:S24" si="0">IF($S$48=0,,$S$15*M17)</f>
        <v>0</v>
      </c>
      <c r="T17" s="249"/>
      <c r="U17" s="181">
        <f>IF($U$15="Base-up   (B-A)",Q17-M17,Q17-S17)</f>
        <v>-2.7999999999999829</v>
      </c>
      <c r="V17" s="317"/>
      <c r="W17" s="307"/>
      <c r="X17" s="125"/>
      <c r="Y17" s="125"/>
      <c r="Z17" s="125"/>
      <c r="AA17" s="125"/>
      <c r="AB17" s="125"/>
    </row>
    <row r="18" spans="1:28" s="74" customFormat="1" ht="15">
      <c r="A18" s="69" t="s">
        <v>6</v>
      </c>
      <c r="B18" s="216"/>
      <c r="C18" s="571" t="s">
        <v>254</v>
      </c>
      <c r="D18" s="571"/>
      <c r="E18" s="571"/>
      <c r="F18" s="571"/>
      <c r="G18" s="334" t="str">
        <f>IF(D9&gt;0,"CITY","COUNTY")</f>
        <v>COUNTY</v>
      </c>
      <c r="H18" s="71" t="s">
        <v>13</v>
      </c>
      <c r="I18" s="154"/>
      <c r="J18" s="160"/>
      <c r="K18" s="160">
        <f>J46</f>
        <v>1.2</v>
      </c>
      <c r="L18" s="162">
        <f>IF(A18="Y",K18* 2%,0)</f>
        <v>0</v>
      </c>
      <c r="M18" s="167">
        <f>K18-L18</f>
        <v>1.2</v>
      </c>
      <c r="N18" s="164"/>
      <c r="O18" s="528"/>
      <c r="P18" s="529"/>
      <c r="Q18" s="78"/>
      <c r="R18" s="72"/>
      <c r="S18" s="167">
        <f t="shared" si="0"/>
        <v>0</v>
      </c>
      <c r="T18" s="249"/>
      <c r="U18" s="181">
        <f t="shared" ref="U18:U45" si="1">IF($U$15="Base-up   (B-A)",Q18-M18,Q18-S18)</f>
        <v>-1.2</v>
      </c>
      <c r="V18" s="317"/>
      <c r="W18" s="305"/>
      <c r="X18" s="125"/>
      <c r="Y18" s="125"/>
      <c r="Z18" s="125"/>
      <c r="AA18" s="125"/>
      <c r="AB18" s="125"/>
    </row>
    <row r="19" spans="1:28" s="74" customFormat="1" ht="15">
      <c r="A19" s="69" t="s">
        <v>6</v>
      </c>
      <c r="B19" s="664" t="s">
        <v>210</v>
      </c>
      <c r="C19" s="517" t="s">
        <v>271</v>
      </c>
      <c r="D19" s="517"/>
      <c r="E19" s="517"/>
      <c r="F19" s="517"/>
      <c r="G19" s="333" t="s">
        <v>28</v>
      </c>
      <c r="H19" s="77" t="s">
        <v>23</v>
      </c>
      <c r="I19" s="155">
        <f>($D$10)*D8</f>
        <v>0</v>
      </c>
      <c r="J19" s="155">
        <f>I19*30%</f>
        <v>0</v>
      </c>
      <c r="K19" s="323"/>
      <c r="L19" s="162">
        <f t="shared" ref="L19:L32" si="2">IF(A19="Y",K19* 2%,0)</f>
        <v>0</v>
      </c>
      <c r="M19" s="167">
        <f t="shared" ref="M19:M34" si="3">K19-L19</f>
        <v>0</v>
      </c>
      <c r="N19" s="164"/>
      <c r="O19" s="528"/>
      <c r="P19" s="529"/>
      <c r="Q19" s="78"/>
      <c r="R19" s="72"/>
      <c r="S19" s="167">
        <f t="shared" si="0"/>
        <v>0</v>
      </c>
      <c r="T19" s="249"/>
      <c r="U19" s="181">
        <f t="shared" si="1"/>
        <v>0</v>
      </c>
      <c r="V19" s="317"/>
      <c r="W19" s="307"/>
      <c r="X19" s="125"/>
      <c r="Y19" s="125"/>
      <c r="Z19" s="125"/>
      <c r="AA19" s="125"/>
      <c r="AB19" s="125"/>
    </row>
    <row r="20" spans="1:28" s="74" customFormat="1" ht="15">
      <c r="A20" s="69" t="s">
        <v>6</v>
      </c>
      <c r="B20" s="665"/>
      <c r="C20" s="517" t="s">
        <v>270</v>
      </c>
      <c r="D20" s="517"/>
      <c r="E20" s="517"/>
      <c r="F20" s="517"/>
      <c r="G20" s="333" t="s">
        <v>48</v>
      </c>
      <c r="H20" s="77" t="s">
        <v>21</v>
      </c>
      <c r="I20" s="155">
        <f>($D$10)*D9</f>
        <v>0</v>
      </c>
      <c r="J20" s="155">
        <f t="shared" ref="J20:J33" si="4">I20*30%</f>
        <v>0</v>
      </c>
      <c r="K20" s="155">
        <f>IF(I20&gt;0,(I20-J20)*98%,)</f>
        <v>0</v>
      </c>
      <c r="L20" s="162">
        <f t="shared" si="2"/>
        <v>0</v>
      </c>
      <c r="M20" s="167">
        <f t="shared" si="3"/>
        <v>0</v>
      </c>
      <c r="N20" s="164"/>
      <c r="O20" s="528"/>
      <c r="P20" s="529"/>
      <c r="Q20" s="78"/>
      <c r="R20" s="72"/>
      <c r="S20" s="167">
        <f t="shared" si="0"/>
        <v>0</v>
      </c>
      <c r="T20" s="249"/>
      <c r="U20" s="181">
        <f t="shared" si="1"/>
        <v>0</v>
      </c>
      <c r="V20" s="317"/>
      <c r="W20" s="305"/>
      <c r="X20" s="386"/>
      <c r="Y20" s="125"/>
      <c r="Z20" s="125"/>
      <c r="AA20" s="125"/>
      <c r="AB20" s="125"/>
    </row>
    <row r="21" spans="1:28" s="74" customFormat="1" ht="15" customHeight="1">
      <c r="A21" s="69" t="s">
        <v>6</v>
      </c>
      <c r="B21" s="75">
        <v>7</v>
      </c>
      <c r="C21" s="517" t="s">
        <v>396</v>
      </c>
      <c r="D21" s="517"/>
      <c r="E21" s="517"/>
      <c r="F21" s="517"/>
      <c r="G21" s="333" t="s">
        <v>27</v>
      </c>
      <c r="H21" s="77" t="s">
        <v>22</v>
      </c>
      <c r="I21" s="155">
        <f>$D$11*B21</f>
        <v>0</v>
      </c>
      <c r="J21" s="155">
        <f t="shared" si="4"/>
        <v>0</v>
      </c>
      <c r="K21" s="322"/>
      <c r="L21" s="162">
        <f t="shared" si="2"/>
        <v>0</v>
      </c>
      <c r="M21" s="167">
        <f t="shared" si="3"/>
        <v>0</v>
      </c>
      <c r="N21" s="164"/>
      <c r="O21" s="528"/>
      <c r="P21" s="529"/>
      <c r="Q21" s="80"/>
      <c r="R21" s="81"/>
      <c r="S21" s="167">
        <f t="shared" si="0"/>
        <v>0</v>
      </c>
      <c r="T21" s="249"/>
      <c r="U21" s="181">
        <f t="shared" si="1"/>
        <v>0</v>
      </c>
      <c r="V21" s="317"/>
      <c r="W21" s="301"/>
      <c r="X21" s="125"/>
      <c r="Y21" s="125"/>
      <c r="Z21" s="125"/>
      <c r="AA21" s="125"/>
      <c r="AB21" s="125"/>
    </row>
    <row r="22" spans="1:28" s="74" customFormat="1" ht="15" customHeight="1">
      <c r="A22" s="69" t="s">
        <v>6</v>
      </c>
      <c r="B22" s="75">
        <v>3</v>
      </c>
      <c r="C22" s="517" t="s">
        <v>397</v>
      </c>
      <c r="D22" s="517"/>
      <c r="E22" s="517"/>
      <c r="F22" s="517"/>
      <c r="G22" s="333" t="s">
        <v>28</v>
      </c>
      <c r="H22" s="77" t="s">
        <v>23</v>
      </c>
      <c r="I22" s="155">
        <f t="shared" ref="I22:I33" si="5">$D$11*B22</f>
        <v>0</v>
      </c>
      <c r="J22" s="155">
        <f t="shared" si="4"/>
        <v>0</v>
      </c>
      <c r="K22" s="322"/>
      <c r="L22" s="162">
        <f t="shared" si="2"/>
        <v>0</v>
      </c>
      <c r="M22" s="167">
        <f t="shared" si="3"/>
        <v>0</v>
      </c>
      <c r="N22" s="164"/>
      <c r="O22" s="528"/>
      <c r="P22" s="529"/>
      <c r="Q22" s="78"/>
      <c r="R22" s="72"/>
      <c r="S22" s="167">
        <f t="shared" si="0"/>
        <v>0</v>
      </c>
      <c r="T22" s="249"/>
      <c r="U22" s="181">
        <f t="shared" si="1"/>
        <v>0</v>
      </c>
      <c r="V22" s="317"/>
      <c r="W22" s="301"/>
      <c r="X22" s="125"/>
      <c r="Y22" s="125"/>
      <c r="Z22" s="125"/>
      <c r="AA22" s="125"/>
      <c r="AB22" s="125"/>
    </row>
    <row r="23" spans="1:28" s="74" customFormat="1" ht="15.75" customHeight="1">
      <c r="A23" s="69" t="s">
        <v>6</v>
      </c>
      <c r="B23" s="75">
        <v>1</v>
      </c>
      <c r="C23" s="528" t="s">
        <v>185</v>
      </c>
      <c r="D23" s="585"/>
      <c r="E23" s="585"/>
      <c r="F23" s="586"/>
      <c r="G23" s="333" t="s">
        <v>28</v>
      </c>
      <c r="H23" s="77" t="s">
        <v>51</v>
      </c>
      <c r="I23" s="155">
        <f t="shared" si="5"/>
        <v>0</v>
      </c>
      <c r="J23" s="155">
        <f t="shared" si="4"/>
        <v>0</v>
      </c>
      <c r="K23" s="322"/>
      <c r="L23" s="162">
        <f t="shared" si="2"/>
        <v>0</v>
      </c>
      <c r="M23" s="167">
        <f t="shared" si="3"/>
        <v>0</v>
      </c>
      <c r="N23" s="164"/>
      <c r="O23" s="528"/>
      <c r="P23" s="529"/>
      <c r="Q23" s="78"/>
      <c r="R23" s="72"/>
      <c r="S23" s="167">
        <f t="shared" si="0"/>
        <v>0</v>
      </c>
      <c r="T23" s="249"/>
      <c r="U23" s="181">
        <f t="shared" si="1"/>
        <v>0</v>
      </c>
      <c r="V23" s="317"/>
      <c r="W23" s="302"/>
      <c r="X23" s="125"/>
      <c r="Y23" s="125"/>
      <c r="Z23" s="125"/>
      <c r="AA23" s="125"/>
      <c r="AB23" s="125"/>
    </row>
    <row r="24" spans="1:28" s="74" customFormat="1" ht="15">
      <c r="A24" s="69" t="s">
        <v>6</v>
      </c>
      <c r="B24" s="75">
        <v>4</v>
      </c>
      <c r="C24" s="528" t="s">
        <v>351</v>
      </c>
      <c r="D24" s="585"/>
      <c r="E24" s="585"/>
      <c r="F24" s="586"/>
      <c r="G24" s="333" t="s">
        <v>27</v>
      </c>
      <c r="H24" s="77" t="s">
        <v>65</v>
      </c>
      <c r="I24" s="155">
        <f t="shared" si="5"/>
        <v>0</v>
      </c>
      <c r="J24" s="155">
        <f t="shared" si="4"/>
        <v>0</v>
      </c>
      <c r="K24" s="322"/>
      <c r="L24" s="162">
        <f t="shared" si="2"/>
        <v>0</v>
      </c>
      <c r="M24" s="167">
        <f t="shared" si="3"/>
        <v>0</v>
      </c>
      <c r="N24" s="164"/>
      <c r="O24" s="528"/>
      <c r="P24" s="529"/>
      <c r="Q24" s="78"/>
      <c r="R24" s="72"/>
      <c r="S24" s="167">
        <f t="shared" si="0"/>
        <v>0</v>
      </c>
      <c r="T24" s="249"/>
      <c r="U24" s="181">
        <f>IF($U$15="Base-up   (B-A)",Q24-M24,Q24-S24)</f>
        <v>0</v>
      </c>
      <c r="V24" s="317"/>
      <c r="W24" s="302"/>
      <c r="X24" s="125"/>
      <c r="Y24" s="125"/>
      <c r="Z24" s="125"/>
      <c r="AA24" s="125"/>
      <c r="AB24" s="125"/>
    </row>
    <row r="25" spans="1:28" s="74" customFormat="1" ht="19.5" customHeight="1">
      <c r="A25" s="69" t="s">
        <v>6</v>
      </c>
      <c r="B25" s="397">
        <f>'Local Penalties'!B9</f>
        <v>0</v>
      </c>
      <c r="C25" s="517" t="s">
        <v>186</v>
      </c>
      <c r="D25" s="517"/>
      <c r="E25" s="679" t="str">
        <f>IF(SUM(B25:B29)=O11,"GC 76000 PA ($" &amp;O11 &amp; " for every 10) breakdown per local board of supervisor resolution (BOS).","ERROR! GC 76000 PA total is not $" &amp;O11&amp; ". Check Court's board resolution.")</f>
        <v>ERROR! GC 76000 PA total is not $7. Check Court's board resolution.</v>
      </c>
      <c r="F25" s="680"/>
      <c r="G25" s="333" t="s">
        <v>28</v>
      </c>
      <c r="H25" s="77" t="s">
        <v>60</v>
      </c>
      <c r="I25" s="155">
        <f t="shared" si="5"/>
        <v>0</v>
      </c>
      <c r="J25" s="155">
        <f t="shared" si="4"/>
        <v>0</v>
      </c>
      <c r="K25" s="155">
        <f>IF(B25&gt;0,1,)</f>
        <v>0</v>
      </c>
      <c r="L25" s="162">
        <f t="shared" si="2"/>
        <v>0</v>
      </c>
      <c r="M25" s="167">
        <f t="shared" si="3"/>
        <v>0</v>
      </c>
      <c r="N25" s="164"/>
      <c r="O25" s="528"/>
      <c r="P25" s="529"/>
      <c r="Q25" s="78"/>
      <c r="R25" s="72"/>
      <c r="S25" s="167">
        <f>IF($S$48=0,,M25)</f>
        <v>0</v>
      </c>
      <c r="T25" s="249"/>
      <c r="U25" s="181">
        <f t="shared" si="1"/>
        <v>0</v>
      </c>
      <c r="V25" s="317"/>
      <c r="W25" s="96"/>
      <c r="X25" s="125"/>
      <c r="Y25" s="125"/>
      <c r="Z25" s="125"/>
      <c r="AA25" s="125"/>
      <c r="AB25" s="125"/>
    </row>
    <row r="26" spans="1:28" s="74" customFormat="1" ht="19.5" customHeight="1">
      <c r="A26" s="69" t="s">
        <v>6</v>
      </c>
      <c r="B26" s="397">
        <f>'Local Penalties'!B10</f>
        <v>0</v>
      </c>
      <c r="C26" s="517" t="s">
        <v>187</v>
      </c>
      <c r="D26" s="517"/>
      <c r="E26" s="681"/>
      <c r="F26" s="682"/>
      <c r="G26" s="333" t="s">
        <v>28</v>
      </c>
      <c r="H26" s="77" t="s">
        <v>31</v>
      </c>
      <c r="I26" s="155">
        <f t="shared" si="5"/>
        <v>0</v>
      </c>
      <c r="J26" s="155">
        <f t="shared" si="4"/>
        <v>0</v>
      </c>
      <c r="K26" s="155">
        <f>IF(B26&gt;0,1,)</f>
        <v>0</v>
      </c>
      <c r="L26" s="162">
        <f t="shared" si="2"/>
        <v>0</v>
      </c>
      <c r="M26" s="167">
        <f t="shared" si="3"/>
        <v>0</v>
      </c>
      <c r="N26" s="164"/>
      <c r="O26" s="528"/>
      <c r="P26" s="529"/>
      <c r="Q26" s="78"/>
      <c r="R26" s="72"/>
      <c r="S26" s="167">
        <f>IF($S$48=0,,M26)</f>
        <v>0</v>
      </c>
      <c r="T26" s="249"/>
      <c r="U26" s="181">
        <f t="shared" si="1"/>
        <v>0</v>
      </c>
      <c r="V26" s="317"/>
      <c r="W26" s="302"/>
      <c r="X26" s="125"/>
      <c r="Y26" s="125"/>
      <c r="Z26" s="125"/>
      <c r="AA26" s="125"/>
      <c r="AB26" s="125"/>
    </row>
    <row r="27" spans="1:28" s="74" customFormat="1" ht="19.5" customHeight="1">
      <c r="A27" s="69" t="s">
        <v>6</v>
      </c>
      <c r="B27" s="397">
        <f>'Local Penalties'!B11</f>
        <v>0</v>
      </c>
      <c r="C27" s="517" t="s">
        <v>188</v>
      </c>
      <c r="D27" s="517"/>
      <c r="E27" s="681"/>
      <c r="F27" s="682"/>
      <c r="G27" s="333" t="s">
        <v>28</v>
      </c>
      <c r="H27" s="77" t="s">
        <v>61</v>
      </c>
      <c r="I27" s="155">
        <f t="shared" si="5"/>
        <v>0</v>
      </c>
      <c r="J27" s="155">
        <f t="shared" si="4"/>
        <v>0</v>
      </c>
      <c r="K27" s="155">
        <f>IF(B27&gt;0,$D$11*2,)</f>
        <v>0</v>
      </c>
      <c r="L27" s="162">
        <f t="shared" si="2"/>
        <v>0</v>
      </c>
      <c r="M27" s="167">
        <f t="shared" si="3"/>
        <v>0</v>
      </c>
      <c r="N27" s="164"/>
      <c r="O27" s="528"/>
      <c r="P27" s="529"/>
      <c r="Q27" s="78"/>
      <c r="R27" s="72"/>
      <c r="S27" s="167">
        <f>IF($S$48=0,,$S$15*M27)</f>
        <v>0</v>
      </c>
      <c r="T27" s="249"/>
      <c r="U27" s="181">
        <f t="shared" si="1"/>
        <v>0</v>
      </c>
      <c r="V27" s="317"/>
      <c r="W27" s="310"/>
      <c r="X27" s="125"/>
      <c r="Y27" s="125"/>
      <c r="Z27" s="125"/>
      <c r="AA27" s="125"/>
      <c r="AB27" s="125"/>
    </row>
    <row r="28" spans="1:28" s="74" customFormat="1" ht="19.5" customHeight="1">
      <c r="A28" s="69" t="s">
        <v>6</v>
      </c>
      <c r="B28" s="397">
        <f>'Local Penalties'!B12</f>
        <v>0</v>
      </c>
      <c r="C28" s="517" t="s">
        <v>308</v>
      </c>
      <c r="D28" s="517"/>
      <c r="E28" s="681"/>
      <c r="F28" s="682"/>
      <c r="G28" s="333" t="s">
        <v>28</v>
      </c>
      <c r="H28" s="77" t="s">
        <v>61</v>
      </c>
      <c r="I28" s="155">
        <f t="shared" si="5"/>
        <v>0</v>
      </c>
      <c r="J28" s="155">
        <f>I28*30%</f>
        <v>0</v>
      </c>
      <c r="K28" s="155"/>
      <c r="L28" s="162">
        <f>IF(A28="Y",K28* 2%,0)</f>
        <v>0</v>
      </c>
      <c r="M28" s="167">
        <f>K28-L28</f>
        <v>0</v>
      </c>
      <c r="N28" s="164"/>
      <c r="O28" s="528"/>
      <c r="P28" s="529"/>
      <c r="Q28" s="78"/>
      <c r="R28" s="72"/>
      <c r="S28" s="167">
        <f>IF($S$49=0,,$S$15*M28)</f>
        <v>0</v>
      </c>
      <c r="T28" s="249"/>
      <c r="U28" s="181">
        <f>IF($U$15="Base-up   (B-A)",Q28-M28,Q28-S28)</f>
        <v>0</v>
      </c>
      <c r="V28" s="317"/>
      <c r="W28" s="310"/>
      <c r="X28" s="125"/>
      <c r="Y28" s="125"/>
      <c r="Z28" s="125"/>
      <c r="AA28" s="125"/>
      <c r="AB28" s="125"/>
    </row>
    <row r="29" spans="1:28" s="74" customFormat="1" ht="15">
      <c r="A29" s="69" t="s">
        <v>6</v>
      </c>
      <c r="B29" s="397">
        <f>'Local Penalties'!B13</f>
        <v>0</v>
      </c>
      <c r="C29" s="517" t="s">
        <v>223</v>
      </c>
      <c r="D29" s="517"/>
      <c r="E29" s="683"/>
      <c r="F29" s="684"/>
      <c r="G29" s="333" t="s">
        <v>28</v>
      </c>
      <c r="H29" s="77"/>
      <c r="I29" s="155">
        <f t="shared" si="5"/>
        <v>0</v>
      </c>
      <c r="J29" s="155">
        <f t="shared" si="4"/>
        <v>0</v>
      </c>
      <c r="K29" s="155"/>
      <c r="L29" s="162">
        <f t="shared" si="2"/>
        <v>0</v>
      </c>
      <c r="M29" s="167">
        <f t="shared" si="3"/>
        <v>0</v>
      </c>
      <c r="N29" s="164"/>
      <c r="O29" s="528"/>
      <c r="P29" s="529"/>
      <c r="Q29" s="78"/>
      <c r="R29" s="72"/>
      <c r="S29" s="167">
        <f>IF($S$49=0,,$S$15*M29)</f>
        <v>0</v>
      </c>
      <c r="T29" s="249"/>
      <c r="U29" s="181">
        <f t="shared" si="1"/>
        <v>0</v>
      </c>
      <c r="V29" s="317"/>
      <c r="W29" s="302"/>
      <c r="X29" s="125"/>
      <c r="Y29" s="125"/>
      <c r="Z29" s="125"/>
      <c r="AA29" s="125"/>
      <c r="AB29" s="125"/>
    </row>
    <row r="30" spans="1:28" s="85" customFormat="1" ht="15">
      <c r="A30" s="69" t="s">
        <v>6</v>
      </c>
      <c r="B30" s="397">
        <f>'Local Penalties'!B16</f>
        <v>0</v>
      </c>
      <c r="C30" s="499" t="s">
        <v>251</v>
      </c>
      <c r="D30" s="500"/>
      <c r="E30" s="500"/>
      <c r="F30" s="577"/>
      <c r="G30" s="337" t="s">
        <v>28</v>
      </c>
      <c r="H30" s="84" t="s">
        <v>32</v>
      </c>
      <c r="I30" s="155">
        <f t="shared" si="5"/>
        <v>0</v>
      </c>
      <c r="J30" s="155">
        <f t="shared" si="4"/>
        <v>0</v>
      </c>
      <c r="K30" s="155">
        <f>IF(B30&gt;0,$D$11*2,)</f>
        <v>0</v>
      </c>
      <c r="L30" s="162">
        <f t="shared" si="2"/>
        <v>0</v>
      </c>
      <c r="M30" s="167">
        <f t="shared" si="3"/>
        <v>0</v>
      </c>
      <c r="N30" s="164"/>
      <c r="O30" s="528"/>
      <c r="P30" s="529"/>
      <c r="Q30" s="78"/>
      <c r="R30" s="72"/>
      <c r="S30" s="167">
        <f>IF($S$49=0,,$S$15*M30)</f>
        <v>0</v>
      </c>
      <c r="T30" s="249"/>
      <c r="U30" s="181">
        <f t="shared" si="1"/>
        <v>0</v>
      </c>
      <c r="V30" s="317"/>
      <c r="W30" s="310"/>
      <c r="X30" s="127"/>
      <c r="Y30" s="127"/>
      <c r="Z30" s="127"/>
      <c r="AA30" s="127"/>
      <c r="AB30" s="127"/>
    </row>
    <row r="31" spans="1:28" s="85" customFormat="1" ht="15" customHeight="1">
      <c r="A31" s="69" t="s">
        <v>6</v>
      </c>
      <c r="B31" s="75"/>
      <c r="C31" s="499" t="s">
        <v>302</v>
      </c>
      <c r="D31" s="500"/>
      <c r="E31" s="500"/>
      <c r="F31" s="577"/>
      <c r="G31" s="337" t="s">
        <v>27</v>
      </c>
      <c r="H31" s="91" t="s">
        <v>35</v>
      </c>
      <c r="I31" s="202">
        <v>4</v>
      </c>
      <c r="J31" s="155">
        <f>I31*30%</f>
        <v>1.2</v>
      </c>
      <c r="K31" s="155"/>
      <c r="L31" s="162"/>
      <c r="M31" s="167">
        <f>K31</f>
        <v>0</v>
      </c>
      <c r="N31" s="164"/>
      <c r="O31" s="528"/>
      <c r="P31" s="529"/>
      <c r="Q31" s="78"/>
      <c r="R31" s="72"/>
      <c r="S31" s="167">
        <f>IF($S$48=0,,K31)</f>
        <v>0</v>
      </c>
      <c r="T31" s="249"/>
      <c r="U31" s="181">
        <f>IF($U$15="Base-up   (B-A)",Q31-M31,Q31-S31)</f>
        <v>0</v>
      </c>
      <c r="V31" s="318"/>
      <c r="W31" s="302"/>
      <c r="X31" s="127"/>
      <c r="Y31" s="127"/>
      <c r="Z31" s="127"/>
      <c r="AA31" s="127"/>
      <c r="AB31" s="127"/>
    </row>
    <row r="32" spans="1:28" s="74" customFormat="1" ht="16.5" customHeight="1">
      <c r="A32" s="69" t="s">
        <v>6</v>
      </c>
      <c r="B32" s="397">
        <f>'Local Penalties'!B17</f>
        <v>0</v>
      </c>
      <c r="C32" s="499" t="s">
        <v>403</v>
      </c>
      <c r="D32" s="500"/>
      <c r="E32" s="577"/>
      <c r="F32" s="497" t="s">
        <v>246</v>
      </c>
      <c r="G32" s="337" t="s">
        <v>27</v>
      </c>
      <c r="H32" s="84" t="s">
        <v>33</v>
      </c>
      <c r="I32" s="155">
        <f t="shared" si="5"/>
        <v>0</v>
      </c>
      <c r="J32" s="155">
        <f t="shared" si="4"/>
        <v>0</v>
      </c>
      <c r="K32" s="155">
        <f>I32</f>
        <v>0</v>
      </c>
      <c r="L32" s="162">
        <f t="shared" si="2"/>
        <v>0</v>
      </c>
      <c r="M32" s="167">
        <f t="shared" si="3"/>
        <v>0</v>
      </c>
      <c r="N32" s="164"/>
      <c r="O32" s="528"/>
      <c r="P32" s="529"/>
      <c r="Q32" s="78"/>
      <c r="R32" s="72"/>
      <c r="S32" s="167">
        <f>IF($S$48=0,,$S$15*M32)</f>
        <v>0</v>
      </c>
      <c r="T32" s="249"/>
      <c r="U32" s="181">
        <f t="shared" si="1"/>
        <v>0</v>
      </c>
      <c r="V32" s="385"/>
      <c r="W32" s="310"/>
      <c r="X32" s="125"/>
      <c r="Y32" s="125"/>
      <c r="Z32" s="125"/>
      <c r="AA32" s="125"/>
      <c r="AB32" s="125"/>
    </row>
    <row r="33" spans="1:28" s="74" customFormat="1" ht="15" customHeight="1">
      <c r="A33" s="69" t="s">
        <v>6</v>
      </c>
      <c r="B33" s="179">
        <f>5-B32</f>
        <v>5</v>
      </c>
      <c r="C33" s="499" t="s">
        <v>404</v>
      </c>
      <c r="D33" s="500"/>
      <c r="E33" s="577"/>
      <c r="F33" s="498"/>
      <c r="G33" s="337" t="s">
        <v>27</v>
      </c>
      <c r="H33" s="84" t="s">
        <v>166</v>
      </c>
      <c r="I33" s="155">
        <f t="shared" si="5"/>
        <v>0</v>
      </c>
      <c r="J33" s="155">
        <f t="shared" si="4"/>
        <v>0</v>
      </c>
      <c r="K33" s="155">
        <f>I33</f>
        <v>0</v>
      </c>
      <c r="L33" s="162">
        <f>IF(A33="Y",#REF!* 2%,0)</f>
        <v>0</v>
      </c>
      <c r="M33" s="167">
        <f t="shared" si="3"/>
        <v>0</v>
      </c>
      <c r="N33" s="164"/>
      <c r="O33" s="528"/>
      <c r="P33" s="529"/>
      <c r="Q33" s="78"/>
      <c r="R33" s="72"/>
      <c r="S33" s="167">
        <f>IF($S$48=0,,$S$15*M33)</f>
        <v>0</v>
      </c>
      <c r="T33" s="249"/>
      <c r="U33" s="181">
        <f t="shared" si="1"/>
        <v>0</v>
      </c>
      <c r="V33" s="317"/>
      <c r="W33" s="310"/>
      <c r="X33" s="125"/>
      <c r="Y33" s="125"/>
      <c r="Z33" s="125"/>
      <c r="AA33" s="125"/>
      <c r="AB33" s="125"/>
    </row>
    <row r="34" spans="1:28" s="85" customFormat="1" ht="15">
      <c r="A34" s="69" t="s">
        <v>6</v>
      </c>
      <c r="B34" s="75"/>
      <c r="C34" s="499" t="s">
        <v>189</v>
      </c>
      <c r="D34" s="500"/>
      <c r="E34" s="500"/>
      <c r="F34" s="577"/>
      <c r="G34" s="337" t="s">
        <v>27</v>
      </c>
      <c r="H34" s="84" t="s">
        <v>9</v>
      </c>
      <c r="I34" s="155">
        <f>D10*20%</f>
        <v>0</v>
      </c>
      <c r="J34" s="155"/>
      <c r="K34" s="155">
        <f>I34</f>
        <v>0</v>
      </c>
      <c r="L34" s="162"/>
      <c r="M34" s="167">
        <f t="shared" si="3"/>
        <v>0</v>
      </c>
      <c r="N34" s="164"/>
      <c r="O34" s="528"/>
      <c r="P34" s="529"/>
      <c r="Q34" s="78"/>
      <c r="R34" s="72"/>
      <c r="S34" s="167">
        <f>IF($S$48=0,,$S$15*M34)</f>
        <v>0</v>
      </c>
      <c r="T34" s="249"/>
      <c r="U34" s="181">
        <f t="shared" si="1"/>
        <v>0</v>
      </c>
      <c r="V34" s="317"/>
      <c r="W34" s="302"/>
      <c r="X34" s="127"/>
      <c r="Y34" s="127"/>
      <c r="Z34" s="127"/>
      <c r="AA34" s="127"/>
      <c r="AB34" s="127"/>
    </row>
    <row r="35" spans="1:28" s="90" customFormat="1" ht="15">
      <c r="A35" s="69"/>
      <c r="B35" s="86"/>
      <c r="C35" s="574" t="s">
        <v>190</v>
      </c>
      <c r="D35" s="575"/>
      <c r="E35" s="575"/>
      <c r="F35" s="576"/>
      <c r="G35" s="338"/>
      <c r="H35" s="88"/>
      <c r="I35" s="157">
        <f>SUM(I18:I34)</f>
        <v>4</v>
      </c>
      <c r="J35" s="157"/>
      <c r="K35" s="157">
        <f>SUM(K17:K34)</f>
        <v>1.2</v>
      </c>
      <c r="L35" s="162"/>
      <c r="M35" s="168">
        <f>SUM(M17:M34)</f>
        <v>3.9999999999999831</v>
      </c>
      <c r="N35" s="165"/>
      <c r="O35" s="499"/>
      <c r="P35" s="584"/>
      <c r="Q35" s="184">
        <f>SUM(Q17:Q34)</f>
        <v>0</v>
      </c>
      <c r="R35" s="122"/>
      <c r="S35" s="168">
        <f>IF($S$48=0,,S48-SUM(S36:S44))</f>
        <v>0</v>
      </c>
      <c r="T35" s="250"/>
      <c r="U35" s="181">
        <f t="shared" si="1"/>
        <v>-3.9999999999999831</v>
      </c>
      <c r="V35" s="317"/>
      <c r="W35" s="303"/>
      <c r="X35" s="143"/>
      <c r="Y35" s="143"/>
      <c r="Z35" s="143"/>
      <c r="AA35" s="143"/>
      <c r="AB35" s="143"/>
    </row>
    <row r="36" spans="1:28" s="85" customFormat="1" ht="15" customHeight="1">
      <c r="A36" s="69" t="s">
        <v>6</v>
      </c>
      <c r="B36" s="75"/>
      <c r="C36" s="499" t="s">
        <v>325</v>
      </c>
      <c r="D36" s="500"/>
      <c r="E36" s="500"/>
      <c r="F36" s="577"/>
      <c r="G36" s="337" t="s">
        <v>27</v>
      </c>
      <c r="H36" s="91"/>
      <c r="I36" s="202">
        <v>40</v>
      </c>
      <c r="J36" s="155"/>
      <c r="K36" s="155">
        <f t="shared" ref="K36:K44" si="6">I36</f>
        <v>40</v>
      </c>
      <c r="L36" s="162"/>
      <c r="M36" s="167">
        <f t="shared" ref="M36:M45" si="7">K36-L36</f>
        <v>40</v>
      </c>
      <c r="N36" s="164"/>
      <c r="O36" s="528"/>
      <c r="P36" s="529"/>
      <c r="Q36" s="78"/>
      <c r="R36" s="72"/>
      <c r="S36" s="167">
        <f t="shared" ref="S36:S38" si="8">IF($S$48=0,,K36)</f>
        <v>0</v>
      </c>
      <c r="T36" s="249"/>
      <c r="U36" s="181">
        <f t="shared" si="1"/>
        <v>-40</v>
      </c>
      <c r="V36" s="317"/>
      <c r="W36" s="303"/>
      <c r="X36" s="127"/>
      <c r="Y36" s="127"/>
      <c r="Z36" s="127"/>
      <c r="AA36" s="127"/>
      <c r="AB36" s="127"/>
    </row>
    <row r="37" spans="1:28" s="85" customFormat="1" ht="15">
      <c r="A37" s="69" t="s">
        <v>6</v>
      </c>
      <c r="B37" s="75"/>
      <c r="C37" s="578" t="s">
        <v>228</v>
      </c>
      <c r="D37" s="579"/>
      <c r="E37" s="579"/>
      <c r="F37" s="580"/>
      <c r="G37" s="339" t="s">
        <v>27</v>
      </c>
      <c r="H37" s="92" t="s">
        <v>166</v>
      </c>
      <c r="I37" s="202">
        <v>35</v>
      </c>
      <c r="J37" s="196"/>
      <c r="K37" s="155">
        <f t="shared" si="6"/>
        <v>35</v>
      </c>
      <c r="L37" s="162">
        <f>IF(A37="Y", IF($L$15="BASE-UP",#REF!*2%, IF($L$15="TOP-DOWN",#REF!* 2%,0)),0)</f>
        <v>0</v>
      </c>
      <c r="M37" s="167">
        <f t="shared" si="7"/>
        <v>35</v>
      </c>
      <c r="N37" s="164"/>
      <c r="O37" s="528"/>
      <c r="P37" s="529"/>
      <c r="Q37" s="78"/>
      <c r="R37" s="72"/>
      <c r="S37" s="167">
        <f t="shared" si="8"/>
        <v>0</v>
      </c>
      <c r="T37" s="249"/>
      <c r="U37" s="181">
        <f t="shared" si="1"/>
        <v>-35</v>
      </c>
      <c r="V37" s="317"/>
      <c r="W37" s="301"/>
      <c r="X37" s="127"/>
      <c r="Y37" s="127"/>
      <c r="Z37" s="127"/>
      <c r="AA37" s="127"/>
      <c r="AB37" s="127"/>
    </row>
    <row r="38" spans="1:28" s="85" customFormat="1" ht="15">
      <c r="A38" s="69" t="s">
        <v>6</v>
      </c>
      <c r="B38" s="75"/>
      <c r="C38" s="578" t="s">
        <v>257</v>
      </c>
      <c r="D38" s="579"/>
      <c r="E38" s="579"/>
      <c r="F38" s="580"/>
      <c r="G38" s="339" t="s">
        <v>28</v>
      </c>
      <c r="H38" s="92"/>
      <c r="I38" s="202">
        <f>49*49%</f>
        <v>24.009999999999998</v>
      </c>
      <c r="J38" s="196"/>
      <c r="K38" s="155">
        <f t="shared" si="6"/>
        <v>24.009999999999998</v>
      </c>
      <c r="L38" s="162">
        <f>IF(A38="Y", IF($L$15="BASE-UP",#REF!*2%, IF($L$15="TOP-DOWN",#REF!* 2%,0)),0)</f>
        <v>0</v>
      </c>
      <c r="M38" s="167">
        <f t="shared" si="7"/>
        <v>24.009999999999998</v>
      </c>
      <c r="N38" s="164"/>
      <c r="O38" s="528"/>
      <c r="P38" s="529"/>
      <c r="Q38" s="78"/>
      <c r="R38" s="72"/>
      <c r="S38" s="167">
        <f t="shared" si="8"/>
        <v>0</v>
      </c>
      <c r="T38" s="249"/>
      <c r="U38" s="181">
        <f t="shared" si="1"/>
        <v>-24.009999999999998</v>
      </c>
      <c r="V38" s="318"/>
      <c r="W38" s="310"/>
      <c r="X38" s="127"/>
      <c r="Y38" s="127"/>
      <c r="Z38" s="127"/>
      <c r="AA38" s="127"/>
      <c r="AB38" s="127"/>
    </row>
    <row r="39" spans="1:28" s="85" customFormat="1" ht="15">
      <c r="A39" s="69" t="s">
        <v>6</v>
      </c>
      <c r="B39" s="75"/>
      <c r="C39" s="578" t="s">
        <v>258</v>
      </c>
      <c r="D39" s="579"/>
      <c r="E39" s="579"/>
      <c r="F39" s="580"/>
      <c r="G39" s="339" t="s">
        <v>27</v>
      </c>
      <c r="H39" s="92"/>
      <c r="I39" s="202">
        <f>49*51%</f>
        <v>24.990000000000002</v>
      </c>
      <c r="J39" s="196"/>
      <c r="K39" s="155">
        <f t="shared" si="6"/>
        <v>24.990000000000002</v>
      </c>
      <c r="L39" s="162">
        <f>IF(A39="Y", IF($L$15="BASE-UP",#REF!*2%, IF($L$15="TOP-DOWN",#REF!* 2%,0)),0)</f>
        <v>0</v>
      </c>
      <c r="M39" s="167">
        <f t="shared" si="7"/>
        <v>24.990000000000002</v>
      </c>
      <c r="N39" s="164"/>
      <c r="O39" s="528"/>
      <c r="P39" s="529"/>
      <c r="Q39" s="78"/>
      <c r="R39" s="72"/>
      <c r="S39" s="167">
        <f t="shared" ref="S39:S44" si="9">IF($S$48=0,,K39)</f>
        <v>0</v>
      </c>
      <c r="T39" s="249"/>
      <c r="U39" s="181">
        <f t="shared" si="1"/>
        <v>-24.990000000000002</v>
      </c>
      <c r="V39" s="385"/>
      <c r="W39" s="310"/>
      <c r="X39" s="127"/>
      <c r="Y39" s="127"/>
      <c r="Z39" s="127"/>
      <c r="AA39" s="127"/>
      <c r="AB39" s="127"/>
    </row>
    <row r="40" spans="1:28" s="85" customFormat="1" ht="15.75" customHeight="1">
      <c r="A40" s="69" t="s">
        <v>6</v>
      </c>
      <c r="B40" s="75"/>
      <c r="C40" s="578" t="s">
        <v>332</v>
      </c>
      <c r="D40" s="579"/>
      <c r="E40" s="579"/>
      <c r="F40" s="580"/>
      <c r="G40" s="339" t="s">
        <v>199</v>
      </c>
      <c r="H40" s="92"/>
      <c r="I40" s="202"/>
      <c r="J40" s="196"/>
      <c r="K40" s="155">
        <f>I40</f>
        <v>0</v>
      </c>
      <c r="L40" s="162">
        <f>IF(A40="Y", IF($L$15="BASE-UP",#REF!*2%, IF($L$15="TOP-DOWN",#REF!* 2%,0)),0)</f>
        <v>0</v>
      </c>
      <c r="M40" s="167">
        <f>K40-L40</f>
        <v>0</v>
      </c>
      <c r="N40" s="164"/>
      <c r="O40" s="528"/>
      <c r="P40" s="529"/>
      <c r="Q40" s="78"/>
      <c r="R40" s="72"/>
      <c r="S40" s="167">
        <f t="shared" si="9"/>
        <v>0</v>
      </c>
      <c r="T40" s="249"/>
      <c r="U40" s="181">
        <f>IF($U$15="Base-up   (B-A)",Q40-M40,Q40-S40)</f>
        <v>0</v>
      </c>
      <c r="V40" s="317"/>
      <c r="W40" s="304"/>
      <c r="X40" s="127"/>
      <c r="Y40" s="127"/>
      <c r="Z40" s="127"/>
      <c r="AA40" s="127"/>
      <c r="AB40" s="127"/>
    </row>
    <row r="41" spans="1:28" s="85" customFormat="1" ht="33.75" customHeight="1">
      <c r="A41" s="69" t="s">
        <v>6</v>
      </c>
      <c r="B41" s="75"/>
      <c r="C41" s="499" t="s">
        <v>401</v>
      </c>
      <c r="D41" s="579"/>
      <c r="E41" s="579"/>
      <c r="F41" s="580"/>
      <c r="G41" s="339" t="s">
        <v>27</v>
      </c>
      <c r="H41" s="92"/>
      <c r="I41" s="202">
        <v>3</v>
      </c>
      <c r="J41" s="196"/>
      <c r="K41" s="155">
        <f>I41</f>
        <v>3</v>
      </c>
      <c r="L41" s="162">
        <f>IF(A41="Y", IF($L$15="BASE-UP",#REF!*2%, IF($L$15="TOP-DOWN",#REF!* 2%,0)),0)</f>
        <v>0</v>
      </c>
      <c r="M41" s="167">
        <f>K41-L41</f>
        <v>3</v>
      </c>
      <c r="N41" s="164"/>
      <c r="O41" s="528"/>
      <c r="P41" s="529"/>
      <c r="Q41" s="78"/>
      <c r="R41" s="72"/>
      <c r="S41" s="167">
        <f t="shared" si="9"/>
        <v>0</v>
      </c>
      <c r="T41" s="249"/>
      <c r="U41" s="181">
        <f t="shared" si="1"/>
        <v>-3</v>
      </c>
      <c r="V41" s="317"/>
      <c r="W41" s="314"/>
      <c r="X41" s="127"/>
      <c r="Y41" s="127"/>
      <c r="Z41" s="127"/>
      <c r="AA41" s="127"/>
      <c r="AB41" s="127"/>
    </row>
    <row r="42" spans="1:28" s="74" customFormat="1" ht="15.75" customHeight="1">
      <c r="A42" s="69" t="s">
        <v>6</v>
      </c>
      <c r="B42" s="94"/>
      <c r="C42" s="578" t="s">
        <v>326</v>
      </c>
      <c r="D42" s="579"/>
      <c r="E42" s="579"/>
      <c r="F42" s="580"/>
      <c r="G42" s="339" t="s">
        <v>199</v>
      </c>
      <c r="H42" s="92" t="s">
        <v>20</v>
      </c>
      <c r="I42" s="202"/>
      <c r="J42" s="196"/>
      <c r="K42" s="155">
        <f t="shared" si="6"/>
        <v>0</v>
      </c>
      <c r="L42" s="162">
        <f>IF(A42="Y", IF($L$15="BASE-UP",#REF!*2%, IF($L$15="TOP-DOWN",#REF!* 2%,0)),0)</f>
        <v>0</v>
      </c>
      <c r="M42" s="167">
        <f t="shared" si="7"/>
        <v>0</v>
      </c>
      <c r="N42" s="164"/>
      <c r="O42" s="528"/>
      <c r="P42" s="529"/>
      <c r="Q42" s="78"/>
      <c r="R42" s="72"/>
      <c r="S42" s="167">
        <f t="shared" si="9"/>
        <v>0</v>
      </c>
      <c r="T42" s="249"/>
      <c r="U42" s="181">
        <f t="shared" si="1"/>
        <v>0</v>
      </c>
      <c r="V42" s="317"/>
      <c r="W42" s="301"/>
      <c r="X42" s="125"/>
      <c r="Y42" s="125"/>
      <c r="Z42" s="125"/>
      <c r="AA42" s="125"/>
      <c r="AB42" s="125"/>
    </row>
    <row r="43" spans="1:28" s="74" customFormat="1" ht="62.25" customHeight="1">
      <c r="A43" s="69" t="s">
        <v>6</v>
      </c>
      <c r="B43" s="94"/>
      <c r="C43" s="499" t="s">
        <v>387</v>
      </c>
      <c r="D43" s="500"/>
      <c r="E43" s="500"/>
      <c r="F43" s="577"/>
      <c r="G43" s="339" t="s">
        <v>199</v>
      </c>
      <c r="H43" s="92" t="s">
        <v>73</v>
      </c>
      <c r="I43" s="202"/>
      <c r="J43" s="196"/>
      <c r="K43" s="155">
        <f t="shared" si="6"/>
        <v>0</v>
      </c>
      <c r="L43" s="162">
        <f>IF(A43="Y", IF($L$15="BASE-UP",#REF!*2%, IF($L$15="TOP-DOWN",#REF!* 2%,0)),0)</f>
        <v>0</v>
      </c>
      <c r="M43" s="167">
        <f t="shared" si="7"/>
        <v>0</v>
      </c>
      <c r="N43" s="164"/>
      <c r="O43" s="528"/>
      <c r="P43" s="529"/>
      <c r="Q43" s="78"/>
      <c r="R43" s="72"/>
      <c r="S43" s="167">
        <f t="shared" si="9"/>
        <v>0</v>
      </c>
      <c r="T43" s="249"/>
      <c r="U43" s="181">
        <f t="shared" si="1"/>
        <v>0</v>
      </c>
      <c r="V43" s="317"/>
      <c r="W43" s="301"/>
      <c r="X43" s="125"/>
      <c r="Y43" s="125"/>
      <c r="Z43" s="125"/>
      <c r="AA43" s="125"/>
      <c r="AB43" s="125"/>
    </row>
    <row r="44" spans="1:28" s="74" customFormat="1" ht="15.75" customHeight="1">
      <c r="A44" s="69" t="s">
        <v>6</v>
      </c>
      <c r="B44" s="94"/>
      <c r="C44" s="578" t="s">
        <v>194</v>
      </c>
      <c r="D44" s="579"/>
      <c r="E44" s="579"/>
      <c r="F44" s="580"/>
      <c r="G44" s="339" t="s">
        <v>27</v>
      </c>
      <c r="H44" s="92" t="s">
        <v>71</v>
      </c>
      <c r="I44" s="203"/>
      <c r="J44" s="196"/>
      <c r="K44" s="155">
        <f t="shared" si="6"/>
        <v>0</v>
      </c>
      <c r="L44" s="162">
        <f>IF(A44="Y", IF($L$15="BASE-UP",#REF!*2%, IF($L$15="TOP-DOWN",#REF!* 2%,0)),0)</f>
        <v>0</v>
      </c>
      <c r="M44" s="167">
        <f t="shared" si="7"/>
        <v>0</v>
      </c>
      <c r="N44" s="164"/>
      <c r="O44" s="528"/>
      <c r="P44" s="529"/>
      <c r="Q44" s="78"/>
      <c r="R44" s="72"/>
      <c r="S44" s="167">
        <f t="shared" si="9"/>
        <v>0</v>
      </c>
      <c r="T44" s="249"/>
      <c r="U44" s="181">
        <f t="shared" si="1"/>
        <v>0</v>
      </c>
      <c r="V44" s="317"/>
      <c r="W44" s="301"/>
      <c r="X44" s="125"/>
      <c r="Y44" s="125"/>
      <c r="Z44" s="125"/>
      <c r="AA44" s="125"/>
      <c r="AB44" s="125"/>
    </row>
    <row r="45" spans="1:28" s="74" customFormat="1" ht="15.75" hidden="1" customHeight="1">
      <c r="A45" s="69"/>
      <c r="B45" s="94"/>
      <c r="C45" s="581" t="s">
        <v>193</v>
      </c>
      <c r="D45" s="582"/>
      <c r="E45" s="582"/>
      <c r="F45" s="583"/>
      <c r="G45" s="95" t="s">
        <v>27</v>
      </c>
      <c r="H45" s="96" t="s">
        <v>37</v>
      </c>
      <c r="I45" s="97"/>
      <c r="J45" s="197"/>
      <c r="K45" s="197"/>
      <c r="L45" s="163"/>
      <c r="M45" s="167">
        <f t="shared" si="7"/>
        <v>0</v>
      </c>
      <c r="N45" s="164"/>
      <c r="O45" s="528"/>
      <c r="P45" s="529"/>
      <c r="Q45" s="78"/>
      <c r="R45" s="72"/>
      <c r="S45" s="169"/>
      <c r="T45" s="251"/>
      <c r="U45" s="181">
        <f t="shared" si="1"/>
        <v>0</v>
      </c>
      <c r="V45" s="181"/>
      <c r="W45" s="77"/>
      <c r="X45" s="125"/>
      <c r="Y45" s="125"/>
      <c r="Z45" s="125"/>
      <c r="AA45" s="125"/>
      <c r="AB45" s="125"/>
    </row>
    <row r="46" spans="1:28" s="125" customFormat="1" ht="15">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c r="A47" s="201" t="s">
        <v>7</v>
      </c>
      <c r="B47" s="123"/>
      <c r="C47" s="123"/>
      <c r="D47" s="123"/>
      <c r="E47" s="124"/>
      <c r="F47" s="124"/>
      <c r="J47" s="126"/>
      <c r="K47" s="126"/>
      <c r="L47" s="126"/>
      <c r="M47" s="170"/>
      <c r="N47" s="127"/>
      <c r="Q47" s="128"/>
      <c r="R47" s="129"/>
      <c r="S47" s="170"/>
      <c r="T47" s="127"/>
      <c r="U47" s="180"/>
      <c r="V47" s="180"/>
      <c r="W47" s="130"/>
    </row>
    <row r="48" spans="1:28" s="106" customFormat="1" ht="16.5" thickBot="1">
      <c r="A48" s="201"/>
      <c r="B48" s="144"/>
      <c r="C48" s="144"/>
      <c r="D48" s="144"/>
      <c r="E48" s="131"/>
      <c r="F48" s="145" t="s">
        <v>72</v>
      </c>
      <c r="G48" s="146"/>
      <c r="H48" s="147" t="s">
        <v>1</v>
      </c>
      <c r="I48" s="148">
        <f>SUM(I35:I46)</f>
        <v>131</v>
      </c>
      <c r="J48" s="148"/>
      <c r="K48" s="148">
        <f>SUM(K35:K45)</f>
        <v>128.20000000000002</v>
      </c>
      <c r="L48" s="149"/>
      <c r="M48" s="171">
        <f>SUM(M35:M46)</f>
        <v>131</v>
      </c>
      <c r="N48" s="150"/>
      <c r="O48" s="144" t="s">
        <v>1</v>
      </c>
      <c r="P48" s="144"/>
      <c r="Q48" s="151">
        <f>SUM(Q35:Q46)</f>
        <v>0</v>
      </c>
      <c r="R48" s="150"/>
      <c r="S48" s="253"/>
      <c r="T48" s="252"/>
      <c r="U48" s="193">
        <f>SUM(U35:U46)</f>
        <v>-131</v>
      </c>
      <c r="V48" s="315"/>
      <c r="W48" s="152"/>
    </row>
    <row r="49" spans="1:25" s="54" customFormat="1" ht="15.75" customHeight="1" thickTop="1">
      <c r="A49" s="487" t="s">
        <v>57</v>
      </c>
      <c r="B49" s="487"/>
      <c r="C49" s="487"/>
      <c r="D49" s="210"/>
      <c r="E49" s="133"/>
      <c r="F49" s="133"/>
      <c r="M49" s="135"/>
      <c r="N49" s="136"/>
      <c r="R49" s="137"/>
      <c r="S49" s="137"/>
      <c r="T49" s="137"/>
      <c r="U49" s="138"/>
      <c r="V49" s="138"/>
      <c r="W49" s="139"/>
    </row>
    <row r="50" spans="1:25" s="141" customFormat="1" ht="16.5" customHeight="1">
      <c r="A50" s="388">
        <v>1</v>
      </c>
      <c r="B50" s="685"/>
      <c r="C50" s="686"/>
      <c r="D50" s="686"/>
      <c r="E50" s="686"/>
      <c r="F50" s="686"/>
      <c r="G50" s="686"/>
      <c r="H50" s="686"/>
      <c r="I50" s="686"/>
      <c r="J50" s="686"/>
      <c r="K50" s="686"/>
      <c r="L50" s="686"/>
      <c r="M50" s="686"/>
      <c r="N50" s="686"/>
      <c r="O50" s="686"/>
      <c r="P50" s="686"/>
      <c r="Q50" s="686"/>
      <c r="R50" s="686"/>
      <c r="S50" s="686"/>
      <c r="T50" s="686"/>
      <c r="U50" s="686"/>
      <c r="V50" s="686"/>
      <c r="W50" s="687"/>
      <c r="X50" s="308"/>
      <c r="Y50" s="308"/>
    </row>
    <row r="51" spans="1:25" s="141" customFormat="1" ht="16.5" customHeight="1">
      <c r="A51" s="388">
        <v>2</v>
      </c>
      <c r="B51" s="685"/>
      <c r="C51" s="686"/>
      <c r="D51" s="686"/>
      <c r="E51" s="686"/>
      <c r="F51" s="686"/>
      <c r="G51" s="686"/>
      <c r="H51" s="686"/>
      <c r="I51" s="686"/>
      <c r="J51" s="686"/>
      <c r="K51" s="686"/>
      <c r="L51" s="686"/>
      <c r="M51" s="686"/>
      <c r="N51" s="686"/>
      <c r="O51" s="686"/>
      <c r="P51" s="686"/>
      <c r="Q51" s="686"/>
      <c r="R51" s="686"/>
      <c r="S51" s="686"/>
      <c r="T51" s="686"/>
      <c r="U51" s="686"/>
      <c r="V51" s="686"/>
      <c r="W51" s="687"/>
      <c r="X51" s="309"/>
      <c r="Y51" s="309"/>
    </row>
    <row r="52" spans="1:25" s="141" customFormat="1" ht="16.5" customHeight="1">
      <c r="A52" s="388">
        <v>3</v>
      </c>
      <c r="B52" s="685"/>
      <c r="C52" s="686"/>
      <c r="D52" s="686"/>
      <c r="E52" s="686"/>
      <c r="F52" s="686"/>
      <c r="G52" s="686"/>
      <c r="H52" s="686"/>
      <c r="I52" s="686"/>
      <c r="J52" s="686"/>
      <c r="K52" s="686"/>
      <c r="L52" s="686"/>
      <c r="M52" s="686"/>
      <c r="N52" s="686"/>
      <c r="O52" s="686"/>
      <c r="P52" s="686"/>
      <c r="Q52" s="686"/>
      <c r="R52" s="686"/>
      <c r="S52" s="686"/>
      <c r="T52" s="686"/>
      <c r="U52" s="686"/>
      <c r="V52" s="686"/>
      <c r="W52" s="687"/>
    </row>
    <row r="53" spans="1:25" ht="18.75" customHeight="1">
      <c r="A53" s="388">
        <v>4</v>
      </c>
      <c r="B53" s="685"/>
      <c r="C53" s="686"/>
      <c r="D53" s="686"/>
      <c r="E53" s="686"/>
      <c r="F53" s="686"/>
      <c r="G53" s="686"/>
      <c r="H53" s="686"/>
      <c r="I53" s="686"/>
      <c r="J53" s="686"/>
      <c r="K53" s="686"/>
      <c r="L53" s="686"/>
      <c r="M53" s="686"/>
      <c r="N53" s="686"/>
      <c r="O53" s="686"/>
      <c r="P53" s="686"/>
      <c r="Q53" s="686"/>
      <c r="R53" s="686"/>
      <c r="S53" s="686"/>
      <c r="T53" s="686"/>
      <c r="U53" s="686"/>
      <c r="V53" s="686"/>
      <c r="W53" s="687"/>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26" priority="35" stopIfTrue="1" operator="equal">
      <formula>0</formula>
    </cfRule>
  </conditionalFormatting>
  <conditionalFormatting sqref="H17:H24 H30 H32:H34">
    <cfRule type="expression" dxfId="25" priority="34" stopIfTrue="1">
      <formula>MOD(ROW(),2)=0</formula>
    </cfRule>
  </conditionalFormatting>
  <conditionalFormatting sqref="U12:V13 U49:V49 U54:V65533">
    <cfRule type="cellIs" dxfId="24" priority="33" stopIfTrue="1" operator="notEqual">
      <formula>0</formula>
    </cfRule>
  </conditionalFormatting>
  <conditionalFormatting sqref="H25:H30">
    <cfRule type="expression" dxfId="23" priority="32" stopIfTrue="1">
      <formula>MOD(ROW(), 2)=0</formula>
    </cfRule>
  </conditionalFormatting>
  <conditionalFormatting sqref="S17:S45">
    <cfRule type="cellIs" dxfId="22" priority="30" operator="equal">
      <formula>0</formula>
    </cfRule>
  </conditionalFormatting>
  <conditionalFormatting sqref="O17:Q44">
    <cfRule type="expression" dxfId="21" priority="17">
      <formula>MOD(ROW(),2)=0</formula>
    </cfRule>
  </conditionalFormatting>
  <conditionalFormatting sqref="V17:V44">
    <cfRule type="cellIs" dxfId="20" priority="4" operator="greaterThan">
      <formula>0</formula>
    </cfRule>
  </conditionalFormatting>
  <conditionalFormatting sqref="E25">
    <cfRule type="cellIs" dxfId="19"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legacyDrawing r:id="rId2"/>
</worksheet>
</file>

<file path=xl/worksheets/sheet19.xml><?xml version="1.0" encoding="utf-8"?>
<worksheet xmlns="http://schemas.openxmlformats.org/spreadsheetml/2006/main" xmlns:r="http://schemas.openxmlformats.org/officeDocument/2006/relationships">
  <dimension ref="A1:AC48"/>
  <sheetViews>
    <sheetView topLeftCell="A10" zoomScale="80" zoomScaleNormal="80" workbookViewId="0">
      <selection sqref="A1:K1"/>
    </sheetView>
  </sheetViews>
  <sheetFormatPr defaultRowHeight="18.75"/>
  <cols>
    <col min="1" max="1" width="4.28515625" style="98" customWidth="1"/>
    <col min="2" max="2" width="4.7109375" style="98" customWidth="1"/>
    <col min="3" max="3" width="13.5703125" style="98" customWidth="1"/>
    <col min="4" max="4" width="13.140625"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1.5703125" style="101" customWidth="1"/>
    <col min="22" max="22" width="6.28515625" style="101" customWidth="1"/>
    <col min="23" max="23" width="17.140625" style="102" customWidth="1"/>
    <col min="24" max="24" width="2.140625" style="54" customWidth="1"/>
    <col min="25" max="25" width="11.28515625" style="54" customWidth="1"/>
    <col min="26" max="26" width="11.140625" style="54" customWidth="1"/>
    <col min="27" max="27" width="11.28515625" style="54" bestFit="1" customWidth="1"/>
    <col min="28" max="28" width="9.140625" style="54"/>
    <col min="29" max="16384" width="9.140625" style="50"/>
  </cols>
  <sheetData>
    <row r="1" spans="1:29" ht="21.75" thickBot="1">
      <c r="A1" s="532" t="s">
        <v>425</v>
      </c>
      <c r="B1" s="533"/>
      <c r="C1" s="533"/>
      <c r="D1" s="533"/>
      <c r="E1" s="533"/>
      <c r="F1" s="533"/>
      <c r="G1" s="533"/>
      <c r="H1" s="533"/>
      <c r="I1" s="533"/>
      <c r="J1" s="533"/>
      <c r="K1" s="533"/>
      <c r="L1" s="530" t="s">
        <v>426</v>
      </c>
      <c r="M1" s="530"/>
      <c r="N1" s="530"/>
      <c r="O1" s="530"/>
      <c r="P1" s="530"/>
      <c r="Q1" s="530"/>
      <c r="R1" s="530"/>
      <c r="S1" s="530"/>
      <c r="T1" s="530"/>
      <c r="U1" s="530"/>
      <c r="V1" s="355" t="s">
        <v>364</v>
      </c>
      <c r="W1" s="445">
        <v>41338</v>
      </c>
    </row>
    <row r="2" spans="1:29" s="54" customFormat="1" ht="5.25" customHeight="1" thickBot="1">
      <c r="A2" s="51"/>
      <c r="B2" s="51"/>
      <c r="C2" s="51"/>
      <c r="D2" s="51"/>
      <c r="E2" s="51"/>
      <c r="F2" s="51"/>
      <c r="G2" s="51"/>
      <c r="H2" s="51"/>
      <c r="I2" s="51"/>
      <c r="J2" s="52"/>
      <c r="K2" s="52"/>
      <c r="L2" s="52"/>
      <c r="M2" s="52"/>
      <c r="N2" s="52"/>
      <c r="O2" s="53"/>
      <c r="P2" s="53"/>
      <c r="Q2" s="53"/>
      <c r="R2" s="53"/>
      <c r="S2" s="53"/>
      <c r="T2" s="53"/>
      <c r="U2" s="53"/>
      <c r="V2" s="53"/>
      <c r="W2" s="53"/>
    </row>
    <row r="3" spans="1:29" s="54" customFormat="1" ht="19.5" thickBot="1">
      <c r="A3" s="550" t="s">
        <v>203</v>
      </c>
      <c r="B3" s="551"/>
      <c r="C3" s="551"/>
      <c r="D3" s="551"/>
      <c r="E3" s="551"/>
      <c r="F3" s="754"/>
      <c r="G3" s="754"/>
      <c r="H3" s="754"/>
      <c r="I3" s="754"/>
      <c r="J3" s="754"/>
      <c r="K3" s="754"/>
      <c r="L3" s="754"/>
      <c r="M3" s="754"/>
      <c r="N3" s="754"/>
      <c r="O3" s="755"/>
      <c r="P3" s="236"/>
      <c r="Q3" s="689" t="s">
        <v>230</v>
      </c>
      <c r="R3" s="690"/>
      <c r="S3" s="690"/>
      <c r="T3" s="690"/>
      <c r="U3" s="690"/>
      <c r="V3" s="690"/>
      <c r="W3" s="691"/>
      <c r="Y3" s="174" t="s">
        <v>219</v>
      </c>
      <c r="Z3" s="132"/>
    </row>
    <row r="4" spans="1:29" s="57" customFormat="1" ht="15.75">
      <c r="A4" s="547" t="s">
        <v>200</v>
      </c>
      <c r="B4" s="544"/>
      <c r="C4" s="544"/>
      <c r="D4" s="548" t="str">
        <f>L1</f>
        <v>RDTR-0313-SPBF004</v>
      </c>
      <c r="E4" s="549"/>
      <c r="F4" s="646" t="s">
        <v>24</v>
      </c>
      <c r="G4" s="543"/>
      <c r="H4" s="187"/>
      <c r="I4" s="756" t="s">
        <v>427</v>
      </c>
      <c r="J4" s="756"/>
      <c r="K4" s="756"/>
      <c r="L4" s="756"/>
      <c r="M4" s="544" t="s">
        <v>226</v>
      </c>
      <c r="N4" s="544"/>
      <c r="O4" s="55">
        <v>70</v>
      </c>
      <c r="P4" s="237"/>
      <c r="Q4" s="702" t="s">
        <v>205</v>
      </c>
      <c r="R4" s="703"/>
      <c r="S4" s="703"/>
      <c r="T4" s="703"/>
      <c r="U4" s="703"/>
      <c r="V4" s="703"/>
      <c r="W4" s="704"/>
      <c r="Y4" s="267" t="s">
        <v>272</v>
      </c>
      <c r="Z4" s="265" t="s">
        <v>273</v>
      </c>
      <c r="AA4" s="265" t="s">
        <v>274</v>
      </c>
      <c r="AC4" s="57" t="s">
        <v>264</v>
      </c>
    </row>
    <row r="5" spans="1:29" s="57" customFormat="1" ht="15.75">
      <c r="A5" s="545" t="s">
        <v>3</v>
      </c>
      <c r="B5" s="546"/>
      <c r="C5" s="546"/>
      <c r="D5" s="566">
        <v>41649</v>
      </c>
      <c r="E5" s="538"/>
      <c r="F5" s="628" t="s">
        <v>213</v>
      </c>
      <c r="G5" s="565"/>
      <c r="H5" s="185"/>
      <c r="I5" s="753" t="s">
        <v>428</v>
      </c>
      <c r="J5" s="753"/>
      <c r="K5" s="753"/>
      <c r="L5" s="753"/>
      <c r="M5" s="541" t="s">
        <v>19</v>
      </c>
      <c r="N5" s="541"/>
      <c r="O5" s="58"/>
      <c r="P5" s="237"/>
      <c r="Q5" s="630" t="s">
        <v>266</v>
      </c>
      <c r="R5" s="631"/>
      <c r="S5" s="631"/>
      <c r="T5" s="631"/>
      <c r="U5" s="631"/>
      <c r="V5" s="631"/>
      <c r="W5" s="632"/>
      <c r="Y5" s="172" t="s">
        <v>27</v>
      </c>
      <c r="Z5" s="176">
        <f>SUMIF($G$16:$G$41,"STATE",$K$16:$K$41)</f>
        <v>207.96</v>
      </c>
      <c r="AA5" s="176">
        <f>SUMIF($G$16:$G$41,"STATE",$S$16:$S$41)</f>
        <v>0</v>
      </c>
      <c r="AC5" s="57" t="s">
        <v>265</v>
      </c>
    </row>
    <row r="6" spans="1:29" s="57" customFormat="1" ht="15.75">
      <c r="A6" s="545" t="s">
        <v>11</v>
      </c>
      <c r="B6" s="546"/>
      <c r="C6" s="546"/>
      <c r="D6" s="566">
        <v>41680</v>
      </c>
      <c r="E6" s="639"/>
      <c r="F6" s="628" t="s">
        <v>17</v>
      </c>
      <c r="G6" s="565"/>
      <c r="H6" s="185"/>
      <c r="I6" s="753" t="s">
        <v>281</v>
      </c>
      <c r="J6" s="753"/>
      <c r="K6" s="753"/>
      <c r="L6" s="753"/>
      <c r="M6" s="541" t="s">
        <v>202</v>
      </c>
      <c r="N6" s="541"/>
      <c r="O6" s="452">
        <f>O4+O5*10</f>
        <v>70</v>
      </c>
      <c r="P6" s="237"/>
      <c r="Q6" s="624" t="s">
        <v>207</v>
      </c>
      <c r="R6" s="625"/>
      <c r="S6" s="625"/>
      <c r="T6" s="625"/>
      <c r="U6" s="625"/>
      <c r="V6" s="625"/>
      <c r="W6" s="626"/>
      <c r="Y6" s="172" t="s">
        <v>28</v>
      </c>
      <c r="Z6" s="176">
        <f>SUMIF($G$16:$G$41,"COUNTY",$K$16:$K$41)</f>
        <v>96.039999999999992</v>
      </c>
      <c r="AA6" s="176">
        <f>SUMIF($G$16:$G$41,"COUNTY",$S$16:$S$41)</f>
        <v>0</v>
      </c>
    </row>
    <row r="7" spans="1:29" s="57" customFormat="1" ht="16.5" thickBot="1">
      <c r="A7" s="545" t="s">
        <v>4</v>
      </c>
      <c r="B7" s="546"/>
      <c r="C7" s="546"/>
      <c r="D7" s="503" t="s">
        <v>429</v>
      </c>
      <c r="E7" s="538"/>
      <c r="F7" s="642" t="s">
        <v>18</v>
      </c>
      <c r="G7" s="518"/>
      <c r="H7" s="186"/>
      <c r="I7" s="748" t="s">
        <v>2</v>
      </c>
      <c r="J7" s="748"/>
      <c r="K7" s="748"/>
      <c r="L7" s="748"/>
      <c r="M7" s="453"/>
      <c r="N7" s="454"/>
      <c r="O7" s="455"/>
      <c r="P7" s="237"/>
      <c r="Q7" s="694" t="s">
        <v>204</v>
      </c>
      <c r="R7" s="695"/>
      <c r="S7" s="695"/>
      <c r="T7" s="695"/>
      <c r="U7" s="695"/>
      <c r="V7" s="695"/>
      <c r="W7" s="696"/>
      <c r="Y7" s="172" t="s">
        <v>48</v>
      </c>
      <c r="Z7" s="176">
        <f>SUMIF($G$16:$G$41,"CITY",$K$16:$K$41)</f>
        <v>0</v>
      </c>
      <c r="AA7" s="176">
        <f>SUMIF($G$16:$G$41,"CITY",$S$16:$S$41)</f>
        <v>0</v>
      </c>
    </row>
    <row r="8" spans="1:29" s="57" customFormat="1" ht="15.75">
      <c r="A8" s="697" t="s">
        <v>50</v>
      </c>
      <c r="B8" s="643"/>
      <c r="C8" s="643"/>
      <c r="D8" s="749">
        <v>1</v>
      </c>
      <c r="E8" s="750"/>
      <c r="F8" s="646" t="s">
        <v>222</v>
      </c>
      <c r="G8" s="543"/>
      <c r="H8" s="187"/>
      <c r="I8" s="751"/>
      <c r="J8" s="751"/>
      <c r="K8" s="751"/>
      <c r="L8" s="752"/>
      <c r="M8" s="647" t="s">
        <v>226</v>
      </c>
      <c r="N8" s="647"/>
      <c r="O8" s="55">
        <v>0</v>
      </c>
      <c r="P8" s="238"/>
      <c r="Q8" s="722" t="s">
        <v>267</v>
      </c>
      <c r="R8" s="611"/>
      <c r="S8" s="611"/>
      <c r="T8" s="611"/>
      <c r="U8" s="611"/>
      <c r="V8" s="611"/>
      <c r="W8" s="723"/>
      <c r="Y8" s="172" t="s">
        <v>199</v>
      </c>
      <c r="Z8" s="176">
        <f>SUMIF($G$16:$G$41,"COURT",$K$16:$K$41)</f>
        <v>0</v>
      </c>
      <c r="AA8" s="176">
        <f>SUMIF($G$16:$G$41,"COURT",$S$16:$S$41)</f>
        <v>0</v>
      </c>
    </row>
    <row r="9" spans="1:29" s="57" customFormat="1" ht="16.5" thickBot="1">
      <c r="A9" s="726" t="s">
        <v>49</v>
      </c>
      <c r="B9" s="727"/>
      <c r="C9" s="727"/>
      <c r="D9" s="534">
        <f>100%-D8</f>
        <v>0</v>
      </c>
      <c r="E9" s="535"/>
      <c r="F9" s="628" t="s">
        <v>213</v>
      </c>
      <c r="G9" s="565"/>
      <c r="H9" s="185"/>
      <c r="I9" s="746"/>
      <c r="J9" s="746"/>
      <c r="K9" s="746"/>
      <c r="L9" s="747"/>
      <c r="M9" s="629" t="s">
        <v>19</v>
      </c>
      <c r="N9" s="629"/>
      <c r="O9" s="58"/>
      <c r="P9" s="238"/>
      <c r="Q9" s="724"/>
      <c r="R9" s="614"/>
      <c r="S9" s="614"/>
      <c r="T9" s="614"/>
      <c r="U9" s="614"/>
      <c r="V9" s="614"/>
      <c r="W9" s="725"/>
      <c r="Y9" s="153" t="s">
        <v>339</v>
      </c>
      <c r="Z9" s="176">
        <f>SUMIF($G$16:$G$41,"CNTY or CTY",$K$16:$K$41)</f>
        <v>0</v>
      </c>
      <c r="AA9" s="176">
        <f>SUMIF($G$16:$G$41,"CNTY or CTY",$S$16:$S$41)</f>
        <v>0</v>
      </c>
    </row>
    <row r="10" spans="1:29" s="57" customFormat="1" ht="19.5" thickBot="1">
      <c r="A10" s="495" t="s">
        <v>241</v>
      </c>
      <c r="B10" s="496"/>
      <c r="C10" s="496"/>
      <c r="D10" s="744">
        <f>O6+O10</f>
        <v>70</v>
      </c>
      <c r="E10" s="745"/>
      <c r="F10" s="628" t="s">
        <v>17</v>
      </c>
      <c r="G10" s="565"/>
      <c r="H10" s="185"/>
      <c r="I10" s="746"/>
      <c r="J10" s="746"/>
      <c r="K10" s="746"/>
      <c r="L10" s="747"/>
      <c r="M10" s="640" t="s">
        <v>202</v>
      </c>
      <c r="N10" s="640"/>
      <c r="O10" s="212">
        <f>O8+O9*10</f>
        <v>0</v>
      </c>
      <c r="P10" s="239"/>
      <c r="Q10" s="708" t="s">
        <v>208</v>
      </c>
      <c r="R10" s="652"/>
      <c r="S10" s="652"/>
      <c r="T10" s="652"/>
      <c r="U10" s="652"/>
      <c r="V10" s="652"/>
      <c r="W10" s="709"/>
      <c r="Y10" s="442" t="s">
        <v>215</v>
      </c>
      <c r="Z10" s="148">
        <f>SUM(Z5:Z9)</f>
        <v>304</v>
      </c>
      <c r="AA10" s="148">
        <f>SUM(AA5:AA9)</f>
        <v>0</v>
      </c>
    </row>
    <row r="11" spans="1:29" s="57" customFormat="1" ht="19.5" thickBot="1">
      <c r="A11" s="493" t="s">
        <v>242</v>
      </c>
      <c r="B11" s="494"/>
      <c r="C11" s="494"/>
      <c r="D11" s="489">
        <f>ROUNDUP(D10/10,0)</f>
        <v>7</v>
      </c>
      <c r="E11" s="490"/>
      <c r="F11" s="642" t="s">
        <v>18</v>
      </c>
      <c r="G11" s="518"/>
      <c r="H11" s="186"/>
      <c r="I11" s="742"/>
      <c r="J11" s="742"/>
      <c r="K11" s="742"/>
      <c r="L11" s="742"/>
      <c r="M11" s="743" t="s">
        <v>410</v>
      </c>
      <c r="N11" s="743"/>
      <c r="O11" s="451">
        <f>'Local Penalties'!B8</f>
        <v>7</v>
      </c>
      <c r="Q11" s="714" t="s">
        <v>334</v>
      </c>
      <c r="R11" s="715"/>
      <c r="S11" s="715"/>
      <c r="T11" s="715"/>
      <c r="U11" s="715"/>
      <c r="V11" s="715"/>
      <c r="W11" s="716"/>
      <c r="Z11" s="266">
        <f>Z10-K43</f>
        <v>0</v>
      </c>
      <c r="AA11" s="266">
        <f>AA10-S43</f>
        <v>0</v>
      </c>
    </row>
    <row r="12" spans="1:29" s="57" customFormat="1" ht="19.5" thickBot="1">
      <c r="A12" s="211"/>
      <c r="B12" s="211"/>
      <c r="C12" s="191"/>
      <c r="D12" s="191"/>
      <c r="E12" s="191"/>
      <c r="F12" s="66"/>
      <c r="G12" s="59"/>
      <c r="H12" s="60"/>
      <c r="I12" s="61"/>
      <c r="J12" s="61"/>
      <c r="K12" s="61"/>
      <c r="L12" s="61"/>
      <c r="O12" s="62"/>
      <c r="P12" s="56"/>
      <c r="Q12" s="56"/>
      <c r="R12" s="56"/>
      <c r="S12" s="56"/>
      <c r="T12" s="56"/>
      <c r="U12" s="63"/>
      <c r="V12" s="63"/>
      <c r="W12" s="64"/>
      <c r="AA12" s="65"/>
    </row>
    <row r="13" spans="1:29" s="109" customFormat="1" ht="19.5" thickBot="1">
      <c r="A13" s="192"/>
      <c r="B13" s="192"/>
      <c r="C13" s="192"/>
      <c r="D13" s="192"/>
      <c r="E13" s="192"/>
      <c r="F13" s="107"/>
      <c r="G13" s="108"/>
      <c r="I13" s="717" t="s">
        <v>261</v>
      </c>
      <c r="J13" s="666"/>
      <c r="K13" s="667"/>
      <c r="L13" s="110"/>
      <c r="M13" s="718" t="s">
        <v>198</v>
      </c>
      <c r="N13" s="669"/>
      <c r="O13" s="670"/>
      <c r="P13" s="111"/>
      <c r="Q13" s="719" t="s">
        <v>260</v>
      </c>
      <c r="R13" s="720"/>
      <c r="S13" s="721"/>
      <c r="T13" s="225"/>
      <c r="U13" s="158"/>
      <c r="V13" s="158"/>
      <c r="W13" s="159"/>
      <c r="X13" s="108"/>
      <c r="Y13" s="108"/>
      <c r="Z13" s="108"/>
      <c r="AA13" s="108"/>
      <c r="AB13" s="108"/>
    </row>
    <row r="14" spans="1:29" ht="42" thickBot="1">
      <c r="A14" s="290">
        <v>0.02</v>
      </c>
      <c r="B14" s="290" t="s">
        <v>54</v>
      </c>
      <c r="C14" s="505" t="s">
        <v>195</v>
      </c>
      <c r="D14" s="506"/>
      <c r="E14" s="506"/>
      <c r="F14" s="507"/>
      <c r="G14" s="289" t="s">
        <v>218</v>
      </c>
      <c r="H14" s="114" t="s">
        <v>0</v>
      </c>
      <c r="I14" s="673" t="s">
        <v>262</v>
      </c>
      <c r="J14" s="671" t="s">
        <v>5</v>
      </c>
      <c r="K14" s="233" t="s">
        <v>263</v>
      </c>
      <c r="L14" s="67"/>
      <c r="M14" s="601" t="s">
        <v>229</v>
      </c>
      <c r="N14" s="602"/>
      <c r="O14" s="288" t="s">
        <v>217</v>
      </c>
      <c r="P14" s="121"/>
      <c r="Q14" s="444" t="s">
        <v>333</v>
      </c>
      <c r="R14" s="671" t="s">
        <v>5</v>
      </c>
      <c r="S14" s="233" t="s">
        <v>263</v>
      </c>
      <c r="T14" s="227"/>
      <c r="U14" s="443" t="s">
        <v>225</v>
      </c>
      <c r="V14" s="633" t="s">
        <v>57</v>
      </c>
      <c r="W14" s="741" t="s">
        <v>301</v>
      </c>
    </row>
    <row r="15" spans="1:29" ht="33.75" customHeight="1" thickBot="1">
      <c r="A15" s="293"/>
      <c r="B15" s="293"/>
      <c r="C15" s="508"/>
      <c r="D15" s="509"/>
      <c r="E15" s="509"/>
      <c r="F15" s="510"/>
      <c r="G15" s="294"/>
      <c r="H15" s="294"/>
      <c r="I15" s="728"/>
      <c r="J15" s="675"/>
      <c r="K15" s="242" t="s">
        <v>38</v>
      </c>
      <c r="L15" s="68"/>
      <c r="M15" s="599"/>
      <c r="N15" s="600"/>
      <c r="O15" s="446" t="s">
        <v>39</v>
      </c>
      <c r="P15" s="121"/>
      <c r="Q15" s="447">
        <f>(Q35-Q31)/(I35-I31)</f>
        <v>0</v>
      </c>
      <c r="R15" s="675"/>
      <c r="S15" s="242" t="s">
        <v>40</v>
      </c>
      <c r="T15" s="227"/>
      <c r="U15" s="456" t="s">
        <v>264</v>
      </c>
      <c r="V15" s="634"/>
      <c r="W15" s="638"/>
    </row>
    <row r="16" spans="1:29" s="74" customFormat="1" ht="15.75" hidden="1" thickTop="1">
      <c r="A16" s="69" t="s">
        <v>7</v>
      </c>
      <c r="B16" s="195"/>
      <c r="C16" s="571"/>
      <c r="D16" s="571"/>
      <c r="E16" s="571"/>
      <c r="F16" s="571"/>
      <c r="G16" s="70"/>
      <c r="H16" s="71"/>
      <c r="I16" s="154"/>
      <c r="J16" s="162"/>
      <c r="K16" s="198"/>
      <c r="L16" s="164"/>
      <c r="M16" s="616"/>
      <c r="N16" s="617"/>
      <c r="O16" s="190"/>
      <c r="P16" s="72"/>
      <c r="Q16" s="160"/>
      <c r="R16" s="162"/>
      <c r="S16" s="166"/>
      <c r="T16" s="228"/>
      <c r="U16" s="181"/>
      <c r="V16" s="181"/>
      <c r="W16" s="105"/>
      <c r="X16" s="125"/>
      <c r="Y16" s="125"/>
      <c r="Z16" s="125"/>
      <c r="AA16" s="125"/>
      <c r="AB16" s="125"/>
    </row>
    <row r="17" spans="1:28" s="74" customFormat="1" ht="15.75" hidden="1" thickBot="1">
      <c r="A17" s="69" t="s">
        <v>7</v>
      </c>
      <c r="B17" s="260"/>
      <c r="C17" s="528"/>
      <c r="D17" s="585"/>
      <c r="E17" s="585"/>
      <c r="F17" s="586"/>
      <c r="G17" s="76"/>
      <c r="H17" s="77"/>
      <c r="I17" s="156"/>
      <c r="J17" s="162"/>
      <c r="K17" s="167"/>
      <c r="L17" s="164"/>
      <c r="M17" s="528"/>
      <c r="N17" s="529"/>
      <c r="O17" s="287"/>
      <c r="P17" s="72"/>
      <c r="Q17" s="160"/>
      <c r="R17" s="162"/>
      <c r="S17" s="167"/>
      <c r="T17" s="228"/>
      <c r="U17" s="181"/>
      <c r="V17" s="181"/>
      <c r="W17" s="73"/>
      <c r="X17" s="125"/>
      <c r="Y17" s="125"/>
      <c r="Z17" s="125"/>
      <c r="AA17" s="125"/>
      <c r="AB17" s="125"/>
    </row>
    <row r="18" spans="1:28" s="74" customFormat="1" ht="15.75" hidden="1" thickTop="1">
      <c r="A18" s="69" t="s">
        <v>7</v>
      </c>
      <c r="B18" s="260"/>
      <c r="C18" s="571"/>
      <c r="D18" s="571"/>
      <c r="E18" s="571"/>
      <c r="F18" s="571"/>
      <c r="G18" s="448"/>
      <c r="H18" s="77"/>
      <c r="I18" s="156"/>
      <c r="J18" s="162"/>
      <c r="K18" s="167"/>
      <c r="L18" s="164"/>
      <c r="M18" s="528"/>
      <c r="N18" s="529"/>
      <c r="O18" s="190"/>
      <c r="P18" s="72"/>
      <c r="Q18" s="160"/>
      <c r="R18" s="162"/>
      <c r="S18" s="167"/>
      <c r="T18" s="228"/>
      <c r="U18" s="181"/>
      <c r="V18" s="181"/>
      <c r="W18" s="73"/>
      <c r="X18" s="125"/>
      <c r="Y18" s="125"/>
      <c r="Z18" s="125"/>
      <c r="AA18" s="125"/>
      <c r="AB18" s="125"/>
    </row>
    <row r="19" spans="1:28" s="74" customFormat="1" ht="15">
      <c r="A19" s="69" t="s">
        <v>7</v>
      </c>
      <c r="B19" s="664" t="s">
        <v>210</v>
      </c>
      <c r="C19" s="517" t="s">
        <v>181</v>
      </c>
      <c r="D19" s="517"/>
      <c r="E19" s="517"/>
      <c r="F19" s="517"/>
      <c r="G19" s="439" t="s">
        <v>28</v>
      </c>
      <c r="H19" s="77" t="s">
        <v>23</v>
      </c>
      <c r="I19" s="155">
        <f>(D10-SUM(I16:I18))*D8</f>
        <v>70</v>
      </c>
      <c r="J19" s="162">
        <f>IF(A19="Y",I19* 2%,0)</f>
        <v>1.4000000000000001</v>
      </c>
      <c r="K19" s="167">
        <f>I19-J19</f>
        <v>68.599999999999994</v>
      </c>
      <c r="L19" s="164"/>
      <c r="M19" s="528" t="s">
        <v>430</v>
      </c>
      <c r="N19" s="529"/>
      <c r="O19" s="78"/>
      <c r="P19" s="72"/>
      <c r="Q19" s="160">
        <f t="shared" ref="Q19:Q30" si="0">IF($Q$43=0,,I19*$Q$15)</f>
        <v>0</v>
      </c>
      <c r="R19" s="162">
        <f t="shared" ref="R19:R34" si="1">IF(A19="Y", Q19*2%,)</f>
        <v>0</v>
      </c>
      <c r="S19" s="167">
        <f t="shared" ref="S19:S40" si="2">Q19-R19</f>
        <v>0</v>
      </c>
      <c r="T19" s="228"/>
      <c r="U19" s="181">
        <f t="shared" ref="U19:U34" si="3">IF($U$15="BASE-UP   (B-A)", O19-K19,O19-S19)</f>
        <v>-68.599999999999994</v>
      </c>
      <c r="V19" s="738"/>
      <c r="W19" s="73"/>
      <c r="X19" s="125"/>
      <c r="Y19" s="125"/>
      <c r="Z19" s="125"/>
      <c r="AA19" s="125"/>
      <c r="AB19" s="125"/>
    </row>
    <row r="20" spans="1:28" s="74" customFormat="1" ht="15">
      <c r="A20" s="69" t="s">
        <v>7</v>
      </c>
      <c r="B20" s="665"/>
      <c r="C20" s="517" t="s">
        <v>182</v>
      </c>
      <c r="D20" s="517"/>
      <c r="E20" s="517"/>
      <c r="F20" s="517"/>
      <c r="G20" s="439" t="s">
        <v>48</v>
      </c>
      <c r="H20" s="77" t="s">
        <v>21</v>
      </c>
      <c r="I20" s="155">
        <f>(D10-SUM(I16:I18))*D9</f>
        <v>0</v>
      </c>
      <c r="J20" s="162">
        <f t="shared" ref="J20:J34" si="4">IF(A20="Y",I20* 2%,0)</f>
        <v>0</v>
      </c>
      <c r="K20" s="167">
        <f t="shared" ref="K20:K33" si="5">I20-J20</f>
        <v>0</v>
      </c>
      <c r="L20" s="164"/>
      <c r="M20" s="528"/>
      <c r="N20" s="529"/>
      <c r="O20" s="78"/>
      <c r="P20" s="72"/>
      <c r="Q20" s="160">
        <f t="shared" si="0"/>
        <v>0</v>
      </c>
      <c r="R20" s="162">
        <f t="shared" si="1"/>
        <v>0</v>
      </c>
      <c r="S20" s="167">
        <f t="shared" si="2"/>
        <v>0</v>
      </c>
      <c r="T20" s="228"/>
      <c r="U20" s="181">
        <f t="shared" si="3"/>
        <v>0</v>
      </c>
      <c r="V20" s="739"/>
      <c r="W20" s="73"/>
      <c r="X20" s="125"/>
      <c r="Y20" s="125"/>
      <c r="Z20" s="125"/>
      <c r="AA20" s="125"/>
      <c r="AB20" s="125"/>
    </row>
    <row r="21" spans="1:28" s="74" customFormat="1" ht="15">
      <c r="A21" s="69" t="s">
        <v>7</v>
      </c>
      <c r="B21" s="75">
        <v>7</v>
      </c>
      <c r="C21" s="517" t="s">
        <v>183</v>
      </c>
      <c r="D21" s="517"/>
      <c r="E21" s="517"/>
      <c r="F21" s="517"/>
      <c r="G21" s="439" t="s">
        <v>27</v>
      </c>
      <c r="H21" s="77" t="s">
        <v>22</v>
      </c>
      <c r="I21" s="155">
        <f>$D$11*B21</f>
        <v>49</v>
      </c>
      <c r="J21" s="162">
        <f t="shared" si="4"/>
        <v>0.98</v>
      </c>
      <c r="K21" s="167">
        <f t="shared" si="5"/>
        <v>48.02</v>
      </c>
      <c r="L21" s="164"/>
      <c r="M21" s="528" t="s">
        <v>431</v>
      </c>
      <c r="N21" s="529"/>
      <c r="O21" s="449"/>
      <c r="P21" s="81"/>
      <c r="Q21" s="160">
        <f t="shared" si="0"/>
        <v>0</v>
      </c>
      <c r="R21" s="162">
        <f t="shared" si="1"/>
        <v>0</v>
      </c>
      <c r="S21" s="167">
        <f t="shared" si="2"/>
        <v>0</v>
      </c>
      <c r="T21" s="228"/>
      <c r="U21" s="181">
        <f t="shared" si="3"/>
        <v>-48.02</v>
      </c>
      <c r="V21" s="739"/>
      <c r="W21" s="73"/>
      <c r="X21" s="125"/>
      <c r="Y21" s="125"/>
      <c r="Z21" s="125"/>
      <c r="AA21" s="125"/>
      <c r="AB21" s="125"/>
    </row>
    <row r="22" spans="1:28" s="74" customFormat="1" ht="15">
      <c r="A22" s="69" t="s">
        <v>7</v>
      </c>
      <c r="B22" s="75">
        <v>3</v>
      </c>
      <c r="C22" s="528" t="s">
        <v>184</v>
      </c>
      <c r="D22" s="585"/>
      <c r="E22" s="585"/>
      <c r="F22" s="586"/>
      <c r="G22" s="439" t="s">
        <v>28</v>
      </c>
      <c r="H22" s="77" t="s">
        <v>23</v>
      </c>
      <c r="I22" s="155">
        <f t="shared" ref="I22:I33" si="6">$D$11*B22</f>
        <v>21</v>
      </c>
      <c r="J22" s="162">
        <f t="shared" si="4"/>
        <v>0.42</v>
      </c>
      <c r="K22" s="167">
        <f t="shared" si="5"/>
        <v>20.58</v>
      </c>
      <c r="L22" s="164"/>
      <c r="M22" s="528" t="s">
        <v>432</v>
      </c>
      <c r="N22" s="529"/>
      <c r="O22" s="78"/>
      <c r="P22" s="72"/>
      <c r="Q22" s="160">
        <f t="shared" si="0"/>
        <v>0</v>
      </c>
      <c r="R22" s="162">
        <f t="shared" si="1"/>
        <v>0</v>
      </c>
      <c r="S22" s="167">
        <f t="shared" si="2"/>
        <v>0</v>
      </c>
      <c r="T22" s="228"/>
      <c r="U22" s="181">
        <f t="shared" si="3"/>
        <v>-20.58</v>
      </c>
      <c r="V22" s="739"/>
      <c r="W22" s="73"/>
      <c r="X22" s="125"/>
      <c r="Y22" s="125"/>
      <c r="Z22" s="125"/>
      <c r="AA22" s="125"/>
      <c r="AB22" s="125"/>
    </row>
    <row r="23" spans="1:28" s="74" customFormat="1" ht="30">
      <c r="A23" s="69" t="s">
        <v>7</v>
      </c>
      <c r="B23" s="75">
        <v>1</v>
      </c>
      <c r="C23" s="528" t="s">
        <v>185</v>
      </c>
      <c r="D23" s="585"/>
      <c r="E23" s="585"/>
      <c r="F23" s="586"/>
      <c r="G23" s="439" t="s">
        <v>28</v>
      </c>
      <c r="H23" s="77" t="s">
        <v>51</v>
      </c>
      <c r="I23" s="155">
        <f t="shared" si="6"/>
        <v>7</v>
      </c>
      <c r="J23" s="162">
        <f t="shared" si="4"/>
        <v>0.14000000000000001</v>
      </c>
      <c r="K23" s="167">
        <f t="shared" si="5"/>
        <v>6.86</v>
      </c>
      <c r="L23" s="164"/>
      <c r="M23" s="528" t="s">
        <v>433</v>
      </c>
      <c r="N23" s="529"/>
      <c r="O23" s="78"/>
      <c r="P23" s="72"/>
      <c r="Q23" s="160">
        <f t="shared" si="0"/>
        <v>0</v>
      </c>
      <c r="R23" s="162">
        <f t="shared" si="1"/>
        <v>0</v>
      </c>
      <c r="S23" s="167">
        <f t="shared" si="2"/>
        <v>0</v>
      </c>
      <c r="T23" s="228"/>
      <c r="U23" s="181">
        <f t="shared" si="3"/>
        <v>-6.86</v>
      </c>
      <c r="V23" s="739"/>
      <c r="W23" s="82"/>
      <c r="X23" s="125"/>
      <c r="Y23" s="125"/>
      <c r="Z23" s="125"/>
      <c r="AA23" s="125"/>
      <c r="AB23" s="125"/>
    </row>
    <row r="24" spans="1:28" s="74" customFormat="1" ht="15">
      <c r="A24" s="69" t="s">
        <v>7</v>
      </c>
      <c r="B24" s="75">
        <v>4</v>
      </c>
      <c r="C24" s="528" t="s">
        <v>351</v>
      </c>
      <c r="D24" s="585"/>
      <c r="E24" s="585"/>
      <c r="F24" s="586"/>
      <c r="G24" s="439" t="s">
        <v>27</v>
      </c>
      <c r="H24" s="77" t="s">
        <v>65</v>
      </c>
      <c r="I24" s="155">
        <f t="shared" si="6"/>
        <v>28</v>
      </c>
      <c r="J24" s="162">
        <f t="shared" si="4"/>
        <v>0.56000000000000005</v>
      </c>
      <c r="K24" s="167">
        <f t="shared" si="5"/>
        <v>27.44</v>
      </c>
      <c r="L24" s="164"/>
      <c r="M24" s="528" t="s">
        <v>434</v>
      </c>
      <c r="N24" s="529"/>
      <c r="O24" s="78"/>
      <c r="P24" s="72"/>
      <c r="Q24" s="160">
        <f t="shared" si="0"/>
        <v>0</v>
      </c>
      <c r="R24" s="162">
        <f t="shared" si="1"/>
        <v>0</v>
      </c>
      <c r="S24" s="167">
        <f t="shared" si="2"/>
        <v>0</v>
      </c>
      <c r="T24" s="228"/>
      <c r="U24" s="181">
        <f t="shared" si="3"/>
        <v>-27.44</v>
      </c>
      <c r="V24" s="739"/>
      <c r="W24" s="450"/>
      <c r="X24" s="125"/>
      <c r="Y24" s="125"/>
      <c r="Z24" s="125"/>
      <c r="AA24" s="125"/>
      <c r="AB24" s="125"/>
    </row>
    <row r="25" spans="1:28" s="74" customFormat="1" ht="30" customHeight="1">
      <c r="A25" s="69" t="s">
        <v>7</v>
      </c>
      <c r="B25" s="397">
        <f>'Local Penalties'!B9</f>
        <v>0</v>
      </c>
      <c r="C25" s="517" t="s">
        <v>186</v>
      </c>
      <c r="D25" s="517"/>
      <c r="E25" s="679" t="str">
        <f>IF(SUM(B25:B29)=O11,"GC 76000 PA ($" &amp;O11 &amp; " for every 10) breakdown per local board of supervisor resolution (BOS).","ERROR! GC 76000 PA total is not $" &amp;O11&amp; ". Check Court's board resolution.")</f>
        <v>ERROR! GC 76000 PA total is not $7. Check Court's board resolution.</v>
      </c>
      <c r="F25" s="680"/>
      <c r="G25" s="439" t="s">
        <v>28</v>
      </c>
      <c r="H25" s="77" t="s">
        <v>60</v>
      </c>
      <c r="I25" s="155">
        <f t="shared" si="6"/>
        <v>0</v>
      </c>
      <c r="J25" s="162">
        <f t="shared" si="4"/>
        <v>0</v>
      </c>
      <c r="K25" s="167">
        <f t="shared" si="5"/>
        <v>0</v>
      </c>
      <c r="L25" s="164"/>
      <c r="M25" s="528" t="s">
        <v>435</v>
      </c>
      <c r="N25" s="529"/>
      <c r="O25" s="78"/>
      <c r="P25" s="72"/>
      <c r="Q25" s="160">
        <f t="shared" si="0"/>
        <v>0</v>
      </c>
      <c r="R25" s="162">
        <f t="shared" si="1"/>
        <v>0</v>
      </c>
      <c r="S25" s="167">
        <f t="shared" si="2"/>
        <v>0</v>
      </c>
      <c r="T25" s="228"/>
      <c r="U25" s="181">
        <f t="shared" si="3"/>
        <v>0</v>
      </c>
      <c r="V25" s="739"/>
      <c r="W25" s="82"/>
      <c r="X25" s="125"/>
      <c r="Y25" s="125"/>
      <c r="Z25" s="125"/>
      <c r="AA25" s="125"/>
      <c r="AB25" s="125"/>
    </row>
    <row r="26" spans="1:28" s="74" customFormat="1" ht="30">
      <c r="A26" s="69" t="s">
        <v>7</v>
      </c>
      <c r="B26" s="397">
        <f>'Local Penalties'!B10</f>
        <v>0</v>
      </c>
      <c r="C26" s="517" t="s">
        <v>187</v>
      </c>
      <c r="D26" s="517"/>
      <c r="E26" s="681"/>
      <c r="F26" s="682"/>
      <c r="G26" s="439" t="s">
        <v>28</v>
      </c>
      <c r="H26" s="77" t="s">
        <v>31</v>
      </c>
      <c r="I26" s="155">
        <f t="shared" si="6"/>
        <v>0</v>
      </c>
      <c r="J26" s="162">
        <f t="shared" si="4"/>
        <v>0</v>
      </c>
      <c r="K26" s="167">
        <f t="shared" si="5"/>
        <v>0</v>
      </c>
      <c r="L26" s="164"/>
      <c r="M26" s="528" t="s">
        <v>436</v>
      </c>
      <c r="N26" s="529"/>
      <c r="O26" s="78"/>
      <c r="P26" s="72"/>
      <c r="Q26" s="160">
        <f t="shared" si="0"/>
        <v>0</v>
      </c>
      <c r="R26" s="162">
        <f t="shared" si="1"/>
        <v>0</v>
      </c>
      <c r="S26" s="167">
        <f t="shared" si="2"/>
        <v>0</v>
      </c>
      <c r="T26" s="228"/>
      <c r="U26" s="181">
        <f t="shared" si="3"/>
        <v>0</v>
      </c>
      <c r="V26" s="739"/>
      <c r="W26" s="82"/>
      <c r="X26" s="125"/>
      <c r="Y26" s="125"/>
      <c r="Z26" s="125"/>
      <c r="AA26" s="125"/>
      <c r="AB26" s="125"/>
    </row>
    <row r="27" spans="1:28" s="74" customFormat="1" ht="30">
      <c r="A27" s="69" t="s">
        <v>7</v>
      </c>
      <c r="B27" s="397">
        <f>'Local Penalties'!B11</f>
        <v>0</v>
      </c>
      <c r="C27" s="517" t="s">
        <v>188</v>
      </c>
      <c r="D27" s="517"/>
      <c r="E27" s="681"/>
      <c r="F27" s="682"/>
      <c r="G27" s="439" t="s">
        <v>28</v>
      </c>
      <c r="H27" s="77" t="s">
        <v>61</v>
      </c>
      <c r="I27" s="155">
        <f t="shared" si="6"/>
        <v>0</v>
      </c>
      <c r="J27" s="162">
        <f t="shared" si="4"/>
        <v>0</v>
      </c>
      <c r="K27" s="167">
        <f t="shared" si="5"/>
        <v>0</v>
      </c>
      <c r="L27" s="164"/>
      <c r="M27" s="528" t="s">
        <v>437</v>
      </c>
      <c r="N27" s="529"/>
      <c r="O27" s="78"/>
      <c r="P27" s="72"/>
      <c r="Q27" s="160">
        <f t="shared" si="0"/>
        <v>0</v>
      </c>
      <c r="R27" s="162">
        <f t="shared" si="1"/>
        <v>0</v>
      </c>
      <c r="S27" s="167">
        <f t="shared" si="2"/>
        <v>0</v>
      </c>
      <c r="T27" s="228"/>
      <c r="U27" s="181">
        <f t="shared" si="3"/>
        <v>0</v>
      </c>
      <c r="V27" s="739"/>
      <c r="W27" s="82"/>
      <c r="X27" s="125"/>
      <c r="Y27" s="125"/>
      <c r="Z27" s="125"/>
      <c r="AA27" s="125"/>
      <c r="AB27" s="125"/>
    </row>
    <row r="28" spans="1:28" s="74" customFormat="1" ht="30">
      <c r="A28" s="69" t="s">
        <v>7</v>
      </c>
      <c r="B28" s="397">
        <f>'Local Penalties'!B12</f>
        <v>0</v>
      </c>
      <c r="C28" s="517" t="s">
        <v>308</v>
      </c>
      <c r="D28" s="517"/>
      <c r="E28" s="681"/>
      <c r="F28" s="682"/>
      <c r="G28" s="439" t="s">
        <v>28</v>
      </c>
      <c r="H28" s="77" t="s">
        <v>61</v>
      </c>
      <c r="I28" s="155">
        <f>$D$11*B28</f>
        <v>0</v>
      </c>
      <c r="J28" s="162">
        <f>IF(A28="Y",I28* 2%,0)</f>
        <v>0</v>
      </c>
      <c r="K28" s="167">
        <f>I28-J28</f>
        <v>0</v>
      </c>
      <c r="L28" s="164"/>
      <c r="M28" s="528" t="s">
        <v>438</v>
      </c>
      <c r="N28" s="529"/>
      <c r="O28" s="78"/>
      <c r="P28" s="72"/>
      <c r="Q28" s="160">
        <f t="shared" si="0"/>
        <v>0</v>
      </c>
      <c r="R28" s="162">
        <f>IF(A28="Y", Q28*2%,)</f>
        <v>0</v>
      </c>
      <c r="S28" s="167">
        <f>Q28-R28</f>
        <v>0</v>
      </c>
      <c r="T28" s="228"/>
      <c r="U28" s="181">
        <f>IF($U$15="BASE-UP   (B-A)", O28-K28,O28-S28)</f>
        <v>0</v>
      </c>
      <c r="V28" s="739"/>
      <c r="W28" s="82"/>
      <c r="X28" s="125"/>
      <c r="Y28" s="125"/>
      <c r="Z28" s="125"/>
      <c r="AA28" s="125"/>
      <c r="AB28" s="125"/>
    </row>
    <row r="29" spans="1:28" s="74" customFormat="1" ht="15">
      <c r="A29" s="69" t="s">
        <v>7</v>
      </c>
      <c r="B29" s="397">
        <f>'Local Penalties'!B13</f>
        <v>0</v>
      </c>
      <c r="C29" s="517" t="s">
        <v>223</v>
      </c>
      <c r="D29" s="517"/>
      <c r="E29" s="683"/>
      <c r="F29" s="684"/>
      <c r="G29" s="439" t="s">
        <v>28</v>
      </c>
      <c r="H29" s="77"/>
      <c r="I29" s="155">
        <f t="shared" si="6"/>
        <v>0</v>
      </c>
      <c r="J29" s="162">
        <f t="shared" si="4"/>
        <v>0</v>
      </c>
      <c r="K29" s="167">
        <f t="shared" si="5"/>
        <v>0</v>
      </c>
      <c r="L29" s="164"/>
      <c r="M29" s="528" t="s">
        <v>439</v>
      </c>
      <c r="N29" s="529"/>
      <c r="O29" s="78"/>
      <c r="P29" s="72"/>
      <c r="Q29" s="160">
        <f t="shared" si="0"/>
        <v>0</v>
      </c>
      <c r="R29" s="162">
        <f t="shared" si="1"/>
        <v>0</v>
      </c>
      <c r="S29" s="167">
        <f t="shared" si="2"/>
        <v>0</v>
      </c>
      <c r="T29" s="228"/>
      <c r="U29" s="181">
        <f t="shared" si="3"/>
        <v>0</v>
      </c>
      <c r="V29" s="739"/>
      <c r="W29" s="82"/>
      <c r="X29" s="125"/>
      <c r="Y29" s="125"/>
      <c r="Z29" s="125"/>
      <c r="AA29" s="125"/>
      <c r="AB29" s="125"/>
    </row>
    <row r="30" spans="1:28" s="85" customFormat="1" ht="15">
      <c r="A30" s="69" t="s">
        <v>7</v>
      </c>
      <c r="B30" s="397">
        <f>'Local Penalties'!B16</f>
        <v>0</v>
      </c>
      <c r="C30" s="499" t="s">
        <v>251</v>
      </c>
      <c r="D30" s="500"/>
      <c r="E30" s="500"/>
      <c r="F30" s="577"/>
      <c r="G30" s="337" t="s">
        <v>28</v>
      </c>
      <c r="H30" s="84" t="s">
        <v>32</v>
      </c>
      <c r="I30" s="155">
        <f t="shared" si="6"/>
        <v>0</v>
      </c>
      <c r="J30" s="162">
        <f t="shared" si="4"/>
        <v>0</v>
      </c>
      <c r="K30" s="167">
        <f t="shared" si="5"/>
        <v>0</v>
      </c>
      <c r="L30" s="164"/>
      <c r="M30" s="528" t="s">
        <v>440</v>
      </c>
      <c r="N30" s="529"/>
      <c r="O30" s="78"/>
      <c r="P30" s="72"/>
      <c r="Q30" s="160">
        <f t="shared" si="0"/>
        <v>0</v>
      </c>
      <c r="R30" s="162">
        <f t="shared" si="1"/>
        <v>0</v>
      </c>
      <c r="S30" s="167">
        <f t="shared" si="2"/>
        <v>0</v>
      </c>
      <c r="T30" s="228"/>
      <c r="U30" s="181">
        <f t="shared" si="3"/>
        <v>0</v>
      </c>
      <c r="V30" s="739"/>
      <c r="W30" s="82"/>
      <c r="X30" s="127"/>
      <c r="Y30" s="127"/>
      <c r="Z30" s="127"/>
      <c r="AA30" s="127"/>
      <c r="AB30" s="127"/>
    </row>
    <row r="31" spans="1:28" s="85" customFormat="1" ht="15">
      <c r="A31" s="69" t="s">
        <v>7</v>
      </c>
      <c r="B31" s="75"/>
      <c r="C31" s="499" t="s">
        <v>302</v>
      </c>
      <c r="D31" s="500"/>
      <c r="E31" s="500"/>
      <c r="F31" s="577"/>
      <c r="G31" s="337" t="s">
        <v>27</v>
      </c>
      <c r="H31" s="91" t="s">
        <v>35</v>
      </c>
      <c r="I31" s="204">
        <v>4</v>
      </c>
      <c r="J31" s="162">
        <f>IF(A31="Y", I31*2%,0)</f>
        <v>0.08</v>
      </c>
      <c r="K31" s="167">
        <f>I31-J31</f>
        <v>3.92</v>
      </c>
      <c r="L31" s="164"/>
      <c r="M31" s="528" t="s">
        <v>441</v>
      </c>
      <c r="N31" s="529"/>
      <c r="O31" s="78"/>
      <c r="P31" s="72"/>
      <c r="Q31" s="155">
        <f>IF($Q$43=0,,I31)</f>
        <v>0</v>
      </c>
      <c r="R31" s="162">
        <f>IF(A31="Y", Q31*2%,)</f>
        <v>0</v>
      </c>
      <c r="S31" s="167">
        <f>Q31-R31</f>
        <v>0</v>
      </c>
      <c r="T31" s="228"/>
      <c r="U31" s="181">
        <f>IF($U$15="BASE-UP   (B-A)", O31-K31,O31-S31)</f>
        <v>-3.92</v>
      </c>
      <c r="V31" s="739"/>
      <c r="W31" s="82"/>
      <c r="X31" s="127"/>
      <c r="Y31" s="127"/>
      <c r="Z31" s="127"/>
      <c r="AA31" s="127"/>
      <c r="AB31" s="127"/>
    </row>
    <row r="32" spans="1:28" s="74" customFormat="1" ht="19.5" customHeight="1">
      <c r="A32" s="69" t="s">
        <v>7</v>
      </c>
      <c r="B32" s="397">
        <f>'Local Penalties'!B17</f>
        <v>0</v>
      </c>
      <c r="C32" s="499" t="s">
        <v>403</v>
      </c>
      <c r="D32" s="500"/>
      <c r="E32" s="577"/>
      <c r="F32" s="497" t="s">
        <v>246</v>
      </c>
      <c r="G32" s="337" t="s">
        <v>27</v>
      </c>
      <c r="H32" s="84" t="s">
        <v>33</v>
      </c>
      <c r="I32" s="155">
        <f t="shared" si="6"/>
        <v>0</v>
      </c>
      <c r="J32" s="162">
        <f t="shared" si="4"/>
        <v>0</v>
      </c>
      <c r="K32" s="167">
        <f t="shared" si="5"/>
        <v>0</v>
      </c>
      <c r="L32" s="164"/>
      <c r="M32" s="528" t="s">
        <v>442</v>
      </c>
      <c r="N32" s="529"/>
      <c r="O32" s="78"/>
      <c r="P32" s="72"/>
      <c r="Q32" s="160">
        <f>IF($Q$43=0,,I32*$Q$15)</f>
        <v>0</v>
      </c>
      <c r="R32" s="162">
        <f t="shared" si="1"/>
        <v>0</v>
      </c>
      <c r="S32" s="167">
        <f t="shared" si="2"/>
        <v>0</v>
      </c>
      <c r="T32" s="228"/>
      <c r="U32" s="181">
        <f t="shared" si="3"/>
        <v>0</v>
      </c>
      <c r="V32" s="739"/>
      <c r="W32" s="82"/>
      <c r="X32" s="125"/>
      <c r="Y32" s="125"/>
      <c r="Z32" s="125"/>
      <c r="AA32" s="125"/>
      <c r="AB32" s="125"/>
    </row>
    <row r="33" spans="1:28" s="74" customFormat="1" ht="15" customHeight="1">
      <c r="A33" s="69" t="s">
        <v>7</v>
      </c>
      <c r="B33" s="179">
        <f>5-B32</f>
        <v>5</v>
      </c>
      <c r="C33" s="499" t="s">
        <v>404</v>
      </c>
      <c r="D33" s="500"/>
      <c r="E33" s="577"/>
      <c r="F33" s="498"/>
      <c r="G33" s="337" t="s">
        <v>27</v>
      </c>
      <c r="H33" s="84" t="s">
        <v>166</v>
      </c>
      <c r="I33" s="155">
        <f t="shared" si="6"/>
        <v>35</v>
      </c>
      <c r="J33" s="162">
        <f t="shared" si="4"/>
        <v>0.70000000000000007</v>
      </c>
      <c r="K33" s="167">
        <f t="shared" si="5"/>
        <v>34.299999999999997</v>
      </c>
      <c r="L33" s="164"/>
      <c r="M33" s="528" t="s">
        <v>443</v>
      </c>
      <c r="N33" s="529"/>
      <c r="O33" s="78"/>
      <c r="P33" s="72"/>
      <c r="Q33" s="160">
        <f>IF($Q$43=0,,I33*$Q$15)</f>
        <v>0</v>
      </c>
      <c r="R33" s="162">
        <f t="shared" si="1"/>
        <v>0</v>
      </c>
      <c r="S33" s="167">
        <f t="shared" si="2"/>
        <v>0</v>
      </c>
      <c r="T33" s="228"/>
      <c r="U33" s="181">
        <f t="shared" si="3"/>
        <v>-34.299999999999997</v>
      </c>
      <c r="V33" s="740"/>
      <c r="W33" s="82"/>
      <c r="X33" s="125"/>
      <c r="Y33" s="125"/>
      <c r="Z33" s="125"/>
      <c r="AA33" s="125"/>
      <c r="AB33" s="125"/>
    </row>
    <row r="34" spans="1:28" s="85" customFormat="1" ht="15">
      <c r="A34" s="69" t="s">
        <v>6</v>
      </c>
      <c r="B34" s="75"/>
      <c r="C34" s="499" t="s">
        <v>189</v>
      </c>
      <c r="D34" s="500"/>
      <c r="E34" s="500"/>
      <c r="F34" s="577"/>
      <c r="G34" s="337" t="s">
        <v>27</v>
      </c>
      <c r="H34" s="84" t="s">
        <v>9</v>
      </c>
      <c r="I34" s="155">
        <f>$D$10*20%</f>
        <v>14</v>
      </c>
      <c r="J34" s="162">
        <f t="shared" si="4"/>
        <v>0</v>
      </c>
      <c r="K34" s="167">
        <f>I34-J34</f>
        <v>14</v>
      </c>
      <c r="L34" s="164"/>
      <c r="M34" s="528" t="s">
        <v>444</v>
      </c>
      <c r="N34" s="529"/>
      <c r="O34" s="78"/>
      <c r="P34" s="72"/>
      <c r="Q34" s="160">
        <f>IF($Q$43=0,,I34*$Q$15)</f>
        <v>0</v>
      </c>
      <c r="R34" s="162">
        <f t="shared" si="1"/>
        <v>0</v>
      </c>
      <c r="S34" s="167">
        <f t="shared" si="2"/>
        <v>0</v>
      </c>
      <c r="T34" s="228"/>
      <c r="U34" s="181">
        <f t="shared" si="3"/>
        <v>-14</v>
      </c>
      <c r="V34" s="317"/>
      <c r="W34" s="82"/>
      <c r="X34" s="127"/>
      <c r="Y34" s="127"/>
      <c r="Z34" s="127"/>
      <c r="AA34" s="127"/>
      <c r="AB34" s="127"/>
    </row>
    <row r="35" spans="1:28" s="90" customFormat="1" ht="15">
      <c r="A35" s="69"/>
      <c r="B35" s="86"/>
      <c r="C35" s="574" t="s">
        <v>190</v>
      </c>
      <c r="D35" s="575"/>
      <c r="E35" s="575"/>
      <c r="F35" s="576"/>
      <c r="G35" s="338"/>
      <c r="H35" s="88"/>
      <c r="I35" s="157">
        <f>SUM(I16:I34)</f>
        <v>228</v>
      </c>
      <c r="J35" s="162"/>
      <c r="K35" s="168">
        <f>SUM(K16:K34)</f>
        <v>223.71999999999997</v>
      </c>
      <c r="L35" s="165"/>
      <c r="M35" s="499"/>
      <c r="N35" s="584"/>
      <c r="O35" s="184"/>
      <c r="P35" s="122"/>
      <c r="Q35" s="157">
        <f>IF($Q$43=0,,Q43-SUM(Q36:Q40))</f>
        <v>0</v>
      </c>
      <c r="R35" s="162"/>
      <c r="S35" s="168">
        <f>SUM(S16:S34)</f>
        <v>0</v>
      </c>
      <c r="T35" s="229"/>
      <c r="U35" s="181">
        <f>SUM(U16:U34)</f>
        <v>-223.71999999999997</v>
      </c>
      <c r="V35" s="317"/>
      <c r="W35" s="89"/>
      <c r="X35" s="143"/>
      <c r="Y35" s="143"/>
      <c r="Z35" s="143"/>
      <c r="AA35" s="143"/>
      <c r="AB35" s="143"/>
    </row>
    <row r="36" spans="1:28" s="85" customFormat="1" ht="15">
      <c r="A36" s="69" t="s">
        <v>6</v>
      </c>
      <c r="B36" s="75"/>
      <c r="C36" s="499" t="s">
        <v>325</v>
      </c>
      <c r="D36" s="500"/>
      <c r="E36" s="500"/>
      <c r="F36" s="577"/>
      <c r="G36" s="337" t="s">
        <v>27</v>
      </c>
      <c r="H36" s="91"/>
      <c r="I36" s="204">
        <v>40</v>
      </c>
      <c r="J36" s="162">
        <f>IF(A36="Y", I36*2%,0)</f>
        <v>0</v>
      </c>
      <c r="K36" s="167">
        <f>I36-J36</f>
        <v>40</v>
      </c>
      <c r="L36" s="164"/>
      <c r="M36" s="440" t="s">
        <v>445</v>
      </c>
      <c r="N36" s="441"/>
      <c r="O36" s="78"/>
      <c r="P36" s="72"/>
      <c r="Q36" s="155">
        <f>IF($Q$43=0,,I36)</f>
        <v>0</v>
      </c>
      <c r="R36" s="162">
        <f t="shared" ref="R36:R40" si="7">IF(A36="Y", Q36*2%,)</f>
        <v>0</v>
      </c>
      <c r="S36" s="167">
        <f t="shared" ref="S36" si="8">Q36-R36</f>
        <v>0</v>
      </c>
      <c r="T36" s="228"/>
      <c r="U36" s="181">
        <f t="shared" ref="U36:U41" si="9">IF($U$15="BASE-UP   (B-A)", O36-K36,O36-S36)</f>
        <v>-40</v>
      </c>
      <c r="V36" s="317"/>
      <c r="W36" s="82"/>
      <c r="X36" s="127"/>
      <c r="Y36" s="127"/>
      <c r="Z36" s="127"/>
      <c r="AA36" s="127"/>
      <c r="AB36" s="127"/>
    </row>
    <row r="37" spans="1:28" s="85" customFormat="1" ht="15">
      <c r="A37" s="69" t="s">
        <v>6</v>
      </c>
      <c r="B37" s="75"/>
      <c r="C37" s="578" t="s">
        <v>228</v>
      </c>
      <c r="D37" s="579"/>
      <c r="E37" s="579"/>
      <c r="F37" s="580"/>
      <c r="G37" s="339" t="s">
        <v>27</v>
      </c>
      <c r="H37" s="92" t="s">
        <v>166</v>
      </c>
      <c r="I37" s="204">
        <v>35</v>
      </c>
      <c r="J37" s="162">
        <f t="shared" ref="J37:J40" si="10">IF(A37="Y", I37*2%,0)</f>
        <v>0</v>
      </c>
      <c r="K37" s="167">
        <f t="shared" ref="K37:K40" si="11">I37-J37</f>
        <v>35</v>
      </c>
      <c r="L37" s="164"/>
      <c r="M37" s="528" t="s">
        <v>446</v>
      </c>
      <c r="N37" s="529"/>
      <c r="O37" s="78"/>
      <c r="P37" s="72"/>
      <c r="Q37" s="155">
        <f>IF($Q$43=0,,I37)</f>
        <v>0</v>
      </c>
      <c r="R37" s="162">
        <f t="shared" si="7"/>
        <v>0</v>
      </c>
      <c r="S37" s="167">
        <f t="shared" si="2"/>
        <v>0</v>
      </c>
      <c r="T37" s="228"/>
      <c r="U37" s="181">
        <f t="shared" si="9"/>
        <v>-35</v>
      </c>
      <c r="V37" s="317"/>
      <c r="W37" s="73"/>
      <c r="X37" s="127"/>
      <c r="Y37" s="127"/>
      <c r="Z37" s="127"/>
      <c r="AA37" s="127"/>
      <c r="AB37" s="127"/>
    </row>
    <row r="38" spans="1:28" s="74" customFormat="1" ht="15">
      <c r="A38" s="69" t="s">
        <v>6</v>
      </c>
      <c r="B38" s="94"/>
      <c r="C38" s="578" t="s">
        <v>326</v>
      </c>
      <c r="D38" s="579"/>
      <c r="E38" s="579"/>
      <c r="F38" s="580"/>
      <c r="G38" s="339" t="s">
        <v>199</v>
      </c>
      <c r="H38" s="92" t="s">
        <v>20</v>
      </c>
      <c r="I38" s="204">
        <v>0</v>
      </c>
      <c r="J38" s="162">
        <f t="shared" si="10"/>
        <v>0</v>
      </c>
      <c r="K38" s="167">
        <f t="shared" si="11"/>
        <v>0</v>
      </c>
      <c r="L38" s="164"/>
      <c r="M38" s="528"/>
      <c r="N38" s="529"/>
      <c r="O38" s="78"/>
      <c r="P38" s="72"/>
      <c r="Q38" s="155">
        <f>IF($Q$43=0,,I38)</f>
        <v>0</v>
      </c>
      <c r="R38" s="162">
        <f t="shared" si="7"/>
        <v>0</v>
      </c>
      <c r="S38" s="167">
        <f t="shared" si="2"/>
        <v>0</v>
      </c>
      <c r="T38" s="228"/>
      <c r="U38" s="181">
        <f t="shared" si="9"/>
        <v>0</v>
      </c>
      <c r="V38" s="317"/>
      <c r="W38" s="77"/>
      <c r="X38" s="125"/>
      <c r="Y38" s="125"/>
      <c r="Z38" s="125"/>
      <c r="AA38" s="125"/>
      <c r="AB38" s="125"/>
    </row>
    <row r="39" spans="1:28" s="74" customFormat="1" ht="15">
      <c r="A39" s="69" t="s">
        <v>6</v>
      </c>
      <c r="B39" s="94"/>
      <c r="C39" s="499" t="s">
        <v>447</v>
      </c>
      <c r="D39" s="579"/>
      <c r="E39" s="579"/>
      <c r="F39" s="580"/>
      <c r="G39" s="339" t="s">
        <v>199</v>
      </c>
      <c r="H39" s="92" t="s">
        <v>73</v>
      </c>
      <c r="I39" s="204">
        <v>0</v>
      </c>
      <c r="J39" s="162">
        <f t="shared" si="10"/>
        <v>0</v>
      </c>
      <c r="K39" s="167">
        <f t="shared" si="11"/>
        <v>0</v>
      </c>
      <c r="L39" s="164"/>
      <c r="M39" s="528"/>
      <c r="N39" s="529"/>
      <c r="O39" s="78"/>
      <c r="P39" s="72"/>
      <c r="Q39" s="155">
        <f>IF($Q$43=0,,I39)</f>
        <v>0</v>
      </c>
      <c r="R39" s="162">
        <f t="shared" si="7"/>
        <v>0</v>
      </c>
      <c r="S39" s="167">
        <f t="shared" si="2"/>
        <v>0</v>
      </c>
      <c r="T39" s="228"/>
      <c r="U39" s="181">
        <f t="shared" si="9"/>
        <v>0</v>
      </c>
      <c r="V39" s="317"/>
      <c r="W39" s="77"/>
      <c r="X39" s="125"/>
      <c r="Y39" s="125"/>
      <c r="Z39" s="125"/>
      <c r="AA39" s="125"/>
      <c r="AB39" s="125"/>
    </row>
    <row r="40" spans="1:28" s="74" customFormat="1" ht="15">
      <c r="A40" s="69" t="s">
        <v>6</v>
      </c>
      <c r="B40" s="94"/>
      <c r="C40" s="578" t="s">
        <v>194</v>
      </c>
      <c r="D40" s="579"/>
      <c r="E40" s="579"/>
      <c r="F40" s="580"/>
      <c r="G40" s="339" t="s">
        <v>27</v>
      </c>
      <c r="H40" s="92" t="s">
        <v>71</v>
      </c>
      <c r="I40" s="204">
        <v>1</v>
      </c>
      <c r="J40" s="162">
        <f t="shared" si="10"/>
        <v>0</v>
      </c>
      <c r="K40" s="167">
        <f t="shared" si="11"/>
        <v>1</v>
      </c>
      <c r="L40" s="164"/>
      <c r="M40" s="528" t="s">
        <v>448</v>
      </c>
      <c r="N40" s="529"/>
      <c r="O40" s="78"/>
      <c r="P40" s="72"/>
      <c r="Q40" s="155">
        <f>IF($Q$43=0,,I40)</f>
        <v>0</v>
      </c>
      <c r="R40" s="162">
        <f t="shared" si="7"/>
        <v>0</v>
      </c>
      <c r="S40" s="167">
        <f t="shared" si="2"/>
        <v>0</v>
      </c>
      <c r="T40" s="228"/>
      <c r="U40" s="181">
        <f t="shared" si="9"/>
        <v>-1</v>
      </c>
      <c r="V40" s="317"/>
      <c r="W40" s="77"/>
      <c r="X40" s="125"/>
      <c r="Y40" s="125"/>
      <c r="Z40" s="125"/>
      <c r="AA40" s="125"/>
      <c r="AB40" s="125"/>
    </row>
    <row r="41" spans="1:28" s="74" customFormat="1" ht="15">
      <c r="A41" s="93" t="s">
        <v>6</v>
      </c>
      <c r="B41" s="94"/>
      <c r="C41" s="528" t="s">
        <v>366</v>
      </c>
      <c r="D41" s="585"/>
      <c r="E41" s="585"/>
      <c r="F41" s="586"/>
      <c r="G41" s="340" t="s">
        <v>27</v>
      </c>
      <c r="H41" s="96" t="s">
        <v>37</v>
      </c>
      <c r="I41" s="97"/>
      <c r="J41" s="163"/>
      <c r="K41" s="169">
        <f>J42</f>
        <v>4.28</v>
      </c>
      <c r="L41" s="164"/>
      <c r="M41" s="528" t="s">
        <v>46</v>
      </c>
      <c r="N41" s="529"/>
      <c r="O41" s="78"/>
      <c r="P41" s="72"/>
      <c r="Q41" s="104"/>
      <c r="R41" s="163"/>
      <c r="S41" s="169">
        <f>R42</f>
        <v>0</v>
      </c>
      <c r="T41" s="230"/>
      <c r="U41" s="181">
        <f t="shared" si="9"/>
        <v>-4.28</v>
      </c>
      <c r="V41" s="317"/>
      <c r="W41" s="77"/>
      <c r="X41" s="125"/>
      <c r="Y41" s="125"/>
      <c r="Z41" s="125"/>
      <c r="AA41" s="125"/>
      <c r="AB41" s="125"/>
    </row>
    <row r="42" spans="1:28" s="125" customFormat="1" ht="15">
      <c r="A42" s="123"/>
      <c r="B42" s="123"/>
      <c r="C42" s="123"/>
      <c r="D42" s="123"/>
      <c r="E42" s="124"/>
      <c r="F42" s="124"/>
      <c r="J42" s="126">
        <f>SUM(J16:J41)</f>
        <v>4.28</v>
      </c>
      <c r="K42" s="170"/>
      <c r="L42" s="127"/>
      <c r="O42" s="128"/>
      <c r="P42" s="129"/>
      <c r="R42" s="126">
        <f>SUM(R16:R41)</f>
        <v>0</v>
      </c>
      <c r="S42" s="170"/>
      <c r="T42" s="231"/>
      <c r="U42" s="180"/>
      <c r="V42" s="180"/>
      <c r="W42" s="130"/>
    </row>
    <row r="43" spans="1:28" s="106" customFormat="1" ht="16.5" thickBot="1">
      <c r="A43" s="144"/>
      <c r="B43" s="144"/>
      <c r="C43" s="144"/>
      <c r="D43" s="144"/>
      <c r="E43" s="131"/>
      <c r="F43" s="145" t="s">
        <v>72</v>
      </c>
      <c r="G43" s="146"/>
      <c r="H43" s="147" t="s">
        <v>1</v>
      </c>
      <c r="I43" s="148">
        <f>SUM(I35:I42)</f>
        <v>304</v>
      </c>
      <c r="J43" s="149"/>
      <c r="K43" s="171">
        <f>SUM(K35:K42)</f>
        <v>303.99999999999994</v>
      </c>
      <c r="L43" s="150"/>
      <c r="M43" s="144" t="s">
        <v>1</v>
      </c>
      <c r="N43" s="144"/>
      <c r="O43" s="151">
        <f>SUM(O35:O42)</f>
        <v>0</v>
      </c>
      <c r="P43" s="150"/>
      <c r="Q43" s="206"/>
      <c r="R43" s="149"/>
      <c r="S43" s="171">
        <f>SUM(S35:S42)</f>
        <v>0</v>
      </c>
      <c r="T43" s="232"/>
      <c r="U43" s="193">
        <f>SUM(U35:U42)</f>
        <v>-303.99999999999994</v>
      </c>
      <c r="V43" s="315"/>
      <c r="W43" s="152"/>
    </row>
    <row r="44" spans="1:28" s="54" customFormat="1" ht="19.5" thickTop="1">
      <c r="A44" s="688" t="s">
        <v>57</v>
      </c>
      <c r="B44" s="688"/>
      <c r="C44" s="688"/>
      <c r="D44" s="210"/>
      <c r="E44" s="133"/>
      <c r="F44" s="133"/>
      <c r="K44" s="135"/>
      <c r="L44" s="136"/>
      <c r="P44" s="137"/>
      <c r="Q44" s="137"/>
      <c r="R44" s="137"/>
      <c r="S44" s="137"/>
      <c r="T44" s="137"/>
      <c r="U44" s="138"/>
      <c r="V44" s="138"/>
      <c r="W44" s="139"/>
    </row>
    <row r="45" spans="1:28" s="141" customFormat="1" ht="15.75">
      <c r="A45" s="140">
        <v>1</v>
      </c>
      <c r="B45" s="546" t="s">
        <v>450</v>
      </c>
      <c r="C45" s="546"/>
      <c r="D45" s="546"/>
      <c r="E45" s="546"/>
      <c r="F45" s="546"/>
      <c r="G45" s="546"/>
      <c r="H45" s="546"/>
      <c r="I45" s="546"/>
      <c r="J45" s="546"/>
      <c r="K45" s="546"/>
      <c r="L45" s="546"/>
      <c r="M45" s="546"/>
      <c r="N45" s="546"/>
      <c r="O45" s="546"/>
      <c r="P45" s="546"/>
      <c r="Q45" s="546"/>
      <c r="R45" s="546"/>
      <c r="S45" s="546"/>
      <c r="T45" s="546"/>
      <c r="U45" s="546"/>
      <c r="V45" s="546"/>
      <c r="W45" s="546"/>
    </row>
    <row r="46" spans="1:28" s="141" customFormat="1" ht="12">
      <c r="A46" s="140">
        <v>2</v>
      </c>
      <c r="B46" s="737"/>
      <c r="C46" s="737"/>
      <c r="D46" s="737"/>
      <c r="E46" s="737"/>
      <c r="F46" s="737"/>
      <c r="G46" s="737"/>
      <c r="H46" s="737"/>
      <c r="I46" s="737"/>
      <c r="J46" s="737"/>
      <c r="K46" s="737"/>
      <c r="L46" s="737"/>
      <c r="M46" s="737"/>
      <c r="N46" s="737"/>
      <c r="O46" s="737"/>
      <c r="P46" s="737"/>
      <c r="Q46" s="737"/>
      <c r="R46" s="737"/>
      <c r="S46" s="737"/>
      <c r="T46" s="737"/>
      <c r="U46" s="737"/>
      <c r="V46" s="737"/>
      <c r="W46" s="737"/>
    </row>
    <row r="47" spans="1:28" s="141" customFormat="1" ht="12">
      <c r="A47" s="140">
        <v>3</v>
      </c>
      <c r="B47" s="737"/>
      <c r="C47" s="737"/>
      <c r="D47" s="737"/>
      <c r="E47" s="737"/>
      <c r="F47" s="737"/>
      <c r="G47" s="737"/>
      <c r="H47" s="737"/>
      <c r="I47" s="737"/>
      <c r="J47" s="737"/>
      <c r="K47" s="737"/>
      <c r="L47" s="737"/>
      <c r="M47" s="737"/>
      <c r="N47" s="737"/>
      <c r="O47" s="737"/>
      <c r="P47" s="737"/>
      <c r="Q47" s="737"/>
      <c r="R47" s="737"/>
      <c r="S47" s="737"/>
      <c r="T47" s="737"/>
      <c r="U47" s="737"/>
      <c r="V47" s="737"/>
      <c r="W47" s="737"/>
    </row>
    <row r="48" spans="1:28" s="54" customFormat="1">
      <c r="A48" s="132"/>
      <c r="B48" s="132"/>
      <c r="C48" s="132"/>
      <c r="D48" s="132"/>
      <c r="E48" s="133"/>
      <c r="F48" s="133"/>
      <c r="K48" s="142"/>
      <c r="L48" s="137"/>
      <c r="P48" s="137"/>
      <c r="Q48" s="137"/>
      <c r="R48" s="137"/>
      <c r="S48" s="137"/>
      <c r="T48" s="137"/>
      <c r="U48" s="138"/>
      <c r="V48" s="138"/>
      <c r="W48" s="139"/>
    </row>
  </sheetData>
  <mergeCells count="120">
    <mergeCell ref="A1:K1"/>
    <mergeCell ref="L1:U1"/>
    <mergeCell ref="A3:O3"/>
    <mergeCell ref="Q3:W3"/>
    <mergeCell ref="A4:C4"/>
    <mergeCell ref="D4:E4"/>
    <mergeCell ref="F4:G4"/>
    <mergeCell ref="I4:L4"/>
    <mergeCell ref="M4:N4"/>
    <mergeCell ref="Q4:W4"/>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A11:C11"/>
    <mergeCell ref="D11:E11"/>
    <mergeCell ref="F11:G11"/>
    <mergeCell ref="I11:L11"/>
    <mergeCell ref="Q11:W11"/>
    <mergeCell ref="I13:K13"/>
    <mergeCell ref="M13:O13"/>
    <mergeCell ref="Q13:S13"/>
    <mergeCell ref="M11:N11"/>
    <mergeCell ref="V19:V33"/>
    <mergeCell ref="C20:F20"/>
    <mergeCell ref="M20:N20"/>
    <mergeCell ref="C21:F21"/>
    <mergeCell ref="M21:N21"/>
    <mergeCell ref="W14:W15"/>
    <mergeCell ref="M15:N15"/>
    <mergeCell ref="C16:F16"/>
    <mergeCell ref="M16:N16"/>
    <mergeCell ref="C17:F17"/>
    <mergeCell ref="M17:N17"/>
    <mergeCell ref="C14:F15"/>
    <mergeCell ref="I14:I15"/>
    <mergeCell ref="J14:J15"/>
    <mergeCell ref="M14:N14"/>
    <mergeCell ref="R14:R15"/>
    <mergeCell ref="V14:V15"/>
    <mergeCell ref="C22:F22"/>
    <mergeCell ref="M22:N22"/>
    <mergeCell ref="C23:F23"/>
    <mergeCell ref="M23:N23"/>
    <mergeCell ref="C24:F24"/>
    <mergeCell ref="M24:N24"/>
    <mergeCell ref="C18:F18"/>
    <mergeCell ref="M18:N18"/>
    <mergeCell ref="B19:B20"/>
    <mergeCell ref="C19:F19"/>
    <mergeCell ref="M19:N19"/>
    <mergeCell ref="C25:D25"/>
    <mergeCell ref="E25:F29"/>
    <mergeCell ref="M25:N25"/>
    <mergeCell ref="C26:D26"/>
    <mergeCell ref="M26:N26"/>
    <mergeCell ref="C27:D27"/>
    <mergeCell ref="M27:N27"/>
    <mergeCell ref="C28:D28"/>
    <mergeCell ref="M28:N28"/>
    <mergeCell ref="C29:D29"/>
    <mergeCell ref="C34:F34"/>
    <mergeCell ref="M34:N34"/>
    <mergeCell ref="C35:F35"/>
    <mergeCell ref="M35:N35"/>
    <mergeCell ref="C36:F36"/>
    <mergeCell ref="C37:F37"/>
    <mergeCell ref="M37:N37"/>
    <mergeCell ref="M29:N29"/>
    <mergeCell ref="C30:F30"/>
    <mergeCell ref="M30:N30"/>
    <mergeCell ref="C31:F31"/>
    <mergeCell ref="M31:N31"/>
    <mergeCell ref="C32:E32"/>
    <mergeCell ref="F32:F33"/>
    <mergeCell ref="M32:N32"/>
    <mergeCell ref="C33:E33"/>
    <mergeCell ref="M33:N33"/>
    <mergeCell ref="C41:F41"/>
    <mergeCell ref="M41:N41"/>
    <mergeCell ref="A44:C44"/>
    <mergeCell ref="B45:W45"/>
    <mergeCell ref="B46:W46"/>
    <mergeCell ref="B47:W47"/>
    <mergeCell ref="C38:F38"/>
    <mergeCell ref="M38:N38"/>
    <mergeCell ref="C39:F39"/>
    <mergeCell ref="M39:N39"/>
    <mergeCell ref="C40:F40"/>
    <mergeCell ref="M40:N40"/>
  </mergeCells>
  <conditionalFormatting sqref="Q16:S41">
    <cfRule type="cellIs" dxfId="18" priority="8" stopIfTrue="1" operator="equal">
      <formula>0</formula>
    </cfRule>
  </conditionalFormatting>
  <conditionalFormatting sqref="U48:V65532 U44:V44 U12:V13">
    <cfRule type="cellIs" dxfId="17" priority="7" stopIfTrue="1" operator="notEqual">
      <formula>0</formula>
    </cfRule>
  </conditionalFormatting>
  <conditionalFormatting sqref="I16:I18">
    <cfRule type="cellIs" dxfId="16" priority="6" stopIfTrue="1" operator="equal">
      <formula>0</formula>
    </cfRule>
  </conditionalFormatting>
  <conditionalFormatting sqref="E25">
    <cfRule type="cellIs" dxfId="15" priority="5" operator="notEqual">
      <formula>"GC 76000 PA ($7 for every 10) breakdown per local board of supervisor resolution (BOS)."</formula>
    </cfRule>
  </conditionalFormatting>
  <conditionalFormatting sqref="M16:O41">
    <cfRule type="expression" dxfId="14" priority="4">
      <formula>MOD(ROW(),2)=0</formula>
    </cfRule>
  </conditionalFormatting>
  <conditionalFormatting sqref="J36:K41 J31:K31 I18:K30 I32:K35">
    <cfRule type="cellIs" dxfId="13" priority="3" operator="equal">
      <formula>0</formula>
    </cfRule>
  </conditionalFormatting>
  <conditionalFormatting sqref="V19 V34:V41">
    <cfRule type="cellIs" dxfId="12" priority="2" operator="greaterThan">
      <formula>0</formula>
    </cfRule>
  </conditionalFormatting>
  <conditionalFormatting sqref="E25">
    <cfRule type="cellIs" dxfId="11" priority="1" operator="notEqual">
      <formula>"GC 76000 PA ($" &amp;O11 &amp;" for every 10) breakdown per local board of supervisor resolution (BOS)."</formula>
    </cfRule>
  </conditionalFormatting>
  <dataValidations count="1">
    <dataValidation type="list" allowBlank="1" showInputMessage="1" showErrorMessage="1" sqref="U15">
      <formula1>$AC$4:$AC$5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codeName="Sheet5">
    <tabColor rgb="FFC00000"/>
  </sheetPr>
  <dimension ref="A1:H19"/>
  <sheetViews>
    <sheetView workbookViewId="0">
      <selection activeCell="N29" sqref="N29:O29"/>
    </sheetView>
  </sheetViews>
  <sheetFormatPr defaultRowHeight="12.75"/>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c r="A1" s="43" t="s">
        <v>167</v>
      </c>
    </row>
    <row r="2" spans="1:8" ht="13.5" thickBot="1">
      <c r="A2" s="40" t="s">
        <v>159</v>
      </c>
    </row>
    <row r="3" spans="1:8" ht="15" customHeight="1">
      <c r="A3" s="40"/>
      <c r="F3" s="457" t="s">
        <v>290</v>
      </c>
      <c r="G3" s="458"/>
      <c r="H3" s="459"/>
    </row>
    <row r="4" spans="1:8" s="2" customFormat="1" ht="25.5">
      <c r="A4" s="42" t="s">
        <v>142</v>
      </c>
      <c r="B4" s="42" t="s">
        <v>8</v>
      </c>
      <c r="C4" s="42" t="s">
        <v>145</v>
      </c>
      <c r="D4" s="42" t="s">
        <v>146</v>
      </c>
      <c r="E4" s="297" t="s">
        <v>175</v>
      </c>
      <c r="F4" s="460"/>
      <c r="G4" s="461"/>
      <c r="H4" s="462"/>
    </row>
    <row r="5" spans="1:8" s="1" customFormat="1" ht="25.5">
      <c r="A5" s="41" t="s">
        <v>141</v>
      </c>
      <c r="B5" s="41" t="s">
        <v>143</v>
      </c>
      <c r="C5" s="41" t="s">
        <v>298</v>
      </c>
      <c r="D5" s="41" t="s">
        <v>147</v>
      </c>
      <c r="E5" s="298" t="s">
        <v>149</v>
      </c>
      <c r="F5" s="460"/>
      <c r="G5" s="461"/>
      <c r="H5" s="462"/>
    </row>
    <row r="6" spans="1:8" s="1" customFormat="1" ht="39" thickBot="1">
      <c r="A6" s="41" t="s">
        <v>150</v>
      </c>
      <c r="B6" s="41" t="s">
        <v>151</v>
      </c>
      <c r="C6" s="41" t="s">
        <v>152</v>
      </c>
      <c r="D6" s="41" t="s">
        <v>161</v>
      </c>
      <c r="E6" s="299" t="s">
        <v>176</v>
      </c>
      <c r="F6" s="463"/>
      <c r="G6" s="464"/>
      <c r="H6" s="465"/>
    </row>
    <row r="7" spans="1:8" s="1" customFormat="1" ht="38.25">
      <c r="A7" s="41" t="s">
        <v>153</v>
      </c>
      <c r="B7" s="41" t="s">
        <v>55</v>
      </c>
      <c r="C7" s="41" t="s">
        <v>144</v>
      </c>
      <c r="D7" s="41" t="s">
        <v>154</v>
      </c>
      <c r="E7" s="41" t="s">
        <v>155</v>
      </c>
    </row>
    <row r="8" spans="1:8" s="1" customFormat="1" ht="25.5">
      <c r="A8" s="41" t="s">
        <v>63</v>
      </c>
      <c r="B8" s="41" t="s">
        <v>64</v>
      </c>
      <c r="C8" s="41" t="s">
        <v>156</v>
      </c>
      <c r="D8" s="41" t="s">
        <v>157</v>
      </c>
      <c r="E8" s="41" t="s">
        <v>158</v>
      </c>
    </row>
    <row r="9" spans="1:8" s="1" customFormat="1">
      <c r="A9" s="45"/>
      <c r="B9" s="45"/>
      <c r="C9" s="45"/>
      <c r="D9" s="45"/>
      <c r="E9" s="45"/>
    </row>
    <row r="10" spans="1:8" s="43" customFormat="1" ht="18">
      <c r="A10" s="43" t="s">
        <v>169</v>
      </c>
    </row>
    <row r="11" spans="1:8" s="5" customFormat="1">
      <c r="A11" s="45"/>
      <c r="B11" s="45"/>
      <c r="C11" s="45"/>
      <c r="D11" s="45"/>
      <c r="E11" s="45"/>
    </row>
    <row r="12" spans="1:8" s="5" customFormat="1" ht="25.5">
      <c r="A12" s="42" t="s">
        <v>142</v>
      </c>
      <c r="B12" s="42" t="s">
        <v>8</v>
      </c>
      <c r="C12" s="42" t="s">
        <v>145</v>
      </c>
      <c r="D12" s="42" t="s">
        <v>146</v>
      </c>
      <c r="E12" s="42" t="s">
        <v>173</v>
      </c>
      <c r="F12" s="49"/>
    </row>
    <row r="13" spans="1:8" ht="63.75">
      <c r="A13" s="44" t="s">
        <v>170</v>
      </c>
      <c r="B13" s="44" t="s">
        <v>70</v>
      </c>
      <c r="C13" s="47" t="s">
        <v>172</v>
      </c>
      <c r="D13" s="44" t="s">
        <v>171</v>
      </c>
      <c r="E13" s="47" t="s">
        <v>174</v>
      </c>
      <c r="F13" s="48"/>
    </row>
    <row r="14" spans="1:8" s="1" customFormat="1">
      <c r="A14" s="45"/>
      <c r="B14" s="45"/>
      <c r="C14" s="45"/>
      <c r="D14" s="45"/>
      <c r="E14" s="45"/>
    </row>
    <row r="15" spans="1:8" s="43" customFormat="1" ht="18">
      <c r="A15" s="43" t="s">
        <v>168</v>
      </c>
    </row>
    <row r="16" spans="1:8" s="5" customFormat="1">
      <c r="A16" s="46" t="s">
        <v>164</v>
      </c>
      <c r="B16" s="45"/>
      <c r="C16" s="45"/>
      <c r="D16" s="45"/>
      <c r="E16" s="45"/>
    </row>
    <row r="17" spans="1:6" s="5" customFormat="1">
      <c r="A17" s="45"/>
      <c r="B17" s="45"/>
      <c r="C17" s="45"/>
      <c r="D17" s="45"/>
      <c r="E17" s="45"/>
    </row>
    <row r="18" spans="1:6" s="5" customFormat="1" ht="25.5">
      <c r="A18" s="42" t="s">
        <v>142</v>
      </c>
      <c r="B18" s="42" t="s">
        <v>8</v>
      </c>
      <c r="C18" s="42" t="s">
        <v>145</v>
      </c>
      <c r="D18" s="42" t="s">
        <v>146</v>
      </c>
      <c r="E18" s="42" t="s">
        <v>148</v>
      </c>
      <c r="F18" s="42" t="s">
        <v>165</v>
      </c>
    </row>
    <row r="19" spans="1:6" ht="51">
      <c r="A19" s="44" t="s">
        <v>34</v>
      </c>
      <c r="B19" s="44" t="s">
        <v>66</v>
      </c>
      <c r="C19" s="44" t="s">
        <v>299</v>
      </c>
      <c r="D19" s="44" t="s">
        <v>163</v>
      </c>
      <c r="E19" s="44" t="s">
        <v>160</v>
      </c>
      <c r="F19" s="41" t="s">
        <v>284</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AC48"/>
  <sheetViews>
    <sheetView zoomScale="80" zoomScaleNormal="80" workbookViewId="0">
      <selection sqref="A1:K1"/>
    </sheetView>
  </sheetViews>
  <sheetFormatPr defaultRowHeight="18.75"/>
  <cols>
    <col min="1" max="1" width="4.28515625" style="98" customWidth="1"/>
    <col min="2" max="2" width="4.7109375" style="98" customWidth="1"/>
    <col min="3" max="3" width="13.5703125" style="98" customWidth="1"/>
    <col min="4" max="4" width="13.140625"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1.5703125" style="101" customWidth="1"/>
    <col min="22" max="22" width="6.28515625" style="101" customWidth="1"/>
    <col min="23" max="23" width="17.140625" style="102" customWidth="1"/>
    <col min="24" max="24" width="2.140625" style="54" customWidth="1"/>
    <col min="25" max="25" width="11.28515625" style="54" customWidth="1"/>
    <col min="26" max="26" width="11.140625" style="54" customWidth="1"/>
    <col min="27" max="27" width="11.28515625" style="54" bestFit="1" customWidth="1"/>
    <col min="28" max="28" width="9.140625" style="54"/>
    <col min="29" max="16384" width="9.140625" style="50"/>
  </cols>
  <sheetData>
    <row r="1" spans="1:29" ht="20.25" customHeight="1" thickBot="1">
      <c r="A1" s="532" t="s">
        <v>425</v>
      </c>
      <c r="B1" s="533"/>
      <c r="C1" s="533"/>
      <c r="D1" s="533"/>
      <c r="E1" s="533"/>
      <c r="F1" s="533"/>
      <c r="G1" s="533"/>
      <c r="H1" s="533"/>
      <c r="I1" s="533"/>
      <c r="J1" s="533"/>
      <c r="K1" s="533"/>
      <c r="L1" s="530" t="s">
        <v>426</v>
      </c>
      <c r="M1" s="530"/>
      <c r="N1" s="530"/>
      <c r="O1" s="530"/>
      <c r="P1" s="530"/>
      <c r="Q1" s="530"/>
      <c r="R1" s="530"/>
      <c r="S1" s="530"/>
      <c r="T1" s="530"/>
      <c r="U1" s="530"/>
      <c r="V1" s="355" t="s">
        <v>364</v>
      </c>
      <c r="W1" s="445">
        <v>41338</v>
      </c>
    </row>
    <row r="2" spans="1:29" s="54" customFormat="1" ht="6" customHeight="1" thickBot="1">
      <c r="A2" s="51"/>
      <c r="B2" s="51"/>
      <c r="C2" s="51"/>
      <c r="D2" s="51"/>
      <c r="E2" s="51"/>
      <c r="F2" s="51"/>
      <c r="G2" s="51"/>
      <c r="H2" s="51"/>
      <c r="I2" s="51"/>
      <c r="J2" s="52"/>
      <c r="K2" s="52"/>
      <c r="L2" s="52"/>
      <c r="M2" s="52"/>
      <c r="N2" s="52"/>
      <c r="O2" s="53"/>
      <c r="P2" s="53"/>
      <c r="Q2" s="53"/>
      <c r="R2" s="53"/>
      <c r="S2" s="53"/>
      <c r="T2" s="53"/>
      <c r="U2" s="53"/>
      <c r="V2" s="53"/>
      <c r="W2" s="53"/>
    </row>
    <row r="3" spans="1:29" s="54" customFormat="1" ht="19.5" thickBot="1">
      <c r="A3" s="550" t="s">
        <v>203</v>
      </c>
      <c r="B3" s="551"/>
      <c r="C3" s="551"/>
      <c r="D3" s="551"/>
      <c r="E3" s="551"/>
      <c r="F3" s="551"/>
      <c r="G3" s="551"/>
      <c r="H3" s="551"/>
      <c r="I3" s="551"/>
      <c r="J3" s="551"/>
      <c r="K3" s="551"/>
      <c r="L3" s="551"/>
      <c r="M3" s="551"/>
      <c r="N3" s="551"/>
      <c r="O3" s="552"/>
      <c r="P3" s="236"/>
      <c r="Q3" s="689" t="s">
        <v>230</v>
      </c>
      <c r="R3" s="690"/>
      <c r="S3" s="690"/>
      <c r="T3" s="690"/>
      <c r="U3" s="690"/>
      <c r="V3" s="690"/>
      <c r="W3" s="691"/>
      <c r="Y3" s="174" t="s">
        <v>219</v>
      </c>
      <c r="Z3" s="132"/>
      <c r="AC3" s="54" t="s">
        <v>264</v>
      </c>
    </row>
    <row r="4" spans="1:29" s="57" customFormat="1" ht="15.75">
      <c r="A4" s="547" t="s">
        <v>200</v>
      </c>
      <c r="B4" s="544"/>
      <c r="C4" s="544"/>
      <c r="D4" s="548" t="str">
        <f>L1</f>
        <v>RDTR-0313-SPBF004</v>
      </c>
      <c r="E4" s="549"/>
      <c r="F4" s="646" t="s">
        <v>24</v>
      </c>
      <c r="G4" s="543"/>
      <c r="H4" s="187"/>
      <c r="I4" s="751" t="s">
        <v>427</v>
      </c>
      <c r="J4" s="751"/>
      <c r="K4" s="751"/>
      <c r="L4" s="752"/>
      <c r="M4" s="627" t="s">
        <v>226</v>
      </c>
      <c r="N4" s="627"/>
      <c r="O4" s="209">
        <v>70</v>
      </c>
      <c r="P4" s="237"/>
      <c r="Q4" s="702" t="s">
        <v>205</v>
      </c>
      <c r="R4" s="703"/>
      <c r="S4" s="703"/>
      <c r="T4" s="703"/>
      <c r="U4" s="703"/>
      <c r="V4" s="703"/>
      <c r="W4" s="704"/>
      <c r="Y4" s="267" t="s">
        <v>272</v>
      </c>
      <c r="Z4" s="265" t="s">
        <v>273</v>
      </c>
      <c r="AA4" s="265" t="s">
        <v>274</v>
      </c>
      <c r="AC4" s="57" t="s">
        <v>449</v>
      </c>
    </row>
    <row r="5" spans="1:29" s="57" customFormat="1" ht="15.75">
      <c r="A5" s="545" t="s">
        <v>3</v>
      </c>
      <c r="B5" s="546"/>
      <c r="C5" s="546"/>
      <c r="D5" s="566">
        <v>41649</v>
      </c>
      <c r="E5" s="538"/>
      <c r="F5" s="628" t="s">
        <v>213</v>
      </c>
      <c r="G5" s="565"/>
      <c r="H5" s="185"/>
      <c r="I5" s="746" t="s">
        <v>428</v>
      </c>
      <c r="J5" s="746"/>
      <c r="K5" s="746"/>
      <c r="L5" s="747"/>
      <c r="M5" s="629" t="s">
        <v>19</v>
      </c>
      <c r="N5" s="629"/>
      <c r="O5" s="58"/>
      <c r="P5" s="237"/>
      <c r="Q5" s="630" t="s">
        <v>266</v>
      </c>
      <c r="R5" s="631"/>
      <c r="S5" s="631"/>
      <c r="T5" s="631"/>
      <c r="U5" s="631"/>
      <c r="V5" s="631"/>
      <c r="W5" s="632"/>
      <c r="Y5" s="172" t="s">
        <v>27</v>
      </c>
      <c r="Z5" s="176">
        <f>SUMIF($G$16:$G$41,"STATE",$K$16:$K$41)</f>
        <v>207.96</v>
      </c>
      <c r="AA5" s="176">
        <f>SUMIF($G$16:$G$41,"STATE",$S$16:$S$41)</f>
        <v>0</v>
      </c>
    </row>
    <row r="6" spans="1:29" s="57" customFormat="1" ht="16.5" thickBot="1">
      <c r="A6" s="545" t="s">
        <v>11</v>
      </c>
      <c r="B6" s="546"/>
      <c r="C6" s="546"/>
      <c r="D6" s="566">
        <v>41680</v>
      </c>
      <c r="E6" s="639"/>
      <c r="F6" s="628" t="s">
        <v>17</v>
      </c>
      <c r="G6" s="565"/>
      <c r="H6" s="185"/>
      <c r="I6" s="746" t="s">
        <v>281</v>
      </c>
      <c r="J6" s="746"/>
      <c r="K6" s="746"/>
      <c r="L6" s="747"/>
      <c r="M6" s="640" t="s">
        <v>202</v>
      </c>
      <c r="N6" s="640"/>
      <c r="O6" s="212">
        <f>O4+O5*10</f>
        <v>70</v>
      </c>
      <c r="P6" s="237"/>
      <c r="Q6" s="624" t="s">
        <v>207</v>
      </c>
      <c r="R6" s="625"/>
      <c r="S6" s="625"/>
      <c r="T6" s="625"/>
      <c r="U6" s="625"/>
      <c r="V6" s="625"/>
      <c r="W6" s="626"/>
      <c r="Y6" s="172" t="s">
        <v>28</v>
      </c>
      <c r="Z6" s="176">
        <f>SUMIF($G$16:$G$41,"COUNTY",$K$16:$K$41)</f>
        <v>96.039999999999992</v>
      </c>
      <c r="AA6" s="176">
        <f>SUMIF($G$16:$G$41,"COUNTY",$S$16:$S$41)</f>
        <v>0</v>
      </c>
    </row>
    <row r="7" spans="1:29" s="57" customFormat="1" ht="16.5" thickBot="1">
      <c r="A7" s="545" t="s">
        <v>4</v>
      </c>
      <c r="B7" s="546"/>
      <c r="C7" s="546"/>
      <c r="D7" s="503" t="s">
        <v>429</v>
      </c>
      <c r="E7" s="538"/>
      <c r="F7" s="642" t="s">
        <v>18</v>
      </c>
      <c r="G7" s="518"/>
      <c r="H7" s="186"/>
      <c r="I7" s="742" t="s">
        <v>2</v>
      </c>
      <c r="J7" s="742"/>
      <c r="K7" s="742"/>
      <c r="L7" s="757"/>
      <c r="M7" s="234"/>
      <c r="N7" s="240"/>
      <c r="O7" s="235"/>
      <c r="P7" s="237"/>
      <c r="Q7" s="694" t="s">
        <v>204</v>
      </c>
      <c r="R7" s="695"/>
      <c r="S7" s="695"/>
      <c r="T7" s="695"/>
      <c r="U7" s="695"/>
      <c r="V7" s="695"/>
      <c r="W7" s="696"/>
      <c r="Y7" s="172" t="s">
        <v>48</v>
      </c>
      <c r="Z7" s="176">
        <f>SUMIF($G$16:$G$41,"CITY",$K$16:$K$41)</f>
        <v>0</v>
      </c>
      <c r="AA7" s="176">
        <f>SUMIF($G$16:$G$41,"CITY",$S$16:$S$41)</f>
        <v>0</v>
      </c>
    </row>
    <row r="8" spans="1:29" s="57" customFormat="1" ht="15.75" customHeight="1">
      <c r="A8" s="697" t="s">
        <v>50</v>
      </c>
      <c r="B8" s="643"/>
      <c r="C8" s="643"/>
      <c r="D8" s="749">
        <v>1</v>
      </c>
      <c r="E8" s="750"/>
      <c r="F8" s="646" t="s">
        <v>222</v>
      </c>
      <c r="G8" s="543"/>
      <c r="H8" s="187"/>
      <c r="I8" s="751"/>
      <c r="J8" s="751"/>
      <c r="K8" s="751"/>
      <c r="L8" s="752"/>
      <c r="M8" s="647" t="s">
        <v>226</v>
      </c>
      <c r="N8" s="647"/>
      <c r="O8" s="55">
        <v>0</v>
      </c>
      <c r="P8" s="238"/>
      <c r="Q8" s="722" t="s">
        <v>267</v>
      </c>
      <c r="R8" s="611"/>
      <c r="S8" s="611"/>
      <c r="T8" s="611"/>
      <c r="U8" s="611"/>
      <c r="V8" s="611"/>
      <c r="W8" s="723"/>
      <c r="Y8" s="172" t="s">
        <v>199</v>
      </c>
      <c r="Z8" s="176">
        <f>SUMIF($G$16:$G$41,"COURT",$K$16:$K$41)</f>
        <v>0</v>
      </c>
      <c r="AA8" s="176">
        <f>SUMIF($G$16:$G$41,"COURT",$S$16:$S$41)</f>
        <v>0</v>
      </c>
    </row>
    <row r="9" spans="1:29" s="57" customFormat="1" ht="18" customHeight="1" thickBot="1">
      <c r="A9" s="726" t="s">
        <v>49</v>
      </c>
      <c r="B9" s="727"/>
      <c r="C9" s="727"/>
      <c r="D9" s="534">
        <f>100%-D8</f>
        <v>0</v>
      </c>
      <c r="E9" s="535"/>
      <c r="F9" s="628" t="s">
        <v>213</v>
      </c>
      <c r="G9" s="565"/>
      <c r="H9" s="185"/>
      <c r="I9" s="746"/>
      <c r="J9" s="746"/>
      <c r="K9" s="746"/>
      <c r="L9" s="747"/>
      <c r="M9" s="629" t="s">
        <v>19</v>
      </c>
      <c r="N9" s="629"/>
      <c r="O9" s="58"/>
      <c r="P9" s="238"/>
      <c r="Q9" s="724"/>
      <c r="R9" s="614"/>
      <c r="S9" s="614"/>
      <c r="T9" s="614"/>
      <c r="U9" s="614"/>
      <c r="V9" s="614"/>
      <c r="W9" s="725"/>
      <c r="Y9" s="153" t="s">
        <v>339</v>
      </c>
      <c r="Z9" s="176">
        <f>SUMIF($G$16:$G$41,"CNTY or CTY",$K$16:$K$41)</f>
        <v>0</v>
      </c>
      <c r="AA9" s="176">
        <f>SUMIF($G$16:$G$41,"CNTY or CTY",$S$16:$S$41)</f>
        <v>0</v>
      </c>
    </row>
    <row r="10" spans="1:29" s="57" customFormat="1" ht="16.5" customHeight="1" thickBot="1">
      <c r="A10" s="495" t="s">
        <v>241</v>
      </c>
      <c r="B10" s="496"/>
      <c r="C10" s="496"/>
      <c r="D10" s="744">
        <f>O6+O10</f>
        <v>70</v>
      </c>
      <c r="E10" s="745"/>
      <c r="F10" s="628" t="s">
        <v>17</v>
      </c>
      <c r="G10" s="565"/>
      <c r="H10" s="185"/>
      <c r="I10" s="746"/>
      <c r="J10" s="746"/>
      <c r="K10" s="746"/>
      <c r="L10" s="747"/>
      <c r="M10" s="640" t="s">
        <v>202</v>
      </c>
      <c r="N10" s="640"/>
      <c r="O10" s="212">
        <f>O8+O9*10</f>
        <v>0</v>
      </c>
      <c r="P10" s="239"/>
      <c r="Q10" s="708" t="s">
        <v>208</v>
      </c>
      <c r="R10" s="652"/>
      <c r="S10" s="652"/>
      <c r="T10" s="652"/>
      <c r="U10" s="652"/>
      <c r="V10" s="652"/>
      <c r="W10" s="709"/>
      <c r="Y10" s="442" t="s">
        <v>215</v>
      </c>
      <c r="Z10" s="148">
        <f>SUM(Z5:Z9)</f>
        <v>304</v>
      </c>
      <c r="AA10" s="148">
        <f>SUM(AA5:AA9)</f>
        <v>0</v>
      </c>
    </row>
    <row r="11" spans="1:29" s="57" customFormat="1" ht="16.5" customHeight="1" thickBot="1">
      <c r="A11" s="493" t="s">
        <v>242</v>
      </c>
      <c r="B11" s="494"/>
      <c r="C11" s="494"/>
      <c r="D11" s="489">
        <f>ROUNDUP(D10/10,0)</f>
        <v>7</v>
      </c>
      <c r="E11" s="490"/>
      <c r="F11" s="642" t="s">
        <v>18</v>
      </c>
      <c r="G11" s="518"/>
      <c r="H11" s="186"/>
      <c r="I11" s="742"/>
      <c r="J11" s="742"/>
      <c r="K11" s="742"/>
      <c r="L11" s="757"/>
      <c r="M11" s="655" t="s">
        <v>410</v>
      </c>
      <c r="N11" s="656"/>
      <c r="O11" s="415">
        <f>'Local Penalties'!B8</f>
        <v>7</v>
      </c>
      <c r="P11" s="239"/>
      <c r="Q11" s="714" t="s">
        <v>334</v>
      </c>
      <c r="R11" s="715"/>
      <c r="S11" s="715"/>
      <c r="T11" s="715"/>
      <c r="U11" s="715"/>
      <c r="V11" s="715"/>
      <c r="W11" s="716"/>
      <c r="Z11" s="266">
        <f>Z10-K43</f>
        <v>0</v>
      </c>
      <c r="AA11" s="266">
        <f>AA10-S43</f>
        <v>0</v>
      </c>
    </row>
    <row r="12" spans="1:29" s="57" customFormat="1" ht="15.75" customHeight="1" thickBot="1">
      <c r="A12" s="211"/>
      <c r="B12" s="211"/>
      <c r="C12" s="191"/>
      <c r="D12" s="191"/>
      <c r="E12" s="191"/>
      <c r="F12" s="66"/>
      <c r="G12" s="59"/>
      <c r="H12" s="60"/>
      <c r="I12" s="61"/>
      <c r="J12" s="61"/>
      <c r="K12" s="61"/>
      <c r="L12" s="61"/>
      <c r="O12" s="62"/>
      <c r="P12" s="56"/>
      <c r="Q12" s="56"/>
      <c r="R12" s="56"/>
      <c r="S12" s="56"/>
      <c r="T12" s="56"/>
      <c r="U12" s="63"/>
      <c r="V12" s="63"/>
      <c r="W12" s="64"/>
      <c r="AA12" s="65"/>
    </row>
    <row r="13" spans="1:29" s="109" customFormat="1" ht="18.75" customHeight="1" thickBot="1">
      <c r="A13" s="192"/>
      <c r="B13" s="192"/>
      <c r="C13" s="192"/>
      <c r="D13" s="192"/>
      <c r="E13" s="192"/>
      <c r="F13" s="107"/>
      <c r="G13" s="108"/>
      <c r="I13" s="717" t="s">
        <v>261</v>
      </c>
      <c r="J13" s="666"/>
      <c r="K13" s="667"/>
      <c r="L13" s="110"/>
      <c r="M13" s="718" t="s">
        <v>198</v>
      </c>
      <c r="N13" s="669"/>
      <c r="O13" s="670"/>
      <c r="P13" s="111"/>
      <c r="Q13" s="719" t="s">
        <v>260</v>
      </c>
      <c r="R13" s="720"/>
      <c r="S13" s="721"/>
      <c r="T13" s="225"/>
      <c r="U13" s="158"/>
      <c r="V13" s="158"/>
      <c r="W13" s="159"/>
      <c r="X13" s="108"/>
      <c r="Y13" s="108"/>
      <c r="Z13" s="108"/>
      <c r="AA13" s="108"/>
      <c r="AB13" s="108"/>
    </row>
    <row r="14" spans="1:29" ht="44.25" customHeight="1" thickBot="1">
      <c r="A14" s="290">
        <v>0.02</v>
      </c>
      <c r="B14" s="290" t="s">
        <v>54</v>
      </c>
      <c r="C14" s="505" t="s">
        <v>195</v>
      </c>
      <c r="D14" s="506"/>
      <c r="E14" s="506"/>
      <c r="F14" s="507"/>
      <c r="G14" s="289" t="s">
        <v>218</v>
      </c>
      <c r="H14" s="114" t="s">
        <v>0</v>
      </c>
      <c r="I14" s="673" t="s">
        <v>262</v>
      </c>
      <c r="J14" s="671" t="s">
        <v>5</v>
      </c>
      <c r="K14" s="233" t="s">
        <v>263</v>
      </c>
      <c r="L14" s="67"/>
      <c r="M14" s="601" t="s">
        <v>229</v>
      </c>
      <c r="N14" s="602"/>
      <c r="O14" s="288" t="s">
        <v>217</v>
      </c>
      <c r="P14" s="121"/>
      <c r="Q14" s="444" t="s">
        <v>333</v>
      </c>
      <c r="R14" s="671" t="s">
        <v>5</v>
      </c>
      <c r="S14" s="233" t="s">
        <v>263</v>
      </c>
      <c r="T14" s="227"/>
      <c r="U14" s="443" t="s">
        <v>225</v>
      </c>
      <c r="V14" s="633" t="s">
        <v>57</v>
      </c>
      <c r="W14" s="741" t="s">
        <v>301</v>
      </c>
    </row>
    <row r="15" spans="1:29" ht="30.75" customHeight="1" thickBot="1">
      <c r="A15" s="293"/>
      <c r="B15" s="293"/>
      <c r="C15" s="508"/>
      <c r="D15" s="509"/>
      <c r="E15" s="509"/>
      <c r="F15" s="510"/>
      <c r="G15" s="294"/>
      <c r="H15" s="294"/>
      <c r="I15" s="728"/>
      <c r="J15" s="675"/>
      <c r="K15" s="242" t="s">
        <v>38</v>
      </c>
      <c r="L15" s="68"/>
      <c r="M15" s="599"/>
      <c r="N15" s="600"/>
      <c r="O15" s="446" t="s">
        <v>39</v>
      </c>
      <c r="P15" s="121"/>
      <c r="Q15" s="447">
        <f>(Q43)/(I43)</f>
        <v>0</v>
      </c>
      <c r="R15" s="675"/>
      <c r="S15" s="242" t="s">
        <v>40</v>
      </c>
      <c r="T15" s="227"/>
      <c r="U15" s="456" t="s">
        <v>264</v>
      </c>
      <c r="V15" s="634"/>
      <c r="W15" s="638"/>
    </row>
    <row r="16" spans="1:29" s="74" customFormat="1" ht="15.75" hidden="1" customHeight="1" thickTop="1">
      <c r="A16" s="69" t="s">
        <v>7</v>
      </c>
      <c r="B16" s="195"/>
      <c r="C16" s="571"/>
      <c r="D16" s="571"/>
      <c r="E16" s="571"/>
      <c r="F16" s="571"/>
      <c r="G16" s="70"/>
      <c r="H16" s="71"/>
      <c r="I16" s="154"/>
      <c r="J16" s="162"/>
      <c r="K16" s="198"/>
      <c r="L16" s="164"/>
      <c r="M16" s="616"/>
      <c r="N16" s="617"/>
      <c r="O16" s="190"/>
      <c r="P16" s="72"/>
      <c r="Q16" s="160"/>
      <c r="R16" s="162"/>
      <c r="S16" s="166"/>
      <c r="T16" s="228"/>
      <c r="U16" s="181"/>
      <c r="V16" s="181"/>
      <c r="W16" s="105"/>
      <c r="X16" s="125"/>
      <c r="Y16" s="125"/>
      <c r="Z16" s="125"/>
      <c r="AA16" s="125"/>
      <c r="AB16" s="125"/>
    </row>
    <row r="17" spans="1:28" s="74" customFormat="1" ht="15.75" hidden="1" thickBot="1">
      <c r="A17" s="69" t="s">
        <v>7</v>
      </c>
      <c r="B17" s="260"/>
      <c r="C17" s="528"/>
      <c r="D17" s="585"/>
      <c r="E17" s="585"/>
      <c r="F17" s="586"/>
      <c r="G17" s="76"/>
      <c r="H17" s="77"/>
      <c r="I17" s="156"/>
      <c r="J17" s="162"/>
      <c r="K17" s="167"/>
      <c r="L17" s="164"/>
      <c r="M17" s="528"/>
      <c r="N17" s="529"/>
      <c r="O17" s="287"/>
      <c r="P17" s="72"/>
      <c r="Q17" s="160"/>
      <c r="R17" s="162"/>
      <c r="S17" s="167"/>
      <c r="T17" s="228"/>
      <c r="U17" s="181"/>
      <c r="V17" s="181"/>
      <c r="W17" s="73"/>
      <c r="X17" s="125"/>
      <c r="Y17" s="125"/>
      <c r="Z17" s="125"/>
      <c r="AA17" s="125"/>
      <c r="AB17" s="125"/>
    </row>
    <row r="18" spans="1:28" s="74" customFormat="1" ht="15.75" hidden="1" thickTop="1">
      <c r="A18" s="69" t="s">
        <v>7</v>
      </c>
      <c r="B18" s="260"/>
      <c r="C18" s="571"/>
      <c r="D18" s="571"/>
      <c r="E18" s="571"/>
      <c r="F18" s="571"/>
      <c r="G18" s="448"/>
      <c r="H18" s="77"/>
      <c r="I18" s="156"/>
      <c r="J18" s="162"/>
      <c r="K18" s="167"/>
      <c r="L18" s="164"/>
      <c r="M18" s="528"/>
      <c r="N18" s="529"/>
      <c r="O18" s="190"/>
      <c r="P18" s="72"/>
      <c r="Q18" s="160"/>
      <c r="R18" s="162"/>
      <c r="S18" s="167"/>
      <c r="T18" s="228"/>
      <c r="U18" s="181"/>
      <c r="V18" s="181"/>
      <c r="W18" s="73"/>
      <c r="X18" s="125"/>
      <c r="Y18" s="125"/>
      <c r="Z18" s="125"/>
      <c r="AA18" s="125"/>
      <c r="AB18" s="125"/>
    </row>
    <row r="19" spans="1:28" s="74" customFormat="1" ht="15">
      <c r="A19" s="69" t="s">
        <v>7</v>
      </c>
      <c r="B19" s="664" t="s">
        <v>210</v>
      </c>
      <c r="C19" s="517" t="s">
        <v>181</v>
      </c>
      <c r="D19" s="517"/>
      <c r="E19" s="517"/>
      <c r="F19" s="517"/>
      <c r="G19" s="439" t="s">
        <v>28</v>
      </c>
      <c r="H19" s="77" t="s">
        <v>23</v>
      </c>
      <c r="I19" s="155">
        <f>(D10-SUM(I16:I18))*D8</f>
        <v>70</v>
      </c>
      <c r="J19" s="162">
        <f>IF(A19="Y",I19* 2%,0)</f>
        <v>1.4000000000000001</v>
      </c>
      <c r="K19" s="167">
        <f>I19-J19</f>
        <v>68.599999999999994</v>
      </c>
      <c r="L19" s="164"/>
      <c r="M19" s="528" t="s">
        <v>430</v>
      </c>
      <c r="N19" s="529"/>
      <c r="O19" s="78"/>
      <c r="P19" s="72"/>
      <c r="Q19" s="160">
        <f t="shared" ref="Q19:Q40" si="0">IF($Q$43=0,,I19*$Q$15)</f>
        <v>0</v>
      </c>
      <c r="R19" s="162">
        <f t="shared" ref="R19:R34" si="1">IF(A19="Y", Q19*2%,)</f>
        <v>0</v>
      </c>
      <c r="S19" s="167">
        <f t="shared" ref="S19:S40" si="2">Q19-R19</f>
        <v>0</v>
      </c>
      <c r="T19" s="228"/>
      <c r="U19" s="181">
        <f t="shared" ref="U19:U34" si="3">IF($U$15="BASE-UP   (B-A)", O19-K19,O19-S19)</f>
        <v>-68.599999999999994</v>
      </c>
      <c r="V19" s="738"/>
      <c r="W19" s="73"/>
      <c r="X19" s="125"/>
      <c r="Y19" s="125"/>
      <c r="Z19" s="125"/>
      <c r="AA19" s="125"/>
      <c r="AB19" s="125"/>
    </row>
    <row r="20" spans="1:28" s="74" customFormat="1" ht="15">
      <c r="A20" s="69" t="s">
        <v>7</v>
      </c>
      <c r="B20" s="665"/>
      <c r="C20" s="517" t="s">
        <v>182</v>
      </c>
      <c r="D20" s="517"/>
      <c r="E20" s="517"/>
      <c r="F20" s="517"/>
      <c r="G20" s="439" t="s">
        <v>48</v>
      </c>
      <c r="H20" s="77" t="s">
        <v>21</v>
      </c>
      <c r="I20" s="155">
        <f>(D10-SUM(I16:I18))*D9</f>
        <v>0</v>
      </c>
      <c r="J20" s="162">
        <f t="shared" ref="J20:J34" si="4">IF(A20="Y",I20* 2%,0)</f>
        <v>0</v>
      </c>
      <c r="K20" s="167">
        <f t="shared" ref="K20:K33" si="5">I20-J20</f>
        <v>0</v>
      </c>
      <c r="L20" s="164"/>
      <c r="M20" s="528"/>
      <c r="N20" s="529"/>
      <c r="O20" s="78"/>
      <c r="P20" s="72"/>
      <c r="Q20" s="160">
        <f t="shared" si="0"/>
        <v>0</v>
      </c>
      <c r="R20" s="162">
        <f t="shared" si="1"/>
        <v>0</v>
      </c>
      <c r="S20" s="167">
        <f t="shared" si="2"/>
        <v>0</v>
      </c>
      <c r="T20" s="228"/>
      <c r="U20" s="181">
        <f t="shared" si="3"/>
        <v>0</v>
      </c>
      <c r="V20" s="739"/>
      <c r="W20" s="73"/>
      <c r="X20" s="125"/>
      <c r="Y20" s="125"/>
      <c r="Z20" s="125"/>
      <c r="AA20" s="125"/>
      <c r="AB20" s="125"/>
    </row>
    <row r="21" spans="1:28" s="74" customFormat="1" ht="15">
      <c r="A21" s="69" t="s">
        <v>7</v>
      </c>
      <c r="B21" s="75">
        <v>7</v>
      </c>
      <c r="C21" s="517" t="s">
        <v>183</v>
      </c>
      <c r="D21" s="517"/>
      <c r="E21" s="517"/>
      <c r="F21" s="517"/>
      <c r="G21" s="439" t="s">
        <v>27</v>
      </c>
      <c r="H21" s="77" t="s">
        <v>22</v>
      </c>
      <c r="I21" s="155">
        <f>$D$11*B21</f>
        <v>49</v>
      </c>
      <c r="J21" s="162">
        <f t="shared" si="4"/>
        <v>0.98</v>
      </c>
      <c r="K21" s="167">
        <f t="shared" si="5"/>
        <v>48.02</v>
      </c>
      <c r="L21" s="164"/>
      <c r="M21" s="528" t="s">
        <v>431</v>
      </c>
      <c r="N21" s="529"/>
      <c r="O21" s="449"/>
      <c r="P21" s="81"/>
      <c r="Q21" s="160">
        <f t="shared" si="0"/>
        <v>0</v>
      </c>
      <c r="R21" s="162">
        <f t="shared" si="1"/>
        <v>0</v>
      </c>
      <c r="S21" s="167">
        <f t="shared" si="2"/>
        <v>0</v>
      </c>
      <c r="T21" s="228"/>
      <c r="U21" s="181">
        <f t="shared" si="3"/>
        <v>-48.02</v>
      </c>
      <c r="V21" s="739"/>
      <c r="W21" s="73"/>
      <c r="X21" s="125"/>
      <c r="Y21" s="125"/>
      <c r="Z21" s="125"/>
      <c r="AA21" s="125"/>
      <c r="AB21" s="125"/>
    </row>
    <row r="22" spans="1:28" s="74" customFormat="1" ht="15">
      <c r="A22" s="69" t="s">
        <v>7</v>
      </c>
      <c r="B22" s="75">
        <v>3</v>
      </c>
      <c r="C22" s="528" t="s">
        <v>184</v>
      </c>
      <c r="D22" s="585"/>
      <c r="E22" s="585"/>
      <c r="F22" s="586"/>
      <c r="G22" s="439" t="s">
        <v>28</v>
      </c>
      <c r="H22" s="77" t="s">
        <v>23</v>
      </c>
      <c r="I22" s="155">
        <f t="shared" ref="I22:I33" si="6">$D$11*B22</f>
        <v>21</v>
      </c>
      <c r="J22" s="162">
        <f t="shared" si="4"/>
        <v>0.42</v>
      </c>
      <c r="K22" s="167">
        <f t="shared" si="5"/>
        <v>20.58</v>
      </c>
      <c r="L22" s="164"/>
      <c r="M22" s="528" t="s">
        <v>432</v>
      </c>
      <c r="N22" s="529"/>
      <c r="O22" s="78"/>
      <c r="P22" s="72"/>
      <c r="Q22" s="160">
        <f t="shared" si="0"/>
        <v>0</v>
      </c>
      <c r="R22" s="162">
        <f t="shared" si="1"/>
        <v>0</v>
      </c>
      <c r="S22" s="167">
        <f t="shared" si="2"/>
        <v>0</v>
      </c>
      <c r="T22" s="228"/>
      <c r="U22" s="181">
        <f t="shared" si="3"/>
        <v>-20.58</v>
      </c>
      <c r="V22" s="739"/>
      <c r="W22" s="73"/>
      <c r="X22" s="125"/>
      <c r="Y22" s="125"/>
      <c r="Z22" s="125"/>
      <c r="AA22" s="125"/>
      <c r="AB22" s="125"/>
    </row>
    <row r="23" spans="1:28" s="74" customFormat="1" ht="30">
      <c r="A23" s="69" t="s">
        <v>7</v>
      </c>
      <c r="B23" s="75">
        <v>1</v>
      </c>
      <c r="C23" s="528" t="s">
        <v>185</v>
      </c>
      <c r="D23" s="585"/>
      <c r="E23" s="585"/>
      <c r="F23" s="586"/>
      <c r="G23" s="439" t="s">
        <v>28</v>
      </c>
      <c r="H23" s="77" t="s">
        <v>51</v>
      </c>
      <c r="I23" s="155">
        <f t="shared" si="6"/>
        <v>7</v>
      </c>
      <c r="J23" s="162">
        <f t="shared" si="4"/>
        <v>0.14000000000000001</v>
      </c>
      <c r="K23" s="167">
        <f t="shared" si="5"/>
        <v>6.86</v>
      </c>
      <c r="L23" s="164"/>
      <c r="M23" s="528" t="s">
        <v>433</v>
      </c>
      <c r="N23" s="529"/>
      <c r="O23" s="78"/>
      <c r="P23" s="72"/>
      <c r="Q23" s="160">
        <f t="shared" si="0"/>
        <v>0</v>
      </c>
      <c r="R23" s="162">
        <f t="shared" si="1"/>
        <v>0</v>
      </c>
      <c r="S23" s="167">
        <f t="shared" si="2"/>
        <v>0</v>
      </c>
      <c r="T23" s="228"/>
      <c r="U23" s="181">
        <f t="shared" si="3"/>
        <v>-6.86</v>
      </c>
      <c r="V23" s="739"/>
      <c r="W23" s="82"/>
      <c r="X23" s="125"/>
      <c r="Y23" s="125"/>
      <c r="Z23" s="125"/>
      <c r="AA23" s="125"/>
      <c r="AB23" s="125"/>
    </row>
    <row r="24" spans="1:28" s="74" customFormat="1" ht="15">
      <c r="A24" s="69" t="s">
        <v>7</v>
      </c>
      <c r="B24" s="75">
        <v>4</v>
      </c>
      <c r="C24" s="528" t="s">
        <v>351</v>
      </c>
      <c r="D24" s="585"/>
      <c r="E24" s="585"/>
      <c r="F24" s="586"/>
      <c r="G24" s="439" t="s">
        <v>27</v>
      </c>
      <c r="H24" s="77" t="s">
        <v>65</v>
      </c>
      <c r="I24" s="155">
        <f t="shared" si="6"/>
        <v>28</v>
      </c>
      <c r="J24" s="162">
        <f t="shared" si="4"/>
        <v>0.56000000000000005</v>
      </c>
      <c r="K24" s="167">
        <f t="shared" si="5"/>
        <v>27.44</v>
      </c>
      <c r="L24" s="164"/>
      <c r="M24" s="528" t="s">
        <v>434</v>
      </c>
      <c r="N24" s="529"/>
      <c r="O24" s="78"/>
      <c r="P24" s="72"/>
      <c r="Q24" s="160">
        <f t="shared" si="0"/>
        <v>0</v>
      </c>
      <c r="R24" s="162">
        <f t="shared" si="1"/>
        <v>0</v>
      </c>
      <c r="S24" s="167">
        <f t="shared" si="2"/>
        <v>0</v>
      </c>
      <c r="T24" s="228"/>
      <c r="U24" s="181">
        <f t="shared" si="3"/>
        <v>-27.44</v>
      </c>
      <c r="V24" s="739"/>
      <c r="W24" s="450"/>
      <c r="X24" s="125"/>
      <c r="Y24" s="125"/>
      <c r="Z24" s="125"/>
      <c r="AA24" s="125"/>
      <c r="AB24" s="125"/>
    </row>
    <row r="25" spans="1:28" s="74" customFormat="1" ht="30" customHeight="1">
      <c r="A25" s="69" t="s">
        <v>7</v>
      </c>
      <c r="B25" s="397">
        <f>'Local Penalties'!B9</f>
        <v>0</v>
      </c>
      <c r="C25" s="517" t="s">
        <v>186</v>
      </c>
      <c r="D25" s="517"/>
      <c r="E25" s="679" t="str">
        <f>IF(SUM(B25:B29)=O11,"GC 76000 PA ($" &amp;O11 &amp; " for every 10) breakdown per local board of supervisor resolution (BOS).","ERROR! GC 76000 PA total is not $" &amp;O11&amp; ". Check Court's board resolution.")</f>
        <v>ERROR! GC 76000 PA total is not $7. Check Court's board resolution.</v>
      </c>
      <c r="F25" s="680"/>
      <c r="G25" s="439" t="s">
        <v>28</v>
      </c>
      <c r="H25" s="77" t="s">
        <v>60</v>
      </c>
      <c r="I25" s="155">
        <f t="shared" si="6"/>
        <v>0</v>
      </c>
      <c r="J25" s="162">
        <f t="shared" si="4"/>
        <v>0</v>
      </c>
      <c r="K25" s="167">
        <f t="shared" si="5"/>
        <v>0</v>
      </c>
      <c r="L25" s="164"/>
      <c r="M25" s="528" t="s">
        <v>435</v>
      </c>
      <c r="N25" s="529"/>
      <c r="O25" s="78"/>
      <c r="P25" s="72"/>
      <c r="Q25" s="160">
        <f t="shared" si="0"/>
        <v>0</v>
      </c>
      <c r="R25" s="162">
        <f t="shared" si="1"/>
        <v>0</v>
      </c>
      <c r="S25" s="167">
        <f t="shared" si="2"/>
        <v>0</v>
      </c>
      <c r="T25" s="228"/>
      <c r="U25" s="181">
        <f t="shared" si="3"/>
        <v>0</v>
      </c>
      <c r="V25" s="739"/>
      <c r="W25" s="82"/>
      <c r="X25" s="125"/>
      <c r="Y25" s="125"/>
      <c r="Z25" s="125"/>
      <c r="AA25" s="125"/>
      <c r="AB25" s="125"/>
    </row>
    <row r="26" spans="1:28" s="74" customFormat="1" ht="30">
      <c r="A26" s="69" t="s">
        <v>7</v>
      </c>
      <c r="B26" s="397">
        <f>'Local Penalties'!B10</f>
        <v>0</v>
      </c>
      <c r="C26" s="517" t="s">
        <v>187</v>
      </c>
      <c r="D26" s="517"/>
      <c r="E26" s="681"/>
      <c r="F26" s="682"/>
      <c r="G26" s="439" t="s">
        <v>28</v>
      </c>
      <c r="H26" s="77" t="s">
        <v>31</v>
      </c>
      <c r="I26" s="155">
        <f t="shared" si="6"/>
        <v>0</v>
      </c>
      <c r="J26" s="162">
        <f t="shared" si="4"/>
        <v>0</v>
      </c>
      <c r="K26" s="167">
        <f t="shared" si="5"/>
        <v>0</v>
      </c>
      <c r="L26" s="164"/>
      <c r="M26" s="528" t="s">
        <v>436</v>
      </c>
      <c r="N26" s="529"/>
      <c r="O26" s="78"/>
      <c r="P26" s="72"/>
      <c r="Q26" s="160">
        <f t="shared" si="0"/>
        <v>0</v>
      </c>
      <c r="R26" s="162">
        <f t="shared" si="1"/>
        <v>0</v>
      </c>
      <c r="S26" s="167">
        <f t="shared" si="2"/>
        <v>0</v>
      </c>
      <c r="T26" s="228"/>
      <c r="U26" s="181">
        <f t="shared" si="3"/>
        <v>0</v>
      </c>
      <c r="V26" s="739"/>
      <c r="W26" s="82"/>
      <c r="X26" s="125"/>
      <c r="Y26" s="125"/>
      <c r="Z26" s="125"/>
      <c r="AA26" s="125"/>
      <c r="AB26" s="125"/>
    </row>
    <row r="27" spans="1:28" s="74" customFormat="1" ht="30">
      <c r="A27" s="69" t="s">
        <v>7</v>
      </c>
      <c r="B27" s="397">
        <f>'Local Penalties'!B11</f>
        <v>0</v>
      </c>
      <c r="C27" s="517" t="s">
        <v>188</v>
      </c>
      <c r="D27" s="517"/>
      <c r="E27" s="681"/>
      <c r="F27" s="682"/>
      <c r="G27" s="439" t="s">
        <v>28</v>
      </c>
      <c r="H27" s="77" t="s">
        <v>61</v>
      </c>
      <c r="I27" s="155">
        <f t="shared" si="6"/>
        <v>0</v>
      </c>
      <c r="J27" s="162">
        <f t="shared" si="4"/>
        <v>0</v>
      </c>
      <c r="K27" s="167">
        <f t="shared" si="5"/>
        <v>0</v>
      </c>
      <c r="L27" s="164"/>
      <c r="M27" s="528" t="s">
        <v>437</v>
      </c>
      <c r="N27" s="529"/>
      <c r="O27" s="78"/>
      <c r="P27" s="72"/>
      <c r="Q27" s="160">
        <f t="shared" si="0"/>
        <v>0</v>
      </c>
      <c r="R27" s="162">
        <f t="shared" si="1"/>
        <v>0</v>
      </c>
      <c r="S27" s="167">
        <f t="shared" si="2"/>
        <v>0</v>
      </c>
      <c r="T27" s="228"/>
      <c r="U27" s="181">
        <f t="shared" si="3"/>
        <v>0</v>
      </c>
      <c r="V27" s="739"/>
      <c r="W27" s="82"/>
      <c r="X27" s="125"/>
      <c r="Y27" s="125"/>
      <c r="Z27" s="125"/>
      <c r="AA27" s="125"/>
      <c r="AB27" s="125"/>
    </row>
    <row r="28" spans="1:28" s="74" customFormat="1" ht="30">
      <c r="A28" s="69" t="s">
        <v>7</v>
      </c>
      <c r="B28" s="397">
        <f>'Local Penalties'!B12</f>
        <v>0</v>
      </c>
      <c r="C28" s="517" t="s">
        <v>308</v>
      </c>
      <c r="D28" s="517"/>
      <c r="E28" s="681"/>
      <c r="F28" s="682"/>
      <c r="G28" s="439" t="s">
        <v>28</v>
      </c>
      <c r="H28" s="77" t="s">
        <v>61</v>
      </c>
      <c r="I28" s="155">
        <f>$D$11*B28</f>
        <v>0</v>
      </c>
      <c r="J28" s="162">
        <f>IF(A28="Y",I28* 2%,0)</f>
        <v>0</v>
      </c>
      <c r="K28" s="167">
        <f>I28-J28</f>
        <v>0</v>
      </c>
      <c r="L28" s="164"/>
      <c r="M28" s="528" t="s">
        <v>438</v>
      </c>
      <c r="N28" s="529"/>
      <c r="O28" s="78"/>
      <c r="P28" s="72"/>
      <c r="Q28" s="160">
        <f t="shared" si="0"/>
        <v>0</v>
      </c>
      <c r="R28" s="162">
        <f>IF(A28="Y", Q28*2%,)</f>
        <v>0</v>
      </c>
      <c r="S28" s="167">
        <f>Q28-R28</f>
        <v>0</v>
      </c>
      <c r="T28" s="228"/>
      <c r="U28" s="181">
        <f>IF($U$15="BASE-UP   (B-A)", O28-K28,O28-S28)</f>
        <v>0</v>
      </c>
      <c r="V28" s="739"/>
      <c r="W28" s="82"/>
      <c r="X28" s="125"/>
      <c r="Y28" s="125"/>
      <c r="Z28" s="125"/>
      <c r="AA28" s="125"/>
      <c r="AB28" s="125"/>
    </row>
    <row r="29" spans="1:28" s="74" customFormat="1" ht="15">
      <c r="A29" s="69" t="s">
        <v>7</v>
      </c>
      <c r="B29" s="397">
        <f>'Local Penalties'!B13</f>
        <v>0</v>
      </c>
      <c r="C29" s="517" t="s">
        <v>223</v>
      </c>
      <c r="D29" s="517"/>
      <c r="E29" s="683"/>
      <c r="F29" s="684"/>
      <c r="G29" s="439" t="s">
        <v>28</v>
      </c>
      <c r="H29" s="77"/>
      <c r="I29" s="155">
        <f t="shared" si="6"/>
        <v>0</v>
      </c>
      <c r="J29" s="162">
        <f t="shared" si="4"/>
        <v>0</v>
      </c>
      <c r="K29" s="167">
        <f t="shared" si="5"/>
        <v>0</v>
      </c>
      <c r="L29" s="164"/>
      <c r="M29" s="528" t="s">
        <v>439</v>
      </c>
      <c r="N29" s="529"/>
      <c r="O29" s="78"/>
      <c r="P29" s="72"/>
      <c r="Q29" s="160">
        <f t="shared" si="0"/>
        <v>0</v>
      </c>
      <c r="R29" s="162">
        <f t="shared" si="1"/>
        <v>0</v>
      </c>
      <c r="S29" s="167">
        <f t="shared" si="2"/>
        <v>0</v>
      </c>
      <c r="T29" s="228"/>
      <c r="U29" s="181">
        <f t="shared" si="3"/>
        <v>0</v>
      </c>
      <c r="V29" s="739"/>
      <c r="W29" s="82"/>
      <c r="X29" s="125"/>
      <c r="Y29" s="125"/>
      <c r="Z29" s="125"/>
      <c r="AA29" s="125"/>
      <c r="AB29" s="125"/>
    </row>
    <row r="30" spans="1:28" s="85" customFormat="1" ht="15">
      <c r="A30" s="69" t="s">
        <v>7</v>
      </c>
      <c r="B30" s="397">
        <f>'Local Penalties'!B16</f>
        <v>0</v>
      </c>
      <c r="C30" s="499" t="s">
        <v>251</v>
      </c>
      <c r="D30" s="500"/>
      <c r="E30" s="500"/>
      <c r="F30" s="577"/>
      <c r="G30" s="337" t="s">
        <v>28</v>
      </c>
      <c r="H30" s="84" t="s">
        <v>32</v>
      </c>
      <c r="I30" s="155">
        <f t="shared" si="6"/>
        <v>0</v>
      </c>
      <c r="J30" s="162">
        <f t="shared" si="4"/>
        <v>0</v>
      </c>
      <c r="K30" s="167">
        <f t="shared" si="5"/>
        <v>0</v>
      </c>
      <c r="L30" s="164"/>
      <c r="M30" s="528" t="s">
        <v>440</v>
      </c>
      <c r="N30" s="529"/>
      <c r="O30" s="78"/>
      <c r="P30" s="72"/>
      <c r="Q30" s="160">
        <f t="shared" si="0"/>
        <v>0</v>
      </c>
      <c r="R30" s="162">
        <f t="shared" si="1"/>
        <v>0</v>
      </c>
      <c r="S30" s="167">
        <f t="shared" si="2"/>
        <v>0</v>
      </c>
      <c r="T30" s="228"/>
      <c r="U30" s="181">
        <f t="shared" si="3"/>
        <v>0</v>
      </c>
      <c r="V30" s="739"/>
      <c r="W30" s="82"/>
      <c r="X30" s="127"/>
      <c r="Y30" s="127"/>
      <c r="Z30" s="127"/>
      <c r="AA30" s="127"/>
      <c r="AB30" s="127"/>
    </row>
    <row r="31" spans="1:28" s="85" customFormat="1" ht="15">
      <c r="A31" s="69" t="s">
        <v>7</v>
      </c>
      <c r="B31" s="75"/>
      <c r="C31" s="499" t="s">
        <v>302</v>
      </c>
      <c r="D31" s="500"/>
      <c r="E31" s="500"/>
      <c r="F31" s="577"/>
      <c r="G31" s="337" t="s">
        <v>27</v>
      </c>
      <c r="H31" s="91" t="s">
        <v>35</v>
      </c>
      <c r="I31" s="204">
        <v>4</v>
      </c>
      <c r="J31" s="162">
        <f>IF(A31="Y", I31*2%,0)</f>
        <v>0.08</v>
      </c>
      <c r="K31" s="167">
        <f>I31-J31</f>
        <v>3.92</v>
      </c>
      <c r="L31" s="164"/>
      <c r="M31" s="528" t="s">
        <v>441</v>
      </c>
      <c r="N31" s="529"/>
      <c r="O31" s="78"/>
      <c r="P31" s="72"/>
      <c r="Q31" s="155">
        <f t="shared" si="0"/>
        <v>0</v>
      </c>
      <c r="R31" s="162">
        <f>IF(A31="Y", Q31*2%,)</f>
        <v>0</v>
      </c>
      <c r="S31" s="167">
        <f>Q31-R31</f>
        <v>0</v>
      </c>
      <c r="T31" s="228"/>
      <c r="U31" s="181">
        <f>IF($U$15="BASE-UP   (B-A)", O31-K31,O31-S31)</f>
        <v>-3.92</v>
      </c>
      <c r="V31" s="739"/>
      <c r="W31" s="82"/>
      <c r="X31" s="127"/>
      <c r="Y31" s="127"/>
      <c r="Z31" s="127"/>
      <c r="AA31" s="127"/>
      <c r="AB31" s="127"/>
    </row>
    <row r="32" spans="1:28" s="74" customFormat="1" ht="17.25" customHeight="1">
      <c r="A32" s="69" t="s">
        <v>7</v>
      </c>
      <c r="B32" s="397">
        <f>'Local Penalties'!B17</f>
        <v>0</v>
      </c>
      <c r="C32" s="499" t="s">
        <v>403</v>
      </c>
      <c r="D32" s="500"/>
      <c r="E32" s="577"/>
      <c r="F32" s="497" t="s">
        <v>246</v>
      </c>
      <c r="G32" s="337" t="s">
        <v>27</v>
      </c>
      <c r="H32" s="84" t="s">
        <v>33</v>
      </c>
      <c r="I32" s="155">
        <f t="shared" si="6"/>
        <v>0</v>
      </c>
      <c r="J32" s="162">
        <f t="shared" si="4"/>
        <v>0</v>
      </c>
      <c r="K32" s="167">
        <f t="shared" si="5"/>
        <v>0</v>
      </c>
      <c r="L32" s="164"/>
      <c r="M32" s="528" t="s">
        <v>442</v>
      </c>
      <c r="N32" s="529"/>
      <c r="O32" s="78"/>
      <c r="P32" s="72"/>
      <c r="Q32" s="160">
        <f t="shared" si="0"/>
        <v>0</v>
      </c>
      <c r="R32" s="162">
        <f t="shared" si="1"/>
        <v>0</v>
      </c>
      <c r="S32" s="167">
        <f t="shared" si="2"/>
        <v>0</v>
      </c>
      <c r="T32" s="228"/>
      <c r="U32" s="181">
        <f t="shared" si="3"/>
        <v>0</v>
      </c>
      <c r="V32" s="739"/>
      <c r="W32" s="82"/>
      <c r="X32" s="125"/>
      <c r="Y32" s="125"/>
      <c r="Z32" s="125"/>
      <c r="AA32" s="125"/>
      <c r="AB32" s="125"/>
    </row>
    <row r="33" spans="1:28" s="74" customFormat="1" ht="15">
      <c r="A33" s="69" t="s">
        <v>7</v>
      </c>
      <c r="B33" s="179">
        <f>5-B32</f>
        <v>5</v>
      </c>
      <c r="C33" s="499" t="s">
        <v>404</v>
      </c>
      <c r="D33" s="500"/>
      <c r="E33" s="577"/>
      <c r="F33" s="498"/>
      <c r="G33" s="337" t="s">
        <v>27</v>
      </c>
      <c r="H33" s="84" t="s">
        <v>166</v>
      </c>
      <c r="I33" s="155">
        <f t="shared" si="6"/>
        <v>35</v>
      </c>
      <c r="J33" s="162">
        <f t="shared" si="4"/>
        <v>0.70000000000000007</v>
      </c>
      <c r="K33" s="167">
        <f t="shared" si="5"/>
        <v>34.299999999999997</v>
      </c>
      <c r="L33" s="164"/>
      <c r="M33" s="528" t="s">
        <v>443</v>
      </c>
      <c r="N33" s="529"/>
      <c r="O33" s="78"/>
      <c r="P33" s="72"/>
      <c r="Q33" s="160">
        <f t="shared" si="0"/>
        <v>0</v>
      </c>
      <c r="R33" s="162">
        <f t="shared" si="1"/>
        <v>0</v>
      </c>
      <c r="S33" s="167">
        <f t="shared" si="2"/>
        <v>0</v>
      </c>
      <c r="T33" s="228"/>
      <c r="U33" s="181">
        <f t="shared" si="3"/>
        <v>-34.299999999999997</v>
      </c>
      <c r="V33" s="739"/>
      <c r="W33" s="82"/>
      <c r="X33" s="125"/>
      <c r="Y33" s="125"/>
      <c r="Z33" s="125"/>
      <c r="AA33" s="125"/>
      <c r="AB33" s="125"/>
    </row>
    <row r="34" spans="1:28" s="85" customFormat="1" ht="15">
      <c r="A34" s="69" t="s">
        <v>6</v>
      </c>
      <c r="B34" s="75"/>
      <c r="C34" s="499" t="s">
        <v>189</v>
      </c>
      <c r="D34" s="500"/>
      <c r="E34" s="500"/>
      <c r="F34" s="577"/>
      <c r="G34" s="337" t="s">
        <v>27</v>
      </c>
      <c r="H34" s="84" t="s">
        <v>9</v>
      </c>
      <c r="I34" s="155">
        <f>$D$10*20%</f>
        <v>14</v>
      </c>
      <c r="J34" s="162">
        <f t="shared" si="4"/>
        <v>0</v>
      </c>
      <c r="K34" s="167">
        <f>I34-J34</f>
        <v>14</v>
      </c>
      <c r="L34" s="164"/>
      <c r="M34" s="528" t="s">
        <v>444</v>
      </c>
      <c r="N34" s="529"/>
      <c r="O34" s="78"/>
      <c r="P34" s="72"/>
      <c r="Q34" s="160">
        <f t="shared" si="0"/>
        <v>0</v>
      </c>
      <c r="R34" s="162">
        <f t="shared" si="1"/>
        <v>0</v>
      </c>
      <c r="S34" s="167">
        <f t="shared" si="2"/>
        <v>0</v>
      </c>
      <c r="T34" s="228"/>
      <c r="U34" s="181">
        <f t="shared" si="3"/>
        <v>-14</v>
      </c>
      <c r="V34" s="739"/>
      <c r="W34" s="82"/>
      <c r="X34" s="127"/>
      <c r="Y34" s="127"/>
      <c r="Z34" s="127"/>
      <c r="AA34" s="127"/>
      <c r="AB34" s="127"/>
    </row>
    <row r="35" spans="1:28" s="90" customFormat="1" ht="15">
      <c r="A35" s="69"/>
      <c r="B35" s="86"/>
      <c r="C35" s="574" t="s">
        <v>190</v>
      </c>
      <c r="D35" s="575"/>
      <c r="E35" s="575"/>
      <c r="F35" s="576"/>
      <c r="G35" s="338"/>
      <c r="H35" s="88"/>
      <c r="I35" s="157">
        <f>SUM(I16:I34)</f>
        <v>228</v>
      </c>
      <c r="J35" s="162"/>
      <c r="K35" s="168">
        <f>SUM(K16:K34)</f>
        <v>223.71999999999997</v>
      </c>
      <c r="L35" s="165"/>
      <c r="M35" s="499"/>
      <c r="N35" s="584"/>
      <c r="O35" s="184"/>
      <c r="P35" s="122"/>
      <c r="Q35" s="157">
        <f>IF($Q$43=0,,Q43-SUM(Q36:Q40))</f>
        <v>0</v>
      </c>
      <c r="R35" s="162"/>
      <c r="S35" s="168">
        <f>SUM(S16:S34)</f>
        <v>0</v>
      </c>
      <c r="T35" s="229"/>
      <c r="U35" s="181">
        <f>SUM(U16:U34)</f>
        <v>-223.71999999999997</v>
      </c>
      <c r="V35" s="739"/>
      <c r="W35" s="89"/>
      <c r="X35" s="143"/>
      <c r="Y35" s="143"/>
      <c r="Z35" s="143"/>
      <c r="AA35" s="143"/>
      <c r="AB35" s="143"/>
    </row>
    <row r="36" spans="1:28" s="85" customFormat="1" ht="15">
      <c r="A36" s="69" t="s">
        <v>6</v>
      </c>
      <c r="B36" s="75"/>
      <c r="C36" s="499" t="s">
        <v>325</v>
      </c>
      <c r="D36" s="500"/>
      <c r="E36" s="500"/>
      <c r="F36" s="577"/>
      <c r="G36" s="337" t="s">
        <v>27</v>
      </c>
      <c r="H36" s="91"/>
      <c r="I36" s="204">
        <v>40</v>
      </c>
      <c r="J36" s="162">
        <f>IF(A36="Y", I36*2%,0)</f>
        <v>0</v>
      </c>
      <c r="K36" s="167">
        <f>I36-J36</f>
        <v>40</v>
      </c>
      <c r="L36" s="164"/>
      <c r="M36" s="440" t="s">
        <v>445</v>
      </c>
      <c r="N36" s="441"/>
      <c r="O36" s="78"/>
      <c r="P36" s="72"/>
      <c r="Q36" s="155">
        <f t="shared" si="0"/>
        <v>0</v>
      </c>
      <c r="R36" s="162">
        <f t="shared" ref="R36:R40" si="7">IF(A36="Y", Q36*2%,)</f>
        <v>0</v>
      </c>
      <c r="S36" s="167">
        <f t="shared" ref="S36" si="8">Q36-R36</f>
        <v>0</v>
      </c>
      <c r="T36" s="228"/>
      <c r="U36" s="181">
        <f t="shared" ref="U36:U41" si="9">IF($U$15="BASE-UP   (B-A)", O36-K36,O36-S36)</f>
        <v>-40</v>
      </c>
      <c r="V36" s="739"/>
      <c r="W36" s="82"/>
      <c r="X36" s="127"/>
      <c r="Y36" s="127"/>
      <c r="Z36" s="127"/>
      <c r="AA36" s="127"/>
      <c r="AB36" s="127"/>
    </row>
    <row r="37" spans="1:28" s="85" customFormat="1" ht="15">
      <c r="A37" s="69" t="s">
        <v>6</v>
      </c>
      <c r="B37" s="75"/>
      <c r="C37" s="578" t="s">
        <v>228</v>
      </c>
      <c r="D37" s="579"/>
      <c r="E37" s="579"/>
      <c r="F37" s="580"/>
      <c r="G37" s="339" t="s">
        <v>27</v>
      </c>
      <c r="H37" s="92" t="s">
        <v>166</v>
      </c>
      <c r="I37" s="204">
        <v>35</v>
      </c>
      <c r="J37" s="162">
        <f t="shared" ref="J37:J40" si="10">IF(A37="Y", I37*2%,0)</f>
        <v>0</v>
      </c>
      <c r="K37" s="167">
        <f t="shared" ref="K37:K40" si="11">I37-J37</f>
        <v>35</v>
      </c>
      <c r="L37" s="164"/>
      <c r="M37" s="528" t="s">
        <v>446</v>
      </c>
      <c r="N37" s="529"/>
      <c r="O37" s="78"/>
      <c r="P37" s="72"/>
      <c r="Q37" s="155">
        <f t="shared" si="0"/>
        <v>0</v>
      </c>
      <c r="R37" s="162">
        <f t="shared" si="7"/>
        <v>0</v>
      </c>
      <c r="S37" s="167">
        <f t="shared" si="2"/>
        <v>0</v>
      </c>
      <c r="T37" s="228"/>
      <c r="U37" s="181">
        <f t="shared" si="9"/>
        <v>-35</v>
      </c>
      <c r="V37" s="739"/>
      <c r="W37" s="73"/>
      <c r="X37" s="127"/>
      <c r="Y37" s="127"/>
      <c r="Z37" s="127"/>
      <c r="AA37" s="127"/>
      <c r="AB37" s="127"/>
    </row>
    <row r="38" spans="1:28" s="74" customFormat="1" ht="15">
      <c r="A38" s="69" t="s">
        <v>6</v>
      </c>
      <c r="B38" s="94"/>
      <c r="C38" s="578" t="s">
        <v>326</v>
      </c>
      <c r="D38" s="579"/>
      <c r="E38" s="579"/>
      <c r="F38" s="580"/>
      <c r="G38" s="339" t="s">
        <v>199</v>
      </c>
      <c r="H38" s="92" t="s">
        <v>20</v>
      </c>
      <c r="I38" s="204">
        <v>0</v>
      </c>
      <c r="J38" s="162">
        <f t="shared" si="10"/>
        <v>0</v>
      </c>
      <c r="K38" s="167">
        <f t="shared" si="11"/>
        <v>0</v>
      </c>
      <c r="L38" s="164"/>
      <c r="M38" s="528"/>
      <c r="N38" s="529"/>
      <c r="O38" s="78"/>
      <c r="P38" s="72"/>
      <c r="Q38" s="155">
        <f t="shared" si="0"/>
        <v>0</v>
      </c>
      <c r="R38" s="162">
        <f t="shared" si="7"/>
        <v>0</v>
      </c>
      <c r="S38" s="167">
        <f t="shared" si="2"/>
        <v>0</v>
      </c>
      <c r="T38" s="228"/>
      <c r="U38" s="181">
        <f t="shared" si="9"/>
        <v>0</v>
      </c>
      <c r="V38" s="739"/>
      <c r="W38" s="77"/>
      <c r="X38" s="125"/>
      <c r="Y38" s="125"/>
      <c r="Z38" s="125"/>
      <c r="AA38" s="125"/>
      <c r="AB38" s="125"/>
    </row>
    <row r="39" spans="1:28" s="74" customFormat="1" ht="15">
      <c r="A39" s="69" t="s">
        <v>6</v>
      </c>
      <c r="B39" s="94"/>
      <c r="C39" s="499" t="s">
        <v>447</v>
      </c>
      <c r="D39" s="579"/>
      <c r="E39" s="579"/>
      <c r="F39" s="580"/>
      <c r="G39" s="339" t="s">
        <v>199</v>
      </c>
      <c r="H39" s="92" t="s">
        <v>73</v>
      </c>
      <c r="I39" s="204">
        <v>0</v>
      </c>
      <c r="J39" s="162">
        <f t="shared" si="10"/>
        <v>0</v>
      </c>
      <c r="K39" s="167">
        <f t="shared" si="11"/>
        <v>0</v>
      </c>
      <c r="L39" s="164"/>
      <c r="M39" s="528"/>
      <c r="N39" s="529"/>
      <c r="O39" s="78"/>
      <c r="P39" s="72"/>
      <c r="Q39" s="155">
        <f t="shared" si="0"/>
        <v>0</v>
      </c>
      <c r="R39" s="162">
        <f t="shared" si="7"/>
        <v>0</v>
      </c>
      <c r="S39" s="167">
        <f t="shared" si="2"/>
        <v>0</v>
      </c>
      <c r="T39" s="228"/>
      <c r="U39" s="181">
        <f t="shared" si="9"/>
        <v>0</v>
      </c>
      <c r="V39" s="739"/>
      <c r="W39" s="77"/>
      <c r="X39" s="125"/>
      <c r="Y39" s="125"/>
      <c r="Z39" s="125"/>
      <c r="AA39" s="125"/>
      <c r="AB39" s="125"/>
    </row>
    <row r="40" spans="1:28" s="74" customFormat="1" ht="15">
      <c r="A40" s="69" t="s">
        <v>6</v>
      </c>
      <c r="B40" s="94"/>
      <c r="C40" s="578" t="s">
        <v>194</v>
      </c>
      <c r="D40" s="579"/>
      <c r="E40" s="579"/>
      <c r="F40" s="580"/>
      <c r="G40" s="339" t="s">
        <v>27</v>
      </c>
      <c r="H40" s="92" t="s">
        <v>71</v>
      </c>
      <c r="I40" s="204">
        <v>1</v>
      </c>
      <c r="J40" s="162">
        <f t="shared" si="10"/>
        <v>0</v>
      </c>
      <c r="K40" s="167">
        <f t="shared" si="11"/>
        <v>1</v>
      </c>
      <c r="L40" s="164"/>
      <c r="M40" s="528" t="s">
        <v>448</v>
      </c>
      <c r="N40" s="529"/>
      <c r="O40" s="78"/>
      <c r="P40" s="72"/>
      <c r="Q40" s="155">
        <f t="shared" si="0"/>
        <v>0</v>
      </c>
      <c r="R40" s="162">
        <f t="shared" si="7"/>
        <v>0</v>
      </c>
      <c r="S40" s="167">
        <f t="shared" si="2"/>
        <v>0</v>
      </c>
      <c r="T40" s="228"/>
      <c r="U40" s="181">
        <f t="shared" si="9"/>
        <v>-1</v>
      </c>
      <c r="V40" s="739"/>
      <c r="W40" s="77"/>
      <c r="X40" s="125"/>
      <c r="Y40" s="125"/>
      <c r="Z40" s="125"/>
      <c r="AA40" s="125"/>
      <c r="AB40" s="125"/>
    </row>
    <row r="41" spans="1:28" s="74" customFormat="1" ht="15">
      <c r="A41" s="93" t="s">
        <v>6</v>
      </c>
      <c r="B41" s="94"/>
      <c r="C41" s="528" t="s">
        <v>366</v>
      </c>
      <c r="D41" s="585"/>
      <c r="E41" s="585"/>
      <c r="F41" s="586"/>
      <c r="G41" s="340" t="s">
        <v>27</v>
      </c>
      <c r="H41" s="96" t="s">
        <v>37</v>
      </c>
      <c r="I41" s="97"/>
      <c r="J41" s="163"/>
      <c r="K41" s="169">
        <f>J42</f>
        <v>4.28</v>
      </c>
      <c r="L41" s="164"/>
      <c r="M41" s="528" t="s">
        <v>46</v>
      </c>
      <c r="N41" s="529"/>
      <c r="O41" s="78"/>
      <c r="P41" s="72"/>
      <c r="Q41" s="104"/>
      <c r="R41" s="163"/>
      <c r="S41" s="169">
        <f>R42</f>
        <v>0</v>
      </c>
      <c r="T41" s="230"/>
      <c r="U41" s="181">
        <f t="shared" si="9"/>
        <v>-4.28</v>
      </c>
      <c r="V41" s="740"/>
      <c r="W41" s="77"/>
      <c r="X41" s="125"/>
      <c r="Y41" s="125"/>
      <c r="Z41" s="125"/>
      <c r="AA41" s="125"/>
      <c r="AB41" s="125"/>
    </row>
    <row r="42" spans="1:28" s="125" customFormat="1" ht="15">
      <c r="A42" s="123"/>
      <c r="B42" s="123"/>
      <c r="C42" s="123"/>
      <c r="D42" s="123"/>
      <c r="E42" s="124"/>
      <c r="F42" s="124"/>
      <c r="J42" s="126">
        <f>SUM(J16:J41)</f>
        <v>4.28</v>
      </c>
      <c r="K42" s="170"/>
      <c r="L42" s="127"/>
      <c r="O42" s="128"/>
      <c r="P42" s="129"/>
      <c r="R42" s="126">
        <f>SUM(R16:R41)</f>
        <v>0</v>
      </c>
      <c r="S42" s="170"/>
      <c r="T42" s="231"/>
      <c r="U42" s="180"/>
      <c r="V42" s="180"/>
      <c r="W42" s="130"/>
    </row>
    <row r="43" spans="1:28" s="106" customFormat="1" ht="16.5" thickBot="1">
      <c r="A43" s="144"/>
      <c r="B43" s="144"/>
      <c r="C43" s="144"/>
      <c r="D43" s="144"/>
      <c r="E43" s="131"/>
      <c r="F43" s="145" t="s">
        <v>72</v>
      </c>
      <c r="G43" s="146"/>
      <c r="H43" s="147" t="s">
        <v>1</v>
      </c>
      <c r="I43" s="148">
        <f>SUM(I35:I42)</f>
        <v>304</v>
      </c>
      <c r="J43" s="149"/>
      <c r="K43" s="171">
        <f>SUM(K35:K42)</f>
        <v>303.99999999999994</v>
      </c>
      <c r="L43" s="150"/>
      <c r="M43" s="144" t="s">
        <v>1</v>
      </c>
      <c r="N43" s="144"/>
      <c r="O43" s="151">
        <f>SUM(O35:O42)</f>
        <v>0</v>
      </c>
      <c r="P43" s="150"/>
      <c r="Q43" s="206"/>
      <c r="R43" s="149"/>
      <c r="S43" s="171">
        <f>SUM(S35:S42)</f>
        <v>0</v>
      </c>
      <c r="T43" s="232"/>
      <c r="U43" s="193">
        <f>SUM(U35:U42)</f>
        <v>-303.99999999999994</v>
      </c>
      <c r="V43" s="315"/>
      <c r="W43" s="152"/>
    </row>
    <row r="44" spans="1:28" s="54" customFormat="1" ht="19.5" thickTop="1">
      <c r="A44" s="688" t="s">
        <v>57</v>
      </c>
      <c r="B44" s="688"/>
      <c r="C44" s="688"/>
      <c r="D44" s="210"/>
      <c r="E44" s="133"/>
      <c r="F44" s="133"/>
      <c r="K44" s="135"/>
      <c r="L44" s="136"/>
      <c r="P44" s="137"/>
      <c r="Q44" s="137"/>
      <c r="R44" s="137"/>
      <c r="S44" s="137"/>
      <c r="T44" s="137"/>
      <c r="U44" s="138"/>
      <c r="V44" s="138"/>
      <c r="W44" s="139"/>
    </row>
    <row r="45" spans="1:28" s="141" customFormat="1" ht="15.75">
      <c r="A45" s="140">
        <v>1</v>
      </c>
      <c r="B45" s="546" t="s">
        <v>451</v>
      </c>
      <c r="C45" s="546"/>
      <c r="D45" s="546"/>
      <c r="E45" s="546"/>
      <c r="F45" s="546"/>
      <c r="G45" s="546"/>
      <c r="H45" s="546"/>
      <c r="I45" s="546"/>
      <c r="J45" s="546"/>
      <c r="K45" s="546"/>
      <c r="L45" s="546"/>
      <c r="M45" s="546"/>
      <c r="N45" s="546"/>
      <c r="O45" s="546"/>
      <c r="P45" s="546"/>
      <c r="Q45" s="546"/>
      <c r="R45" s="546"/>
      <c r="S45" s="546"/>
      <c r="T45" s="546"/>
      <c r="U45" s="546"/>
      <c r="V45" s="546"/>
      <c r="W45" s="546"/>
    </row>
    <row r="46" spans="1:28" s="141" customFormat="1" ht="12">
      <c r="A46" s="140">
        <v>2</v>
      </c>
      <c r="B46" s="737"/>
      <c r="C46" s="737"/>
      <c r="D46" s="737"/>
      <c r="E46" s="737"/>
      <c r="F46" s="737"/>
      <c r="G46" s="737"/>
      <c r="H46" s="737"/>
      <c r="I46" s="737"/>
      <c r="J46" s="737"/>
      <c r="K46" s="737"/>
      <c r="L46" s="737"/>
      <c r="M46" s="737"/>
      <c r="N46" s="737"/>
      <c r="O46" s="737"/>
      <c r="P46" s="737"/>
      <c r="Q46" s="737"/>
      <c r="R46" s="737"/>
      <c r="S46" s="737"/>
      <c r="T46" s="737"/>
      <c r="U46" s="737"/>
      <c r="V46" s="737"/>
      <c r="W46" s="737"/>
    </row>
    <row r="47" spans="1:28" s="141" customFormat="1" ht="12">
      <c r="A47" s="140">
        <v>3</v>
      </c>
      <c r="B47" s="737"/>
      <c r="C47" s="737"/>
      <c r="D47" s="737"/>
      <c r="E47" s="737"/>
      <c r="F47" s="737"/>
      <c r="G47" s="737"/>
      <c r="H47" s="737"/>
      <c r="I47" s="737"/>
      <c r="J47" s="737"/>
      <c r="K47" s="737"/>
      <c r="L47" s="737"/>
      <c r="M47" s="737"/>
      <c r="N47" s="737"/>
      <c r="O47" s="737"/>
      <c r="P47" s="737"/>
      <c r="Q47" s="737"/>
      <c r="R47" s="737"/>
      <c r="S47" s="737"/>
      <c r="T47" s="737"/>
      <c r="U47" s="737"/>
      <c r="V47" s="737"/>
      <c r="W47" s="737"/>
    </row>
    <row r="48" spans="1:28" s="54" customFormat="1">
      <c r="A48" s="132"/>
      <c r="B48" s="132"/>
      <c r="C48" s="132"/>
      <c r="D48" s="132"/>
      <c r="E48" s="133"/>
      <c r="F48" s="133"/>
      <c r="K48" s="142"/>
      <c r="L48" s="137"/>
      <c r="P48" s="137"/>
      <c r="Q48" s="137"/>
      <c r="R48" s="137"/>
      <c r="S48" s="137"/>
      <c r="T48" s="137"/>
      <c r="U48" s="138"/>
      <c r="V48" s="138"/>
      <c r="W48" s="139"/>
    </row>
  </sheetData>
  <mergeCells count="120">
    <mergeCell ref="A1:K1"/>
    <mergeCell ref="L1:U1"/>
    <mergeCell ref="A3:O3"/>
    <mergeCell ref="Q3:W3"/>
    <mergeCell ref="A4:C4"/>
    <mergeCell ref="D4:E4"/>
    <mergeCell ref="F4:G4"/>
    <mergeCell ref="I4:L4"/>
    <mergeCell ref="M4:N4"/>
    <mergeCell ref="Q4:W4"/>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A11:C11"/>
    <mergeCell ref="D11:E11"/>
    <mergeCell ref="F11:G11"/>
    <mergeCell ref="I11:L11"/>
    <mergeCell ref="Q11:W11"/>
    <mergeCell ref="I13:K13"/>
    <mergeCell ref="M13:O13"/>
    <mergeCell ref="Q13:S13"/>
    <mergeCell ref="M11:N11"/>
    <mergeCell ref="W14:W15"/>
    <mergeCell ref="M15:N15"/>
    <mergeCell ref="C16:F16"/>
    <mergeCell ref="M16:N16"/>
    <mergeCell ref="C17:F17"/>
    <mergeCell ref="M17:N17"/>
    <mergeCell ref="C14:F15"/>
    <mergeCell ref="I14:I15"/>
    <mergeCell ref="J14:J15"/>
    <mergeCell ref="M14:N14"/>
    <mergeCell ref="R14:R15"/>
    <mergeCell ref="V14:V15"/>
    <mergeCell ref="C22:F22"/>
    <mergeCell ref="M22:N22"/>
    <mergeCell ref="C23:F23"/>
    <mergeCell ref="M23:N23"/>
    <mergeCell ref="C24:F24"/>
    <mergeCell ref="M24:N24"/>
    <mergeCell ref="C18:F18"/>
    <mergeCell ref="M18:N18"/>
    <mergeCell ref="B19:B20"/>
    <mergeCell ref="C19:F19"/>
    <mergeCell ref="M19:N19"/>
    <mergeCell ref="C20:F20"/>
    <mergeCell ref="M20:N20"/>
    <mergeCell ref="C21:F21"/>
    <mergeCell ref="M21:N21"/>
    <mergeCell ref="M31:N31"/>
    <mergeCell ref="C32:E32"/>
    <mergeCell ref="F32:F33"/>
    <mergeCell ref="M32:N32"/>
    <mergeCell ref="C33:E33"/>
    <mergeCell ref="M33:N33"/>
    <mergeCell ref="C25:D25"/>
    <mergeCell ref="E25:F29"/>
    <mergeCell ref="M25:N25"/>
    <mergeCell ref="C26:D26"/>
    <mergeCell ref="M26:N26"/>
    <mergeCell ref="C27:D27"/>
    <mergeCell ref="M27:N27"/>
    <mergeCell ref="C28:D28"/>
    <mergeCell ref="M28:N28"/>
    <mergeCell ref="C29:D29"/>
    <mergeCell ref="C41:F41"/>
    <mergeCell ref="M41:N41"/>
    <mergeCell ref="A44:C44"/>
    <mergeCell ref="B45:W45"/>
    <mergeCell ref="B46:W46"/>
    <mergeCell ref="B47:W47"/>
    <mergeCell ref="C38:F38"/>
    <mergeCell ref="M38:N38"/>
    <mergeCell ref="C39:F39"/>
    <mergeCell ref="M39:N39"/>
    <mergeCell ref="C40:F40"/>
    <mergeCell ref="M40:N40"/>
    <mergeCell ref="V19:V41"/>
    <mergeCell ref="C34:F34"/>
    <mergeCell ref="M34:N34"/>
    <mergeCell ref="C35:F35"/>
    <mergeCell ref="M35:N35"/>
    <mergeCell ref="C36:F36"/>
    <mergeCell ref="C37:F37"/>
    <mergeCell ref="M37:N37"/>
    <mergeCell ref="M29:N29"/>
    <mergeCell ref="C30:F30"/>
    <mergeCell ref="M30:N30"/>
    <mergeCell ref="C31:F31"/>
  </mergeCells>
  <conditionalFormatting sqref="Q16:S41">
    <cfRule type="cellIs" dxfId="10" priority="11" stopIfTrue="1" operator="equal">
      <formula>0</formula>
    </cfRule>
  </conditionalFormatting>
  <conditionalFormatting sqref="U48:V65532 U44:V44 U12:V13">
    <cfRule type="cellIs" dxfId="9" priority="10" stopIfTrue="1" operator="notEqual">
      <formula>0</formula>
    </cfRule>
  </conditionalFormatting>
  <conditionalFormatting sqref="I16:I18">
    <cfRule type="cellIs" dxfId="8" priority="9" stopIfTrue="1" operator="equal">
      <formula>0</formula>
    </cfRule>
  </conditionalFormatting>
  <conditionalFormatting sqref="E25">
    <cfRule type="cellIs" dxfId="7" priority="8" operator="notEqual">
      <formula>"GC 76000 PA ($7 for every 10) breakdown per local board of supervisor resolution (BOS)."</formula>
    </cfRule>
  </conditionalFormatting>
  <conditionalFormatting sqref="M16:O41">
    <cfRule type="expression" dxfId="6" priority="7">
      <formula>MOD(ROW(),2)=0</formula>
    </cfRule>
  </conditionalFormatting>
  <conditionalFormatting sqref="J36:K41 J31:K31 I18:K30 I32:K35">
    <cfRule type="cellIs" dxfId="5" priority="6" operator="equal">
      <formula>0</formula>
    </cfRule>
  </conditionalFormatting>
  <conditionalFormatting sqref="V19">
    <cfRule type="cellIs" dxfId="4" priority="5" operator="greaterThan">
      <formula>0</formula>
    </cfRule>
  </conditionalFormatting>
  <conditionalFormatting sqref="E25">
    <cfRule type="cellIs" dxfId="3" priority="4" operator="notEqual">
      <formula>"GC 76000 PA ($7 for every 10) breakdown per local board of supervisor resolution (BOS)."</formula>
    </cfRule>
  </conditionalFormatting>
  <conditionalFormatting sqref="E25">
    <cfRule type="cellIs" dxfId="2" priority="3" operator="notEqual">
      <formula>"GC 76000 PA ($" &amp;O11 &amp;" for every 10) breakdown per local board of supervisor resolution (BOS)."</formula>
    </cfRule>
  </conditionalFormatting>
  <conditionalFormatting sqref="E25">
    <cfRule type="cellIs" dxfId="1" priority="2" operator="notEqual">
      <formula>"GC 76000 PA ($7 for every 10) breakdown per local board of supervisor resolution (BOS)."</formula>
    </cfRule>
  </conditionalFormatting>
  <conditionalFormatting sqref="E25">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$AC$3:$AC$4</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Q11"/>
  <sheetViews>
    <sheetView zoomScaleNormal="100" zoomScaleSheetLayoutView="90" workbookViewId="0">
      <selection activeCell="A2" sqref="A2:Q2"/>
    </sheetView>
  </sheetViews>
  <sheetFormatPr defaultRowHeight="15"/>
  <cols>
    <col min="1" max="1" width="31.85546875" style="365" customWidth="1"/>
    <col min="2" max="16384" width="9.140625" style="365"/>
  </cols>
  <sheetData>
    <row r="1" spans="1:17" s="364" customFormat="1" ht="73.5">
      <c r="A1" s="466" t="s">
        <v>389</v>
      </c>
      <c r="B1" s="466"/>
      <c r="C1" s="466"/>
      <c r="D1" s="466"/>
      <c r="E1" s="466"/>
      <c r="F1" s="466"/>
      <c r="G1" s="466"/>
      <c r="H1" s="466"/>
      <c r="I1" s="466"/>
      <c r="J1" s="466"/>
      <c r="K1" s="466"/>
      <c r="L1" s="466"/>
      <c r="M1" s="466"/>
      <c r="N1" s="466"/>
      <c r="O1" s="466"/>
      <c r="P1" s="466"/>
      <c r="Q1" s="466"/>
    </row>
    <row r="2" spans="1:17" s="364" customFormat="1" ht="94.5" customHeight="1">
      <c r="A2" s="467" t="s">
        <v>424</v>
      </c>
      <c r="B2" s="467"/>
      <c r="C2" s="467"/>
      <c r="D2" s="467"/>
      <c r="E2" s="467"/>
      <c r="F2" s="467"/>
      <c r="G2" s="467"/>
      <c r="H2" s="467"/>
      <c r="I2" s="467"/>
      <c r="J2" s="467"/>
      <c r="K2" s="467"/>
      <c r="L2" s="467"/>
      <c r="M2" s="467"/>
      <c r="N2" s="467"/>
      <c r="O2" s="467"/>
      <c r="P2" s="467"/>
      <c r="Q2" s="467"/>
    </row>
    <row r="3" spans="1:17" s="379" customFormat="1" ht="78.75" customHeight="1">
      <c r="A3" s="468" t="s">
        <v>405</v>
      </c>
      <c r="B3" s="469"/>
      <c r="C3" s="469"/>
      <c r="D3" s="469"/>
      <c r="E3" s="469"/>
      <c r="F3" s="469"/>
      <c r="G3" s="469"/>
      <c r="H3" s="469"/>
      <c r="I3" s="469"/>
      <c r="J3" s="469"/>
      <c r="K3" s="469"/>
      <c r="L3" s="469"/>
      <c r="M3" s="469"/>
      <c r="N3" s="469"/>
      <c r="O3" s="469"/>
      <c r="P3" s="469"/>
      <c r="Q3" s="469"/>
    </row>
    <row r="4" spans="1:17" ht="31.5" customHeight="1">
      <c r="A4" s="366"/>
      <c r="B4" s="366"/>
      <c r="C4" s="366"/>
      <c r="D4" s="366"/>
      <c r="E4" s="366"/>
      <c r="F4" s="366"/>
      <c r="G4" s="366"/>
      <c r="H4" s="366"/>
      <c r="I4" s="366"/>
      <c r="J4" s="366"/>
      <c r="K4" s="366"/>
      <c r="L4" s="366"/>
      <c r="M4" s="366"/>
      <c r="N4" s="366"/>
      <c r="O4" s="366"/>
      <c r="P4" s="366"/>
      <c r="Q4" s="366"/>
    </row>
    <row r="5" spans="1:17" s="364" customFormat="1" ht="183" customHeight="1">
      <c r="A5" s="470" t="s">
        <v>395</v>
      </c>
      <c r="B5" s="470"/>
      <c r="C5" s="470"/>
      <c r="D5" s="470"/>
      <c r="E5" s="470"/>
      <c r="F5" s="470"/>
      <c r="G5" s="470"/>
      <c r="H5" s="470"/>
      <c r="I5" s="470"/>
      <c r="J5" s="470"/>
      <c r="K5" s="470"/>
      <c r="L5" s="470"/>
      <c r="M5" s="470"/>
      <c r="N5" s="470"/>
      <c r="O5" s="470"/>
      <c r="P5" s="470"/>
      <c r="Q5" s="470"/>
    </row>
    <row r="6" spans="1:17">
      <c r="A6" s="366"/>
      <c r="B6" s="366"/>
      <c r="C6" s="366"/>
      <c r="D6" s="366"/>
      <c r="E6" s="366"/>
      <c r="F6" s="366"/>
      <c r="G6" s="366"/>
      <c r="H6" s="366"/>
      <c r="I6" s="366"/>
      <c r="J6" s="366"/>
      <c r="K6" s="366"/>
      <c r="L6" s="366"/>
      <c r="M6" s="366"/>
      <c r="N6" s="366"/>
      <c r="O6" s="366"/>
      <c r="P6" s="366"/>
      <c r="Q6" s="366"/>
    </row>
    <row r="7" spans="1:17">
      <c r="A7" s="366"/>
      <c r="B7" s="366"/>
      <c r="C7" s="366"/>
      <c r="D7" s="366"/>
      <c r="E7" s="366"/>
      <c r="F7" s="366"/>
      <c r="G7" s="366"/>
      <c r="H7" s="366"/>
      <c r="I7" s="366"/>
      <c r="J7" s="366"/>
      <c r="K7" s="366"/>
      <c r="L7" s="366"/>
      <c r="M7" s="366"/>
      <c r="N7" s="366"/>
      <c r="O7" s="366"/>
      <c r="P7" s="366"/>
      <c r="Q7" s="366"/>
    </row>
    <row r="8" spans="1:17" ht="36" customHeight="1">
      <c r="A8" s="471" t="s">
        <v>394</v>
      </c>
      <c r="B8" s="471"/>
      <c r="C8" s="471"/>
      <c r="D8" s="471"/>
      <c r="E8" s="471"/>
      <c r="F8" s="471"/>
      <c r="G8" s="471"/>
      <c r="H8" s="471"/>
      <c r="I8" s="471"/>
      <c r="J8" s="471"/>
      <c r="K8" s="471"/>
      <c r="L8" s="471"/>
      <c r="M8" s="471"/>
      <c r="N8" s="471"/>
      <c r="O8" s="471"/>
      <c r="P8" s="471"/>
      <c r="Q8" s="471"/>
    </row>
    <row r="9" spans="1:17">
      <c r="A9" s="366"/>
      <c r="B9" s="366"/>
      <c r="C9" s="366"/>
      <c r="D9" s="366"/>
      <c r="E9" s="366"/>
      <c r="F9" s="366"/>
      <c r="G9" s="366"/>
      <c r="H9" s="366"/>
      <c r="I9" s="366"/>
      <c r="J9" s="366"/>
      <c r="K9" s="366"/>
      <c r="L9" s="366"/>
      <c r="M9" s="366"/>
      <c r="N9" s="366"/>
      <c r="O9" s="366"/>
      <c r="P9" s="366"/>
      <c r="Q9" s="366"/>
    </row>
    <row r="10" spans="1:17">
      <c r="A10" s="366"/>
      <c r="B10" s="366"/>
      <c r="C10" s="366"/>
      <c r="D10" s="366"/>
      <c r="E10" s="366"/>
      <c r="F10" s="366"/>
      <c r="G10" s="366"/>
      <c r="H10" s="366"/>
      <c r="I10" s="366"/>
      <c r="J10" s="366"/>
      <c r="K10" s="366"/>
      <c r="L10" s="366"/>
      <c r="M10" s="366"/>
      <c r="N10" s="366"/>
      <c r="O10" s="366"/>
      <c r="P10" s="366"/>
      <c r="Q10" s="366"/>
    </row>
    <row r="11" spans="1:17">
      <c r="A11" s="366"/>
      <c r="B11" s="366"/>
      <c r="C11" s="366"/>
      <c r="D11" s="366"/>
      <c r="E11" s="366"/>
      <c r="F11" s="366"/>
      <c r="G11" s="366"/>
      <c r="H11" s="366"/>
      <c r="I11" s="366"/>
      <c r="J11" s="380"/>
      <c r="K11" s="366"/>
      <c r="L11" s="366"/>
      <c r="M11" s="366"/>
      <c r="N11" s="366"/>
      <c r="O11" s="366"/>
      <c r="P11" s="366"/>
      <c r="Q11" s="366"/>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4.xml><?xml version="1.0" encoding="utf-8"?>
<worksheet xmlns="http://schemas.openxmlformats.org/spreadsheetml/2006/main" xmlns:r="http://schemas.openxmlformats.org/officeDocument/2006/relationships">
  <sheetPr>
    <tabColor theme="3" tint="0.39997558519241921"/>
  </sheetPr>
  <dimension ref="A1:AP6"/>
  <sheetViews>
    <sheetView zoomScaleNormal="100" zoomScaleSheetLayoutView="100" workbookViewId="0">
      <pane ySplit="1" topLeftCell="A2" activePane="bottomLeft" state="frozen"/>
      <selection activeCell="C43" sqref="C43:F43"/>
      <selection pane="bottomLeft" sqref="A1:B1"/>
    </sheetView>
  </sheetViews>
  <sheetFormatPr defaultRowHeight="15.75"/>
  <cols>
    <col min="1" max="1" width="4.140625" style="373" customWidth="1"/>
    <col min="2" max="2" width="6.28515625" style="374" customWidth="1"/>
    <col min="3" max="3" width="103.28515625" style="374" customWidth="1"/>
    <col min="4" max="4" width="20.85546875" style="367" customWidth="1"/>
    <col min="5" max="5" width="9.140625" style="368"/>
    <col min="6" max="16384" width="9.140625" style="369"/>
  </cols>
  <sheetData>
    <row r="1" spans="1:42" ht="18.75" customHeight="1">
      <c r="A1" s="472" t="s">
        <v>15</v>
      </c>
      <c r="B1" s="472"/>
      <c r="C1" s="376" t="s">
        <v>390</v>
      </c>
    </row>
    <row r="2" spans="1:42" ht="24" customHeight="1">
      <c r="A2" s="377">
        <v>6</v>
      </c>
      <c r="B2" s="370" t="s">
        <v>74</v>
      </c>
      <c r="C2" s="371" t="s">
        <v>391</v>
      </c>
      <c r="D2" s="438"/>
    </row>
    <row r="3" spans="1:42" ht="24" customHeight="1">
      <c r="A3" s="378">
        <v>7</v>
      </c>
      <c r="B3" s="372" t="s">
        <v>59</v>
      </c>
      <c r="C3" s="371" t="s">
        <v>392</v>
      </c>
      <c r="D3" s="438"/>
    </row>
    <row r="4" spans="1:42" ht="24" customHeight="1">
      <c r="A4" s="378">
        <v>10</v>
      </c>
      <c r="B4" s="372" t="s">
        <v>75</v>
      </c>
      <c r="C4" s="371" t="s">
        <v>393</v>
      </c>
      <c r="D4" s="438"/>
    </row>
    <row r="5" spans="1:42" s="367" customFormat="1">
      <c r="A5" s="373"/>
      <c r="B5" s="374"/>
      <c r="C5" s="374"/>
      <c r="E5" s="368"/>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row>
    <row r="6" spans="1:42" s="367" customFormat="1">
      <c r="A6" s="373"/>
      <c r="B6" s="374"/>
      <c r="C6" s="374"/>
      <c r="E6" s="368"/>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row>
  </sheetData>
  <sheetProtection formatCells="0" formatColumns="0" formatRows="0" insertColumns="0" insertRows="0" deleteColumns="0" deleteRows="0"/>
  <mergeCells count="1">
    <mergeCell ref="A1:B1"/>
  </mergeCells>
  <conditionalFormatting sqref="A2:C4">
    <cfRule type="expression" dxfId="48" priority="2" stopIfTrue="1">
      <formula>MOD(ROW(),2)=0</formula>
    </cfRule>
  </conditionalFormatting>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dimension ref="A1:H8"/>
  <sheetViews>
    <sheetView workbookViewId="0">
      <selection sqref="A1:H1"/>
    </sheetView>
  </sheetViews>
  <sheetFormatPr defaultRowHeight="12.75"/>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c r="A1" s="473" t="s">
        <v>360</v>
      </c>
      <c r="B1" s="473"/>
      <c r="C1" s="473"/>
      <c r="D1" s="473"/>
      <c r="E1" s="473"/>
      <c r="F1" s="473"/>
      <c r="G1" s="473"/>
      <c r="H1" s="473"/>
    </row>
    <row r="2" spans="1:8" s="3" customFormat="1">
      <c r="A2" s="46" t="s">
        <v>331</v>
      </c>
      <c r="B2" s="45"/>
      <c r="C2" s="45"/>
      <c r="D2" s="45"/>
      <c r="E2" s="45"/>
      <c r="F2" s="45"/>
      <c r="G2" s="45"/>
      <c r="H2" s="5"/>
    </row>
    <row r="3" spans="1:8" s="3" customFormat="1">
      <c r="A3" s="392" t="s">
        <v>142</v>
      </c>
      <c r="B3" s="392" t="s">
        <v>8</v>
      </c>
      <c r="C3" s="392" t="s">
        <v>145</v>
      </c>
      <c r="D3" s="474" t="s">
        <v>356</v>
      </c>
      <c r="E3" s="474"/>
      <c r="F3" s="474"/>
      <c r="G3" s="392" t="s">
        <v>179</v>
      </c>
      <c r="H3" s="392" t="s">
        <v>346</v>
      </c>
    </row>
    <row r="4" spans="1:8" s="3" customFormat="1">
      <c r="A4" s="475" t="s">
        <v>328</v>
      </c>
      <c r="B4" s="475" t="s">
        <v>329</v>
      </c>
      <c r="C4" s="476" t="s">
        <v>350</v>
      </c>
      <c r="D4" s="327"/>
      <c r="E4" s="329" t="s">
        <v>10</v>
      </c>
      <c r="F4" s="329" t="s">
        <v>330</v>
      </c>
      <c r="G4" s="479" t="s">
        <v>47</v>
      </c>
      <c r="H4" s="479"/>
    </row>
    <row r="5" spans="1:8" s="3" customFormat="1">
      <c r="A5" s="475"/>
      <c r="B5" s="475"/>
      <c r="C5" s="477"/>
      <c r="D5" s="316" t="s">
        <v>345</v>
      </c>
      <c r="E5" s="330">
        <v>100</v>
      </c>
      <c r="F5" s="330">
        <v>200</v>
      </c>
      <c r="G5" s="479"/>
      <c r="H5" s="479"/>
    </row>
    <row r="6" spans="1:8" s="3" customFormat="1">
      <c r="A6" s="475"/>
      <c r="B6" s="475"/>
      <c r="C6" s="477"/>
      <c r="D6" s="328">
        <v>40909</v>
      </c>
      <c r="E6" s="330">
        <v>120</v>
      </c>
      <c r="F6" s="330">
        <v>240</v>
      </c>
      <c r="G6" s="479"/>
      <c r="H6" s="479"/>
    </row>
    <row r="7" spans="1:8" s="3" customFormat="1">
      <c r="A7" s="475"/>
      <c r="B7" s="475"/>
      <c r="C7" s="477"/>
      <c r="D7" s="393">
        <v>41275</v>
      </c>
      <c r="E7" s="394">
        <v>140</v>
      </c>
      <c r="F7" s="394">
        <v>280</v>
      </c>
      <c r="G7" s="479"/>
      <c r="H7" s="479"/>
    </row>
    <row r="8" spans="1:8" s="3" customFormat="1">
      <c r="A8" s="475"/>
      <c r="B8" s="475"/>
      <c r="C8" s="478"/>
      <c r="D8" s="352">
        <v>41640</v>
      </c>
      <c r="E8" s="353">
        <v>150</v>
      </c>
      <c r="F8" s="353">
        <v>300</v>
      </c>
      <c r="G8" s="479"/>
      <c r="H8" s="479"/>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9FBBB"/>
    <pageSetUpPr fitToPage="1"/>
  </sheetPr>
  <dimension ref="A2:H24"/>
  <sheetViews>
    <sheetView zoomScaleNormal="100" workbookViewId="0"/>
  </sheetViews>
  <sheetFormatPr defaultRowHeight="12.75"/>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c r="A2" s="473" t="s">
        <v>360</v>
      </c>
      <c r="B2" s="473"/>
      <c r="C2" s="473"/>
      <c r="D2" s="473"/>
      <c r="E2" s="473"/>
      <c r="F2" s="473"/>
      <c r="G2" s="473"/>
      <c r="H2" s="473"/>
    </row>
    <row r="3" spans="1:8">
      <c r="A3" s="46" t="s">
        <v>331</v>
      </c>
      <c r="B3" s="45"/>
      <c r="C3" s="45"/>
      <c r="D3" s="45"/>
      <c r="E3" s="45"/>
      <c r="F3" s="45"/>
      <c r="G3" s="45"/>
      <c r="H3" s="5"/>
    </row>
    <row r="4" spans="1:8">
      <c r="A4" s="350" t="s">
        <v>142</v>
      </c>
      <c r="B4" s="350" t="s">
        <v>8</v>
      </c>
      <c r="C4" s="350" t="s">
        <v>145</v>
      </c>
      <c r="D4" s="474" t="s">
        <v>356</v>
      </c>
      <c r="E4" s="474"/>
      <c r="F4" s="474"/>
      <c r="G4" s="350" t="s">
        <v>179</v>
      </c>
      <c r="H4" s="350" t="s">
        <v>346</v>
      </c>
    </row>
    <row r="5" spans="1:8">
      <c r="A5" s="475" t="s">
        <v>328</v>
      </c>
      <c r="B5" s="475" t="s">
        <v>329</v>
      </c>
      <c r="C5" s="476" t="s">
        <v>350</v>
      </c>
      <c r="D5" s="327"/>
      <c r="E5" s="329" t="s">
        <v>10</v>
      </c>
      <c r="F5" s="329" t="s">
        <v>330</v>
      </c>
      <c r="G5" s="479" t="s">
        <v>47</v>
      </c>
      <c r="H5" s="479"/>
    </row>
    <row r="6" spans="1:8">
      <c r="A6" s="475"/>
      <c r="B6" s="475"/>
      <c r="C6" s="477"/>
      <c r="D6" s="316" t="s">
        <v>345</v>
      </c>
      <c r="E6" s="330">
        <v>100</v>
      </c>
      <c r="F6" s="330">
        <v>200</v>
      </c>
      <c r="G6" s="479"/>
      <c r="H6" s="479"/>
    </row>
    <row r="7" spans="1:8">
      <c r="A7" s="475"/>
      <c r="B7" s="475"/>
      <c r="C7" s="477"/>
      <c r="D7" s="328">
        <v>40909</v>
      </c>
      <c r="E7" s="330">
        <v>120</v>
      </c>
      <c r="F7" s="330">
        <v>240</v>
      </c>
      <c r="G7" s="479"/>
      <c r="H7" s="479"/>
    </row>
    <row r="8" spans="1:8">
      <c r="A8" s="475"/>
      <c r="B8" s="475"/>
      <c r="C8" s="477"/>
      <c r="D8" s="352">
        <v>41275</v>
      </c>
      <c r="E8" s="353">
        <v>140</v>
      </c>
      <c r="F8" s="353">
        <v>280</v>
      </c>
      <c r="G8" s="479"/>
      <c r="H8" s="479"/>
    </row>
    <row r="9" spans="1:8">
      <c r="A9" s="475"/>
      <c r="B9" s="475"/>
      <c r="C9" s="478"/>
      <c r="D9" s="328">
        <v>41640</v>
      </c>
      <c r="E9" s="330">
        <v>150</v>
      </c>
      <c r="F9" s="330">
        <v>300</v>
      </c>
      <c r="G9" s="479"/>
      <c r="H9" s="479"/>
    </row>
    <row r="11" spans="1:8" ht="18">
      <c r="A11" s="473" t="s">
        <v>359</v>
      </c>
      <c r="B11" s="473"/>
      <c r="C11" s="473"/>
      <c r="D11" s="473"/>
      <c r="E11" s="473"/>
      <c r="F11" s="473"/>
    </row>
    <row r="12" spans="1:8">
      <c r="A12" s="46" t="s">
        <v>355</v>
      </c>
      <c r="B12" s="45"/>
      <c r="C12" s="45"/>
      <c r="D12" s="45"/>
      <c r="E12" s="45"/>
      <c r="F12" s="5"/>
    </row>
    <row r="13" spans="1:8" ht="25.5">
      <c r="A13" s="347" t="s">
        <v>142</v>
      </c>
      <c r="B13" s="347" t="s">
        <v>8</v>
      </c>
      <c r="C13" s="347" t="s">
        <v>145</v>
      </c>
      <c r="D13" s="350" t="s">
        <v>356</v>
      </c>
      <c r="E13" s="347" t="s">
        <v>179</v>
      </c>
      <c r="F13" s="347" t="s">
        <v>346</v>
      </c>
    </row>
    <row r="14" spans="1:8" ht="63.75">
      <c r="A14" s="348" t="s">
        <v>352</v>
      </c>
      <c r="B14" s="348" t="s">
        <v>353</v>
      </c>
      <c r="C14" s="348" t="s">
        <v>354</v>
      </c>
      <c r="D14" s="358" t="s">
        <v>357</v>
      </c>
      <c r="E14" s="349" t="s">
        <v>297</v>
      </c>
      <c r="F14" s="351" t="s">
        <v>358</v>
      </c>
    </row>
    <row r="16" spans="1:8" ht="18">
      <c r="A16" s="480" t="s">
        <v>402</v>
      </c>
      <c r="B16" s="480"/>
      <c r="C16" s="480"/>
      <c r="D16" s="480"/>
      <c r="E16" s="480"/>
      <c r="F16" s="480"/>
    </row>
    <row r="17" spans="1:6">
      <c r="A17" s="389" t="s">
        <v>342</v>
      </c>
      <c r="B17" s="390"/>
      <c r="C17" s="390"/>
      <c r="D17" s="390"/>
      <c r="E17" s="390"/>
      <c r="F17" s="391"/>
    </row>
    <row r="18" spans="1:6" ht="38.25">
      <c r="A18" s="359" t="s">
        <v>142</v>
      </c>
      <c r="B18" s="359" t="s">
        <v>8</v>
      </c>
      <c r="C18" s="359" t="s">
        <v>145</v>
      </c>
      <c r="D18" s="359" t="s">
        <v>146</v>
      </c>
      <c r="E18" s="359" t="s">
        <v>179</v>
      </c>
      <c r="F18" s="359" t="s">
        <v>346</v>
      </c>
    </row>
    <row r="19" spans="1:6" ht="63.75">
      <c r="A19" s="382" t="s">
        <v>398</v>
      </c>
      <c r="B19" s="316" t="s">
        <v>66</v>
      </c>
      <c r="C19" s="316" t="s">
        <v>306</v>
      </c>
      <c r="D19" s="384">
        <v>40</v>
      </c>
      <c r="E19" s="44" t="s">
        <v>319</v>
      </c>
      <c r="F19" s="382" t="s">
        <v>400</v>
      </c>
    </row>
    <row r="21" spans="1:6" s="43" customFormat="1" ht="18">
      <c r="A21" s="473" t="s">
        <v>349</v>
      </c>
      <c r="B21" s="473"/>
      <c r="C21" s="473"/>
      <c r="D21" s="473"/>
      <c r="E21" s="473"/>
      <c r="F21" s="473"/>
    </row>
    <row r="22" spans="1:6" s="5" customFormat="1">
      <c r="A22" s="46" t="s">
        <v>305</v>
      </c>
      <c r="B22" s="45"/>
      <c r="C22" s="45"/>
      <c r="D22" s="45"/>
      <c r="E22" s="45"/>
    </row>
    <row r="23" spans="1:6" ht="38.25">
      <c r="A23" s="359" t="s">
        <v>142</v>
      </c>
      <c r="B23" s="359" t="s">
        <v>8</v>
      </c>
      <c r="C23" s="359" t="s">
        <v>145</v>
      </c>
      <c r="D23" s="359" t="s">
        <v>146</v>
      </c>
      <c r="E23" s="359" t="s">
        <v>179</v>
      </c>
      <c r="F23" s="359" t="s">
        <v>346</v>
      </c>
    </row>
    <row r="24" spans="1:6" ht="76.5">
      <c r="A24" s="361" t="s">
        <v>315</v>
      </c>
      <c r="B24" s="362" t="s">
        <v>388</v>
      </c>
      <c r="C24" s="361" t="s">
        <v>384</v>
      </c>
      <c r="D24" s="325" t="s">
        <v>383</v>
      </c>
      <c r="E24" s="361" t="s">
        <v>385</v>
      </c>
      <c r="F24" s="363" t="s">
        <v>382</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sheetPr codeName="Sheet12">
    <tabColor rgb="FFF9FBBB"/>
  </sheetPr>
  <dimension ref="A1:I19"/>
  <sheetViews>
    <sheetView workbookViewId="0">
      <selection sqref="A1:H1"/>
    </sheetView>
  </sheetViews>
  <sheetFormatPr defaultRowHeight="12.75"/>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c r="A1" s="473" t="s">
        <v>340</v>
      </c>
      <c r="B1" s="473"/>
      <c r="C1" s="473"/>
      <c r="D1" s="473"/>
      <c r="E1" s="473"/>
      <c r="F1" s="473"/>
      <c r="G1" s="473"/>
      <c r="H1" s="473"/>
    </row>
    <row r="2" spans="1:9" s="5" customFormat="1">
      <c r="A2" s="46" t="s">
        <v>331</v>
      </c>
      <c r="B2" s="45"/>
      <c r="C2" s="45"/>
      <c r="D2" s="45"/>
      <c r="E2" s="45"/>
      <c r="F2" s="45"/>
      <c r="G2" s="45"/>
    </row>
    <row r="3" spans="1:9">
      <c r="H3" s="335"/>
    </row>
    <row r="4" spans="1:9" ht="25.5" customHeight="1">
      <c r="A4" s="42" t="s">
        <v>142</v>
      </c>
      <c r="B4" s="42" t="s">
        <v>8</v>
      </c>
      <c r="C4" s="42" t="s">
        <v>145</v>
      </c>
      <c r="D4" s="474" t="s">
        <v>146</v>
      </c>
      <c r="E4" s="474"/>
      <c r="F4" s="474"/>
      <c r="G4" s="42" t="s">
        <v>179</v>
      </c>
      <c r="H4" s="344" t="s">
        <v>346</v>
      </c>
      <c r="I4" s="335"/>
    </row>
    <row r="5" spans="1:9">
      <c r="A5" s="475" t="s">
        <v>328</v>
      </c>
      <c r="B5" s="475" t="s">
        <v>329</v>
      </c>
      <c r="C5" s="476" t="s">
        <v>350</v>
      </c>
      <c r="D5" s="327"/>
      <c r="E5" s="329" t="s">
        <v>10</v>
      </c>
      <c r="F5" s="329" t="s">
        <v>330</v>
      </c>
      <c r="G5" s="479" t="s">
        <v>47</v>
      </c>
      <c r="H5" s="479"/>
      <c r="I5" s="345"/>
    </row>
    <row r="6" spans="1:9">
      <c r="A6" s="475"/>
      <c r="B6" s="475"/>
      <c r="C6" s="477"/>
      <c r="D6" s="316" t="s">
        <v>345</v>
      </c>
      <c r="E6" s="330">
        <v>100</v>
      </c>
      <c r="F6" s="330">
        <v>200</v>
      </c>
      <c r="G6" s="479"/>
      <c r="H6" s="479"/>
      <c r="I6" s="346"/>
    </row>
    <row r="7" spans="1:9">
      <c r="A7" s="475"/>
      <c r="B7" s="475"/>
      <c r="C7" s="477"/>
      <c r="D7" s="352">
        <v>40909</v>
      </c>
      <c r="E7" s="353">
        <v>120</v>
      </c>
      <c r="F7" s="353">
        <v>240</v>
      </c>
      <c r="G7" s="479"/>
      <c r="H7" s="479"/>
      <c r="I7" s="346"/>
    </row>
    <row r="8" spans="1:9">
      <c r="A8" s="475"/>
      <c r="B8" s="475"/>
      <c r="C8" s="477"/>
      <c r="D8" s="328">
        <v>41275</v>
      </c>
      <c r="E8" s="330">
        <v>140</v>
      </c>
      <c r="F8" s="330">
        <v>280</v>
      </c>
      <c r="G8" s="479"/>
      <c r="H8" s="479"/>
      <c r="I8" s="346"/>
    </row>
    <row r="9" spans="1:9">
      <c r="A9" s="475"/>
      <c r="B9" s="475"/>
      <c r="C9" s="478"/>
      <c r="D9" s="328">
        <v>41640</v>
      </c>
      <c r="E9" s="330">
        <v>150</v>
      </c>
      <c r="F9" s="330">
        <v>300</v>
      </c>
      <c r="G9" s="479"/>
      <c r="H9" s="479"/>
      <c r="I9" s="346"/>
    </row>
    <row r="10" spans="1:9">
      <c r="H10" s="335"/>
      <c r="I10" s="335"/>
    </row>
    <row r="11" spans="1:9">
      <c r="H11" s="335"/>
      <c r="I11" s="335"/>
    </row>
    <row r="12" spans="1:9" s="43" customFormat="1" ht="18">
      <c r="A12" s="473" t="s">
        <v>341</v>
      </c>
      <c r="B12" s="473"/>
      <c r="C12" s="473"/>
      <c r="D12" s="473"/>
      <c r="E12" s="473"/>
      <c r="F12" s="473"/>
      <c r="G12" s="473"/>
      <c r="H12" s="473"/>
    </row>
    <row r="13" spans="1:9" s="5" customFormat="1">
      <c r="A13" s="46" t="s">
        <v>342</v>
      </c>
      <c r="B13" s="45"/>
      <c r="C13" s="45"/>
      <c r="D13" s="45"/>
      <c r="E13" s="45"/>
      <c r="F13" s="45"/>
      <c r="G13" s="45"/>
    </row>
    <row r="14" spans="1:9">
      <c r="H14" s="335"/>
    </row>
    <row r="15" spans="1:9" ht="25.5" customHeight="1">
      <c r="A15" s="42" t="s">
        <v>142</v>
      </c>
      <c r="B15" s="42" t="s">
        <v>8</v>
      </c>
      <c r="C15" s="42" t="s">
        <v>145</v>
      </c>
      <c r="D15" s="474" t="s">
        <v>146</v>
      </c>
      <c r="E15" s="474"/>
      <c r="F15" s="474"/>
      <c r="G15" s="42" t="s">
        <v>179</v>
      </c>
      <c r="H15" s="344" t="s">
        <v>346</v>
      </c>
    </row>
    <row r="16" spans="1:9" ht="38.25">
      <c r="A16" s="41" t="s">
        <v>343</v>
      </c>
      <c r="B16" s="41" t="s">
        <v>30</v>
      </c>
      <c r="C16" s="360" t="s">
        <v>362</v>
      </c>
      <c r="D16" s="481" t="s">
        <v>361</v>
      </c>
      <c r="E16" s="482"/>
      <c r="F16" s="483"/>
      <c r="G16" s="332" t="s">
        <v>344</v>
      </c>
      <c r="H16" s="351" t="s">
        <v>363</v>
      </c>
    </row>
    <row r="17" spans="8:8">
      <c r="H17" s="335"/>
    </row>
    <row r="18" spans="8:8">
      <c r="H18" s="335"/>
    </row>
    <row r="19" spans="8:8">
      <c r="H19" s="335"/>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11">
    <tabColor rgb="FFF9FBBB"/>
  </sheetPr>
  <dimension ref="A1:G16"/>
  <sheetViews>
    <sheetView workbookViewId="0"/>
  </sheetViews>
  <sheetFormatPr defaultRowHeight="12.75"/>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c r="A1" s="43" t="s">
        <v>348</v>
      </c>
      <c r="B1" s="43"/>
      <c r="C1" s="43"/>
      <c r="D1" s="43"/>
      <c r="E1" s="43"/>
      <c r="F1" s="43"/>
      <c r="G1" s="43"/>
    </row>
    <row r="2" spans="1:7" ht="25.5">
      <c r="A2" s="46" t="s">
        <v>288</v>
      </c>
      <c r="B2" s="45"/>
      <c r="C2" s="45"/>
      <c r="D2" s="45"/>
      <c r="E2" s="45"/>
      <c r="F2" s="5"/>
      <c r="G2" s="5"/>
    </row>
    <row r="4" spans="1:7" ht="25.5">
      <c r="A4" s="42" t="s">
        <v>142</v>
      </c>
      <c r="B4" s="42" t="s">
        <v>8</v>
      </c>
      <c r="C4" s="42" t="s">
        <v>145</v>
      </c>
      <c r="D4" s="42" t="s">
        <v>146</v>
      </c>
      <c r="E4" s="42" t="s">
        <v>179</v>
      </c>
      <c r="F4" s="381" t="s">
        <v>346</v>
      </c>
    </row>
    <row r="5" spans="1:7" ht="76.5">
      <c r="A5" s="47" t="s">
        <v>285</v>
      </c>
      <c r="B5" s="47" t="s">
        <v>286</v>
      </c>
      <c r="C5" s="47" t="s">
        <v>321</v>
      </c>
      <c r="D5" s="296">
        <v>4</v>
      </c>
      <c r="E5" s="47" t="s">
        <v>287</v>
      </c>
      <c r="F5" s="383" t="s">
        <v>300</v>
      </c>
    </row>
    <row r="7" spans="1:7" s="43" customFormat="1" ht="18">
      <c r="A7" s="473" t="s">
        <v>349</v>
      </c>
      <c r="B7" s="473"/>
      <c r="C7" s="473"/>
      <c r="D7" s="473"/>
      <c r="E7" s="473"/>
      <c r="F7" s="473"/>
    </row>
    <row r="8" spans="1:7" s="5" customFormat="1">
      <c r="A8" s="46" t="s">
        <v>305</v>
      </c>
      <c r="B8" s="45"/>
      <c r="C8" s="45"/>
      <c r="D8" s="45"/>
      <c r="E8" s="45"/>
    </row>
    <row r="10" spans="1:7" ht="25.5">
      <c r="A10" s="42" t="s">
        <v>142</v>
      </c>
      <c r="B10" s="42" t="s">
        <v>8</v>
      </c>
      <c r="C10" s="42" t="s">
        <v>145</v>
      </c>
      <c r="D10" s="42" t="s">
        <v>146</v>
      </c>
      <c r="E10" s="42" t="s">
        <v>179</v>
      </c>
      <c r="F10" s="344" t="s">
        <v>346</v>
      </c>
    </row>
    <row r="11" spans="1:7" ht="63.75">
      <c r="A11" s="47" t="s">
        <v>315</v>
      </c>
      <c r="B11" s="326" t="s">
        <v>324</v>
      </c>
      <c r="C11" s="44" t="s">
        <v>156</v>
      </c>
      <c r="D11" s="325" t="s">
        <v>311</v>
      </c>
      <c r="E11" s="47" t="s">
        <v>312</v>
      </c>
      <c r="F11" s="311" t="s">
        <v>309</v>
      </c>
    </row>
    <row r="12" spans="1:7" ht="51">
      <c r="A12" s="47" t="s">
        <v>316</v>
      </c>
      <c r="B12" s="324" t="s">
        <v>310</v>
      </c>
      <c r="C12" s="44" t="s">
        <v>156</v>
      </c>
      <c r="D12" s="325" t="s">
        <v>399</v>
      </c>
      <c r="E12" s="47" t="s">
        <v>313</v>
      </c>
      <c r="F12" s="311" t="s">
        <v>314</v>
      </c>
    </row>
    <row r="13" spans="1:7">
      <c r="A13" s="48"/>
      <c r="B13" s="48"/>
      <c r="C13" s="48"/>
      <c r="D13" s="48"/>
      <c r="E13" s="48"/>
      <c r="F13" s="45"/>
    </row>
    <row r="14" spans="1:7" ht="18">
      <c r="A14" s="484" t="s">
        <v>347</v>
      </c>
      <c r="B14" s="484"/>
      <c r="C14" s="484"/>
      <c r="D14" s="484"/>
      <c r="E14" s="484"/>
      <c r="F14" s="484"/>
    </row>
    <row r="15" spans="1:7" ht="25.5">
      <c r="A15" s="42" t="s">
        <v>142</v>
      </c>
      <c r="B15" s="42" t="s">
        <v>8</v>
      </c>
      <c r="C15" s="42" t="s">
        <v>145</v>
      </c>
      <c r="D15" s="42" t="s">
        <v>146</v>
      </c>
      <c r="E15" s="42" t="s">
        <v>179</v>
      </c>
      <c r="F15" s="344" t="s">
        <v>346</v>
      </c>
    </row>
    <row r="16" spans="1:7" ht="89.25">
      <c r="A16" s="41" t="s">
        <v>323</v>
      </c>
      <c r="B16" s="316" t="s">
        <v>66</v>
      </c>
      <c r="C16" s="316" t="s">
        <v>306</v>
      </c>
      <c r="D16" s="47" t="s">
        <v>322</v>
      </c>
      <c r="E16" s="44" t="s">
        <v>319</v>
      </c>
      <c r="F16" s="41" t="s">
        <v>307</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9">
    <tabColor rgb="FFF9FBBB"/>
  </sheetPr>
  <dimension ref="A1:F20"/>
  <sheetViews>
    <sheetView workbookViewId="0"/>
  </sheetViews>
  <sheetFormatPr defaultRowHeight="12.75"/>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c r="A1" s="43" t="s">
        <v>294</v>
      </c>
    </row>
    <row r="2" spans="1:6" s="5" customFormat="1" ht="25.5">
      <c r="A2" s="46" t="s">
        <v>295</v>
      </c>
      <c r="B2" s="45"/>
      <c r="C2" s="45"/>
      <c r="D2" s="45"/>
      <c r="E2" s="45"/>
    </row>
    <row r="4" spans="1:6" ht="25.5">
      <c r="A4" s="42" t="s">
        <v>142</v>
      </c>
      <c r="B4" s="42" t="s">
        <v>8</v>
      </c>
      <c r="C4" s="42" t="s">
        <v>145</v>
      </c>
      <c r="D4" s="42" t="s">
        <v>146</v>
      </c>
      <c r="E4" s="42" t="s">
        <v>179</v>
      </c>
    </row>
    <row r="5" spans="1:6" ht="38.25">
      <c r="A5" s="44" t="s">
        <v>291</v>
      </c>
      <c r="B5" s="44" t="s">
        <v>292</v>
      </c>
      <c r="C5" s="44" t="s">
        <v>162</v>
      </c>
      <c r="D5" s="300" t="s">
        <v>296</v>
      </c>
      <c r="E5" s="47" t="s">
        <v>297</v>
      </c>
      <c r="F5" s="41" t="s">
        <v>293</v>
      </c>
    </row>
    <row r="6" spans="1:6">
      <c r="A6" s="48"/>
      <c r="B6" s="48"/>
      <c r="C6" s="48"/>
      <c r="D6" s="48"/>
      <c r="E6" s="48"/>
      <c r="F6" s="45"/>
    </row>
    <row r="7" spans="1:6" s="43" customFormat="1" ht="18">
      <c r="A7" s="43" t="s">
        <v>177</v>
      </c>
    </row>
    <row r="8" spans="1:6">
      <c r="A8" s="40" t="s">
        <v>159</v>
      </c>
    </row>
    <row r="9" spans="1:6">
      <c r="A9" s="40"/>
    </row>
    <row r="10" spans="1:6" s="2" customFormat="1" ht="25.5">
      <c r="A10" s="42" t="s">
        <v>142</v>
      </c>
      <c r="B10" s="42" t="s">
        <v>8</v>
      </c>
      <c r="C10" s="42" t="s">
        <v>145</v>
      </c>
      <c r="D10" s="42" t="s">
        <v>146</v>
      </c>
      <c r="E10" s="42" t="s">
        <v>179</v>
      </c>
    </row>
    <row r="11" spans="1:6" s="1" customFormat="1" ht="76.5">
      <c r="A11" s="41" t="s">
        <v>178</v>
      </c>
      <c r="B11" s="41" t="s">
        <v>30</v>
      </c>
      <c r="C11" s="41" t="s">
        <v>269</v>
      </c>
      <c r="D11" s="41" t="s">
        <v>317</v>
      </c>
      <c r="E11" s="41" t="s">
        <v>180</v>
      </c>
    </row>
    <row r="13" spans="1:6" s="43" customFormat="1" ht="18">
      <c r="A13" s="43" t="s">
        <v>282</v>
      </c>
    </row>
    <row r="14" spans="1:6" s="5" customFormat="1" ht="25.5">
      <c r="A14" s="46" t="s">
        <v>289</v>
      </c>
      <c r="B14" s="45"/>
      <c r="C14" s="45"/>
      <c r="D14" s="45"/>
      <c r="E14" s="45"/>
    </row>
    <row r="16" spans="1:6" ht="25.5">
      <c r="A16" s="42" t="s">
        <v>142</v>
      </c>
      <c r="B16" s="42" t="s">
        <v>8</v>
      </c>
      <c r="C16" s="42" t="s">
        <v>145</v>
      </c>
      <c r="D16" s="42" t="s">
        <v>146</v>
      </c>
      <c r="E16" s="42" t="s">
        <v>179</v>
      </c>
    </row>
    <row r="17" spans="1:6" ht="38.25">
      <c r="A17" s="44" t="s">
        <v>34</v>
      </c>
      <c r="B17" s="44" t="s">
        <v>66</v>
      </c>
      <c r="C17" s="47" t="s">
        <v>320</v>
      </c>
      <c r="D17" s="47" t="s">
        <v>318</v>
      </c>
      <c r="E17" s="44" t="s">
        <v>319</v>
      </c>
      <c r="F17" s="41" t="s">
        <v>283</v>
      </c>
    </row>
    <row r="19" spans="1:6" s="43" customFormat="1" ht="18"/>
    <row r="20" spans="1:6" s="5" customFormat="1"/>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Sheet1</vt:lpstr>
      <vt:lpstr>Section</vt:lpstr>
      <vt:lpstr>Acct Mapping</vt:lpstr>
      <vt:lpstr>Pmt Plan Tmpl</vt:lpstr>
      <vt:lpstr>1-DUI (ALT)</vt:lpstr>
      <vt:lpstr>10-SpTS</vt:lpstr>
      <vt:lpstr>6-RLBF</vt:lpstr>
      <vt:lpstr>7-RLTS</vt:lpstr>
      <vt:lpstr>Top-Down Method 1</vt:lpstr>
      <vt:lpstr>Top-Down Method 2</vt:lpstr>
      <vt:lpstr>Counties</vt:lpstr>
      <vt:lpstr>Court_Name</vt:lpstr>
      <vt:lpstr>Distribution_Method</vt:lpstr>
      <vt:lpstr>'10-SpTS'!Print_Area</vt:lpstr>
      <vt:lpstr>'1-DUI (ALT)'!Print_Area</vt:lpstr>
      <vt:lpstr>'6-RLBF'!Print_Area</vt:lpstr>
      <vt:lpstr>'7-RLTS'!Print_Area</vt:lpstr>
      <vt:lpstr>'Cover Page'!Print_Area</vt:lpstr>
      <vt:lpstr>'Worksheets Included'!Print_Area</vt:lpstr>
      <vt:lpstr>Yes_No</vt:lpstr>
      <vt:lpstr>Yes_No_NA</vt:lpstr>
      <vt:lpstr>Yes_No_NA_City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rcabral</cp:lastModifiedBy>
  <cp:lastPrinted>2014-05-27T15:50:06Z</cp:lastPrinted>
  <dcterms:created xsi:type="dcterms:W3CDTF">2007-12-13T20:20:54Z</dcterms:created>
  <dcterms:modified xsi:type="dcterms:W3CDTF">2015-05-04T17:07:07Z</dcterms:modified>
</cp:coreProperties>
</file>