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udget Services\Training Documents and Procedures\Revenue Distribution Training\Revenue Distribution May 2021\Session A Basic Distribution\"/>
    </mc:Choice>
  </mc:AlternateContent>
  <xr:revisionPtr revIDLastSave="0" documentId="8_{4DC33DB7-E0C9-45C5-B47C-39D25FF71D65}" xr6:coauthVersionLast="45" xr6:coauthVersionMax="45" xr10:uidLastSave="{00000000-0000-0000-0000-000000000000}"/>
  <bookViews>
    <workbookView xWindow="-110" yWindow="-110" windowWidth="19420" windowHeight="10420" tabRatio="803" firstSheet="2" activeTab="12" xr2:uid="{00000000-000D-0000-FFFF-FFFF00000000}"/>
  </bookViews>
  <sheets>
    <sheet name="Drop-Down List" sheetId="85" state="hidden" r:id="rId1"/>
    <sheet name="2009 UPDATE" sheetId="83" state="hidden" r:id="rId2"/>
    <sheet name="Local Penalties" sheetId="166" r:id="rId3"/>
    <sheet name="Sheet1" sheetId="82" state="hidden" r:id="rId4"/>
    <sheet name="Section" sheetId="42" state="hidden" r:id="rId5"/>
    <sheet name="Acct Mapping" sheetId="50" state="hidden" r:id="rId6"/>
    <sheet name="Pmt Plan Tmpl" sheetId="73" state="hidden" r:id="rId7"/>
    <sheet name="1-DUI (ALT)" sheetId="52" state="hidden" r:id="rId8"/>
    <sheet name=" Case Study #1- Speeding" sheetId="110" r:id="rId9"/>
    <sheet name=" Case Study #1.2" sheetId="170" r:id="rId10"/>
    <sheet name="Top Down Method 1" sheetId="173" r:id="rId11"/>
    <sheet name="Top Down Method 2" sheetId="174" r:id="rId12"/>
    <sheet name="Case Study #2 -DUI" sheetId="157" r:id="rId13"/>
  </sheets>
  <externalReferences>
    <externalReference r:id="rId14"/>
    <externalReference r:id="rId15"/>
    <externalReference r:id="rId16"/>
    <externalReference r:id="rId17"/>
  </externalReferences>
  <definedNames>
    <definedName name="Answer" localSheetId="10">#REF!</definedName>
    <definedName name="Answer" localSheetId="11">#REF!</definedName>
    <definedName name="Answer">#REF!</definedName>
    <definedName name="Counties" localSheetId="10">'[1]Local Penalties'!$A$12:$A$69</definedName>
    <definedName name="Counties" localSheetId="11">'[1]Local Penalties'!$A$12:$A$69</definedName>
    <definedName name="Counties">'Local Penalties'!$A$12:$A$69</definedName>
    <definedName name="County" localSheetId="10">#REF!</definedName>
    <definedName name="County" localSheetId="11">#REF!</definedName>
    <definedName name="County">#REF!</definedName>
    <definedName name="County_Name">#REF!</definedName>
    <definedName name="Court_Name" localSheetId="10">[1]Sheet1!$D$1:$D$59</definedName>
    <definedName name="Court_Name" localSheetId="11">[1]Sheet1!$D$1:$D$59</definedName>
    <definedName name="Court_Name">Sheet1!$D$1:$D$59</definedName>
    <definedName name="dbo_Fund" localSheetId="8">#REF!</definedName>
    <definedName name="dbo_Fund" localSheetId="9">#REF!</definedName>
    <definedName name="dbo_Fund" localSheetId="12">#REF!</definedName>
    <definedName name="dbo_Fund">#REF!</definedName>
    <definedName name="Distribution_Method" localSheetId="10">'[1]Drop-Down List'!$A$1:$A$2</definedName>
    <definedName name="Distribution_Method" localSheetId="11">'[1]Drop-Down List'!$A$1:$A$2</definedName>
    <definedName name="Distribution_Method">'Drop-Down List'!$A$1:$A$2</definedName>
    <definedName name="H_S">'[2]Drop-Down List'!$A$12:$A$13</definedName>
    <definedName name="Hdfljh">#REF!</definedName>
    <definedName name="health">'[2]Drop-Down List'!$A$12:$A$13</definedName>
    <definedName name="HS">#REF!</definedName>
    <definedName name="_xlnm.Print_Area" localSheetId="8">' Case Study #1- Speeding'!$A$1:$W$48</definedName>
    <definedName name="_xlnm.Print_Area" localSheetId="9">' Case Study #1.2'!$A$1:$W$48</definedName>
    <definedName name="_xlnm.Print_Area" localSheetId="7">'1-DUI (ALT)'!$A$1:$S$49</definedName>
    <definedName name="_xlnm.Print_Area" localSheetId="12">'Case Study #2 -DUI'!$A$1:$X$54</definedName>
    <definedName name="s1.2">#REF!</definedName>
    <definedName name="Yes_No" localSheetId="10">'[1]Drop-Down List'!$A$12:$A$13</definedName>
    <definedName name="Yes_No" localSheetId="11">'[1]Drop-Down List'!$A$12:$A$13</definedName>
    <definedName name="Yes_No">'Drop-Down List'!$A$12:$A$13</definedName>
    <definedName name="Yes_No_NA" localSheetId="10">'[1]Drop-Down List'!$A$4:$A$6</definedName>
    <definedName name="Yes_No_NA" localSheetId="11">'[1]Drop-Down List'!$A$4:$A$6</definedName>
    <definedName name="Yes_No_NA">'Drop-Down List'!$A$4:$A$6</definedName>
    <definedName name="Yes_No_NA_City" localSheetId="10">'[1]Drop-Down List'!$A$8:$A$10</definedName>
    <definedName name="Yes_No_NA_City" localSheetId="11">'[1]Drop-Down List'!$A$8:$A$10</definedName>
    <definedName name="Yes_No_NA_City">'Drop-Down List'!$A$8:$A$10</definedName>
    <definedName name="Z_07F1F502_9FC7_4878_A746_52E1655BD4FA_.wvu.Cols" localSheetId="8" hidden="1">' Case Study #1- Speeding'!#REF!,' Case Study #1- Speeding'!#REF!</definedName>
    <definedName name="Z_07F1F502_9FC7_4878_A746_52E1655BD4FA_.wvu.Cols" localSheetId="9" hidden="1">' Case Study #1.2'!#REF!,' Case Study #1.2'!#REF!</definedName>
    <definedName name="Z_07F1F502_9FC7_4878_A746_52E1655BD4FA_.wvu.Cols" localSheetId="7" hidden="1">'1-DUI (ALT)'!#REF!,'1-DUI (ALT)'!#REF!</definedName>
    <definedName name="Z_07F1F502_9FC7_4878_A746_52E1655BD4FA_.wvu.Cols" localSheetId="12" hidden="1">'Case Study #2 -DUI'!#REF!,'Case Study #2 -DUI'!#REF!</definedName>
  </definedNames>
  <calcPr calcId="191029"/>
  <customWorkbookViews>
    <customWorkbookView name="Ryan" guid="{07F1F502-9FC7-4878-A746-52E1655BD4FA}" maximized="1" windowWidth="1072" windowHeight="852" tabRatio="973" activeSheetId="76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" i="157" l="1"/>
  <c r="J42" i="157"/>
  <c r="N40" i="174" l="1"/>
  <c r="J40" i="174"/>
  <c r="K40" i="174" s="1"/>
  <c r="N39" i="174"/>
  <c r="J39" i="174"/>
  <c r="K39" i="174" s="1"/>
  <c r="N38" i="174"/>
  <c r="J38" i="174"/>
  <c r="K38" i="174" s="1"/>
  <c r="N37" i="174"/>
  <c r="J37" i="174"/>
  <c r="K37" i="174" s="1"/>
  <c r="N36" i="174"/>
  <c r="J36" i="174"/>
  <c r="K36" i="174" s="1"/>
  <c r="N34" i="174"/>
  <c r="J34" i="174"/>
  <c r="J32" i="174"/>
  <c r="K32" i="174" s="1"/>
  <c r="N24" i="174"/>
  <c r="J24" i="174"/>
  <c r="O11" i="174"/>
  <c r="E26" i="174" s="1"/>
  <c r="O10" i="174"/>
  <c r="D9" i="174"/>
  <c r="O6" i="174"/>
  <c r="D10" i="174" s="1"/>
  <c r="I34" i="174" s="1"/>
  <c r="N40" i="173"/>
  <c r="M40" i="173"/>
  <c r="J40" i="173"/>
  <c r="K40" i="173" s="1"/>
  <c r="N39" i="173"/>
  <c r="M39" i="173"/>
  <c r="J39" i="173"/>
  <c r="K39" i="173" s="1"/>
  <c r="N38" i="173"/>
  <c r="M38" i="173"/>
  <c r="J38" i="173"/>
  <c r="K38" i="173" s="1"/>
  <c r="N37" i="173"/>
  <c r="M37" i="173"/>
  <c r="O37" i="173" s="1"/>
  <c r="J37" i="173"/>
  <c r="K37" i="173" s="1"/>
  <c r="N36" i="173"/>
  <c r="M36" i="173"/>
  <c r="J36" i="173"/>
  <c r="K36" i="173" s="1"/>
  <c r="N34" i="173"/>
  <c r="J34" i="173"/>
  <c r="M32" i="173"/>
  <c r="N32" i="173" s="1"/>
  <c r="O32" i="173" s="1"/>
  <c r="J32" i="173"/>
  <c r="K32" i="173" s="1"/>
  <c r="O11" i="173"/>
  <c r="E26" i="173" s="1"/>
  <c r="O10" i="173"/>
  <c r="D10" i="173"/>
  <c r="I34" i="173" s="1"/>
  <c r="D9" i="173"/>
  <c r="O6" i="173"/>
  <c r="O40" i="173" l="1"/>
  <c r="O38" i="173"/>
  <c r="M35" i="173"/>
  <c r="O36" i="173"/>
  <c r="O39" i="173"/>
  <c r="K34" i="174"/>
  <c r="D11" i="174"/>
  <c r="I19" i="174"/>
  <c r="I20" i="174"/>
  <c r="K34" i="173"/>
  <c r="D11" i="173"/>
  <c r="I20" i="173"/>
  <c r="I19" i="173"/>
  <c r="J20" i="174" l="1"/>
  <c r="K20" i="174"/>
  <c r="I22" i="174"/>
  <c r="I31" i="174"/>
  <c r="I27" i="174"/>
  <c r="I26" i="174"/>
  <c r="I23" i="174"/>
  <c r="I24" i="174"/>
  <c r="I30" i="174"/>
  <c r="I28" i="174"/>
  <c r="I25" i="174"/>
  <c r="I29" i="174"/>
  <c r="I33" i="174"/>
  <c r="I21" i="174"/>
  <c r="J19" i="174"/>
  <c r="K19" i="174" s="1"/>
  <c r="I22" i="173"/>
  <c r="I31" i="173"/>
  <c r="I27" i="173"/>
  <c r="I23" i="173"/>
  <c r="I28" i="173"/>
  <c r="I24" i="173"/>
  <c r="I30" i="173"/>
  <c r="I26" i="173"/>
  <c r="I29" i="173"/>
  <c r="I21" i="173"/>
  <c r="I33" i="173"/>
  <c r="I25" i="173"/>
  <c r="J19" i="173"/>
  <c r="K19" i="173" s="1"/>
  <c r="J20" i="173"/>
  <c r="K20" i="173" s="1"/>
  <c r="J23" i="174" l="1"/>
  <c r="K23" i="174" s="1"/>
  <c r="J29" i="174"/>
  <c r="K29" i="174" s="1"/>
  <c r="J27" i="174"/>
  <c r="K27" i="174"/>
  <c r="J21" i="174"/>
  <c r="K21" i="174" s="1"/>
  <c r="J31" i="174"/>
  <c r="K31" i="174" s="1"/>
  <c r="K24" i="174"/>
  <c r="J33" i="174"/>
  <c r="K33" i="174" s="1"/>
  <c r="J22" i="174"/>
  <c r="K22" i="174" s="1"/>
  <c r="I35" i="174"/>
  <c r="I43" i="174" s="1"/>
  <c r="M15" i="174" s="1"/>
  <c r="M24" i="174" s="1"/>
  <c r="O24" i="174" s="1"/>
  <c r="J28" i="174"/>
  <c r="K28" i="174" s="1"/>
  <c r="J26" i="174"/>
  <c r="K26" i="174" s="1"/>
  <c r="J25" i="174"/>
  <c r="K25" i="174" s="1"/>
  <c r="M30" i="174"/>
  <c r="J30" i="174"/>
  <c r="K30" i="174" s="1"/>
  <c r="J26" i="173"/>
  <c r="K26" i="173" s="1"/>
  <c r="I35" i="173"/>
  <c r="J33" i="173"/>
  <c r="K33" i="173" s="1"/>
  <c r="K30" i="173"/>
  <c r="J30" i="173"/>
  <c r="J24" i="173"/>
  <c r="K24" i="173" s="1"/>
  <c r="J28" i="173"/>
  <c r="K28" i="173" s="1"/>
  <c r="J25" i="173"/>
  <c r="K25" i="173" s="1"/>
  <c r="J21" i="173"/>
  <c r="K21" i="173" s="1"/>
  <c r="J31" i="173"/>
  <c r="K31" i="173" s="1"/>
  <c r="J23" i="173"/>
  <c r="K23" i="173" s="1"/>
  <c r="J27" i="173"/>
  <c r="K27" i="173" s="1"/>
  <c r="J29" i="173"/>
  <c r="K29" i="173" s="1"/>
  <c r="J22" i="173"/>
  <c r="K22" i="173"/>
  <c r="M26" i="174" l="1"/>
  <c r="N26" i="174" s="1"/>
  <c r="O26" i="174" s="1"/>
  <c r="K35" i="174"/>
  <c r="N30" i="174"/>
  <c r="O30" i="174" s="1"/>
  <c r="M33" i="174"/>
  <c r="J42" i="174"/>
  <c r="K41" i="174" s="1"/>
  <c r="M29" i="174"/>
  <c r="M25" i="174"/>
  <c r="M37" i="174"/>
  <c r="O37" i="174" s="1"/>
  <c r="M40" i="174"/>
  <c r="O40" i="174" s="1"/>
  <c r="M32" i="174"/>
  <c r="M38" i="174"/>
  <c r="O38" i="174" s="1"/>
  <c r="M36" i="174"/>
  <c r="M39" i="174"/>
  <c r="O39" i="174" s="1"/>
  <c r="M34" i="174"/>
  <c r="O34" i="174" s="1"/>
  <c r="M19" i="174"/>
  <c r="M20" i="174"/>
  <c r="M21" i="174"/>
  <c r="M23" i="174"/>
  <c r="M28" i="174"/>
  <c r="M22" i="174"/>
  <c r="M31" i="174"/>
  <c r="M27" i="174"/>
  <c r="K35" i="173"/>
  <c r="J42" i="173"/>
  <c r="K41" i="173" s="1"/>
  <c r="I43" i="173"/>
  <c r="M15" i="173"/>
  <c r="N25" i="174" l="1"/>
  <c r="O25" i="174" s="1"/>
  <c r="N29" i="174"/>
  <c r="O29" i="174" s="1"/>
  <c r="N31" i="174"/>
  <c r="O31" i="174" s="1"/>
  <c r="M35" i="174"/>
  <c r="O36" i="174"/>
  <c r="N23" i="174"/>
  <c r="O23" i="174" s="1"/>
  <c r="N33" i="174"/>
  <c r="O33" i="174" s="1"/>
  <c r="N21" i="174"/>
  <c r="O21" i="174" s="1"/>
  <c r="N20" i="174"/>
  <c r="O20" i="174" s="1"/>
  <c r="N22" i="174"/>
  <c r="O22" i="174" s="1"/>
  <c r="N28" i="174"/>
  <c r="O28" i="174" s="1"/>
  <c r="N32" i="174"/>
  <c r="O32" i="174"/>
  <c r="N19" i="174"/>
  <c r="O19" i="174" s="1"/>
  <c r="N27" i="174"/>
  <c r="O27" i="174" s="1"/>
  <c r="K43" i="174"/>
  <c r="M34" i="173"/>
  <c r="O34" i="173" s="1"/>
  <c r="M19" i="173"/>
  <c r="M20" i="173"/>
  <c r="M26" i="173"/>
  <c r="M30" i="173"/>
  <c r="M22" i="173"/>
  <c r="M28" i="173"/>
  <c r="M31" i="173"/>
  <c r="M27" i="173"/>
  <c r="M24" i="173"/>
  <c r="M29" i="173"/>
  <c r="M23" i="173"/>
  <c r="M33" i="173"/>
  <c r="M25" i="173"/>
  <c r="M21" i="173"/>
  <c r="K43" i="173"/>
  <c r="O35" i="174" l="1"/>
  <c r="N42" i="174"/>
  <c r="O41" i="174" s="1"/>
  <c r="N30" i="173"/>
  <c r="O30" i="173" s="1"/>
  <c r="N21" i="173"/>
  <c r="O21" i="173" s="1"/>
  <c r="N33" i="173"/>
  <c r="O33" i="173" s="1"/>
  <c r="N26" i="173"/>
  <c r="O26" i="173" s="1"/>
  <c r="N31" i="173"/>
  <c r="O31" i="173" s="1"/>
  <c r="N20" i="173"/>
  <c r="O20" i="173" s="1"/>
  <c r="N25" i="173"/>
  <c r="O25" i="173" s="1"/>
  <c r="N23" i="173"/>
  <c r="O23" i="173" s="1"/>
  <c r="N24" i="173"/>
  <c r="O24" i="173" s="1"/>
  <c r="N19" i="173"/>
  <c r="N28" i="173"/>
  <c r="O28" i="173" s="1"/>
  <c r="N22" i="173"/>
  <c r="O22" i="173" s="1"/>
  <c r="N29" i="173"/>
  <c r="O29" i="173" s="1"/>
  <c r="N27" i="173"/>
  <c r="O27" i="173" s="1"/>
  <c r="O43" i="174" l="1"/>
  <c r="N42" i="173"/>
  <c r="O41" i="173" s="1"/>
  <c r="O19" i="173"/>
  <c r="O35" i="173" s="1"/>
  <c r="O43" i="173" l="1"/>
  <c r="O43" i="170" l="1"/>
  <c r="R40" i="170"/>
  <c r="Q40" i="170"/>
  <c r="S40" i="170" s="1"/>
  <c r="U40" i="170" s="1"/>
  <c r="K40" i="170"/>
  <c r="J40" i="170"/>
  <c r="R39" i="170"/>
  <c r="S39" i="170" s="1"/>
  <c r="U39" i="170" s="1"/>
  <c r="Q39" i="170"/>
  <c r="J39" i="170"/>
  <c r="K39" i="170" s="1"/>
  <c r="R38" i="170"/>
  <c r="Q38" i="170"/>
  <c r="J38" i="170"/>
  <c r="K38" i="170" s="1"/>
  <c r="R37" i="170"/>
  <c r="Q37" i="170"/>
  <c r="J37" i="170"/>
  <c r="K37" i="170" s="1"/>
  <c r="R36" i="170"/>
  <c r="Q36" i="170"/>
  <c r="S36" i="170" s="1"/>
  <c r="U36" i="170" s="1"/>
  <c r="J36" i="170"/>
  <c r="K36" i="170" s="1"/>
  <c r="Q35" i="170"/>
  <c r="O35" i="170"/>
  <c r="R34" i="170"/>
  <c r="Q34" i="170"/>
  <c r="J34" i="170"/>
  <c r="Q33" i="170"/>
  <c r="R33" i="170" s="1"/>
  <c r="Q32" i="170"/>
  <c r="R32" i="170" s="1"/>
  <c r="S32" i="170" s="1"/>
  <c r="U32" i="170" s="1"/>
  <c r="J32" i="170"/>
  <c r="K32" i="170" s="1"/>
  <c r="Q31" i="170"/>
  <c r="Q30" i="170"/>
  <c r="R30" i="170" s="1"/>
  <c r="S30" i="170" s="1"/>
  <c r="U30" i="170" s="1"/>
  <c r="Q29" i="170"/>
  <c r="R29" i="170" s="1"/>
  <c r="S29" i="170" s="1"/>
  <c r="U29" i="170" s="1"/>
  <c r="Q28" i="170"/>
  <c r="Q27" i="170"/>
  <c r="R27" i="170" s="1"/>
  <c r="Q26" i="170"/>
  <c r="R26" i="170" s="1"/>
  <c r="Q25" i="170"/>
  <c r="Q24" i="170"/>
  <c r="R24" i="170" s="1"/>
  <c r="S24" i="170" s="1"/>
  <c r="Q23" i="170"/>
  <c r="Q22" i="170"/>
  <c r="Q21" i="170"/>
  <c r="R21" i="170" s="1"/>
  <c r="Q20" i="170"/>
  <c r="R20" i="170" s="1"/>
  <c r="S20" i="170" s="1"/>
  <c r="Q19" i="170"/>
  <c r="O10" i="170"/>
  <c r="AA9" i="170"/>
  <c r="Z9" i="170"/>
  <c r="D9" i="170"/>
  <c r="O6" i="170"/>
  <c r="D10" i="170" s="1"/>
  <c r="I19" i="170" s="1"/>
  <c r="D4" i="170"/>
  <c r="S37" i="170" l="1"/>
  <c r="U37" i="170" s="1"/>
  <c r="S34" i="170"/>
  <c r="U34" i="170" s="1"/>
  <c r="Z8" i="170"/>
  <c r="R25" i="170"/>
  <c r="S25" i="170" s="1"/>
  <c r="U25" i="170" s="1"/>
  <c r="S26" i="170"/>
  <c r="U26" i="170" s="1"/>
  <c r="S21" i="170"/>
  <c r="U21" i="170" s="1"/>
  <c r="S33" i="170"/>
  <c r="U33" i="170" s="1"/>
  <c r="S38" i="170"/>
  <c r="J19" i="170"/>
  <c r="AA8" i="170"/>
  <c r="U38" i="170"/>
  <c r="U20" i="170"/>
  <c r="AA7" i="170"/>
  <c r="U24" i="170"/>
  <c r="I20" i="170"/>
  <c r="R23" i="170"/>
  <c r="S23" i="170" s="1"/>
  <c r="U23" i="170" s="1"/>
  <c r="S27" i="170"/>
  <c r="U27" i="170" s="1"/>
  <c r="R22" i="170"/>
  <c r="S22" i="170" s="1"/>
  <c r="U22" i="170" s="1"/>
  <c r="R31" i="170"/>
  <c r="S31" i="170" s="1"/>
  <c r="U31" i="170" s="1"/>
  <c r="I34" i="170"/>
  <c r="K34" i="170" s="1"/>
  <c r="D11" i="170"/>
  <c r="R19" i="170"/>
  <c r="R28" i="170"/>
  <c r="S28" i="170" s="1"/>
  <c r="U28" i="170" s="1"/>
  <c r="R24" i="157"/>
  <c r="S24" i="157" s="1"/>
  <c r="T24" i="157" s="1"/>
  <c r="I31" i="170" l="1"/>
  <c r="I22" i="170"/>
  <c r="I23" i="170"/>
  <c r="I24" i="170"/>
  <c r="I33" i="170"/>
  <c r="I26" i="170"/>
  <c r="I25" i="170"/>
  <c r="I28" i="170"/>
  <c r="I27" i="170"/>
  <c r="I29" i="170"/>
  <c r="I30" i="170"/>
  <c r="I21" i="170"/>
  <c r="K19" i="170"/>
  <c r="J20" i="170"/>
  <c r="K20" i="170" s="1"/>
  <c r="Z7" i="170" s="1"/>
  <c r="R42" i="170"/>
  <c r="S41" i="170" s="1"/>
  <c r="S19" i="170"/>
  <c r="B8" i="166"/>
  <c r="P11" i="157" s="1"/>
  <c r="O11" i="170" s="1"/>
  <c r="E26" i="170" s="1"/>
  <c r="A8" i="166"/>
  <c r="J26" i="170" l="1"/>
  <c r="K26" i="170" s="1"/>
  <c r="J24" i="170"/>
  <c r="K24" i="170" s="1"/>
  <c r="J23" i="170"/>
  <c r="K23" i="170"/>
  <c r="J25" i="170"/>
  <c r="K25" i="170" s="1"/>
  <c r="J21" i="170"/>
  <c r="S35" i="170"/>
  <c r="S43" i="170" s="1"/>
  <c r="AA6" i="170"/>
  <c r="U19" i="170"/>
  <c r="U35" i="170" s="1"/>
  <c r="J29" i="170"/>
  <c r="K29" i="170" s="1"/>
  <c r="J22" i="170"/>
  <c r="K22" i="170" s="1"/>
  <c r="J33" i="170"/>
  <c r="K33" i="170" s="1"/>
  <c r="J27" i="170"/>
  <c r="K27" i="170" s="1"/>
  <c r="J30" i="170"/>
  <c r="K30" i="170" s="1"/>
  <c r="U41" i="170"/>
  <c r="AA5" i="170"/>
  <c r="J31" i="170"/>
  <c r="K31" i="170" s="1"/>
  <c r="J28" i="170"/>
  <c r="K28" i="170" s="1"/>
  <c r="I35" i="170"/>
  <c r="O11" i="110"/>
  <c r="E26" i="110" s="1"/>
  <c r="E26" i="157"/>
  <c r="Z6" i="170" l="1"/>
  <c r="J42" i="170"/>
  <c r="K41" i="170" s="1"/>
  <c r="Q15" i="170"/>
  <c r="I43" i="170"/>
  <c r="U43" i="170"/>
  <c r="AA10" i="170"/>
  <c r="AA11" i="170" s="1"/>
  <c r="K21" i="170"/>
  <c r="R46" i="157"/>
  <c r="S46" i="157"/>
  <c r="K46" i="157"/>
  <c r="L46" i="157" s="1"/>
  <c r="V46" i="157" s="1"/>
  <c r="AA9" i="110"/>
  <c r="Z9" i="110"/>
  <c r="Q32" i="110"/>
  <c r="J34" i="110"/>
  <c r="R34" i="110"/>
  <c r="K34" i="157"/>
  <c r="S34" i="157"/>
  <c r="Z5" i="170" l="1"/>
  <c r="Z10" i="170" s="1"/>
  <c r="Z11" i="170" s="1"/>
  <c r="K35" i="170"/>
  <c r="K43" i="170" s="1"/>
  <c r="T46" i="157"/>
  <c r="Q36" i="110"/>
  <c r="R36" i="110"/>
  <c r="R42" i="157"/>
  <c r="S42" i="157"/>
  <c r="R43" i="157"/>
  <c r="S36" i="110" l="1"/>
  <c r="T42" i="157"/>
  <c r="S43" i="157"/>
  <c r="T43" i="157" s="1"/>
  <c r="S45" i="157" l="1"/>
  <c r="R45" i="157"/>
  <c r="K45" i="157"/>
  <c r="L45" i="157" s="1"/>
  <c r="J45" i="157"/>
  <c r="S44" i="157"/>
  <c r="R44" i="157"/>
  <c r="K44" i="157"/>
  <c r="L44" i="157" s="1"/>
  <c r="J44" i="157"/>
  <c r="K43" i="157"/>
  <c r="L43" i="157" s="1"/>
  <c r="J43" i="157"/>
  <c r="K42" i="157"/>
  <c r="L42" i="157" s="1"/>
  <c r="V42" i="157" s="1"/>
  <c r="R40" i="157"/>
  <c r="S40" i="157" s="1"/>
  <c r="K40" i="157"/>
  <c r="L40" i="157" s="1"/>
  <c r="AA9" i="157" s="1"/>
  <c r="S39" i="157"/>
  <c r="R39" i="157"/>
  <c r="K39" i="157"/>
  <c r="L39" i="157" s="1"/>
  <c r="J39" i="157"/>
  <c r="R41" i="157"/>
  <c r="S41" i="157" s="1"/>
  <c r="K41" i="157"/>
  <c r="L41" i="157" s="1"/>
  <c r="J41" i="157"/>
  <c r="S38" i="157"/>
  <c r="R38" i="157"/>
  <c r="K38" i="157"/>
  <c r="L38" i="157" s="1"/>
  <c r="J38" i="157"/>
  <c r="S37" i="157"/>
  <c r="R37" i="157"/>
  <c r="K37" i="157"/>
  <c r="L37" i="157" s="1"/>
  <c r="J37" i="157"/>
  <c r="S36" i="157"/>
  <c r="R36" i="157"/>
  <c r="K36" i="157"/>
  <c r="L36" i="157" s="1"/>
  <c r="J36" i="157"/>
  <c r="P35" i="157"/>
  <c r="P49" i="157" s="1"/>
  <c r="R32" i="157"/>
  <c r="S32" i="157" s="1"/>
  <c r="K32" i="157"/>
  <c r="L32" i="157" s="1"/>
  <c r="K18" i="157"/>
  <c r="L18" i="157" s="1"/>
  <c r="J18" i="157"/>
  <c r="K17" i="157"/>
  <c r="L17" i="157" s="1"/>
  <c r="J17" i="157"/>
  <c r="K16" i="157"/>
  <c r="L16" i="157" s="1"/>
  <c r="J16" i="157"/>
  <c r="P10" i="157"/>
  <c r="D9" i="157"/>
  <c r="P6" i="157"/>
  <c r="D4" i="157"/>
  <c r="R35" i="157" l="1"/>
  <c r="J35" i="157"/>
  <c r="T38" i="157"/>
  <c r="V38" i="157" s="1"/>
  <c r="T45" i="157"/>
  <c r="T39" i="157"/>
  <c r="V39" i="157" s="1"/>
  <c r="T36" i="157"/>
  <c r="V36" i="157" s="1"/>
  <c r="T37" i="157"/>
  <c r="V37" i="157" s="1"/>
  <c r="T41" i="157"/>
  <c r="V41" i="157" s="1"/>
  <c r="T40" i="157"/>
  <c r="T44" i="157"/>
  <c r="V44" i="157" s="1"/>
  <c r="D10" i="157"/>
  <c r="I34" i="157" s="1"/>
  <c r="L34" i="157" s="1"/>
  <c r="V16" i="157"/>
  <c r="AA8" i="157"/>
  <c r="V43" i="157"/>
  <c r="T32" i="157"/>
  <c r="V32" i="157" s="1"/>
  <c r="I20" i="157" l="1"/>
  <c r="K20" i="157" s="1"/>
  <c r="L20" i="157" s="1"/>
  <c r="V40" i="157"/>
  <c r="AB9" i="157"/>
  <c r="I19" i="157"/>
  <c r="K19" i="157" s="1"/>
  <c r="L19" i="157" s="1"/>
  <c r="D11" i="157"/>
  <c r="AB8" i="157"/>
  <c r="V45" i="157"/>
  <c r="I21" i="157" l="1"/>
  <c r="I24" i="157"/>
  <c r="I29" i="157"/>
  <c r="K29" i="157" s="1"/>
  <c r="L29" i="157" s="1"/>
  <c r="I30" i="157"/>
  <c r="K30" i="157" s="1"/>
  <c r="L30" i="157" s="1"/>
  <c r="I33" i="157"/>
  <c r="K33" i="157" s="1"/>
  <c r="L33" i="157" s="1"/>
  <c r="V33" i="157" s="1"/>
  <c r="I28" i="157"/>
  <c r="K28" i="157" s="1"/>
  <c r="L28" i="157" s="1"/>
  <c r="I25" i="157"/>
  <c r="K25" i="157" s="1"/>
  <c r="L25" i="157" s="1"/>
  <c r="I27" i="157"/>
  <c r="K27" i="157" s="1"/>
  <c r="L27" i="157" s="1"/>
  <c r="I22" i="157"/>
  <c r="K22" i="157" s="1"/>
  <c r="L22" i="157" s="1"/>
  <c r="I23" i="157"/>
  <c r="K23" i="157" s="1"/>
  <c r="L23" i="157" s="1"/>
  <c r="I26" i="157"/>
  <c r="I31" i="157"/>
  <c r="K31" i="157" s="1"/>
  <c r="L31" i="157" s="1"/>
  <c r="AA7" i="157"/>
  <c r="K21" i="157"/>
  <c r="L21" i="157" s="1"/>
  <c r="K24" i="157" l="1"/>
  <c r="L24" i="157" s="1"/>
  <c r="V24" i="157" s="1"/>
  <c r="I35" i="157"/>
  <c r="R15" i="157" s="1"/>
  <c r="K26" i="157"/>
  <c r="L26" i="157" s="1"/>
  <c r="AA6" i="157" s="1"/>
  <c r="R18" i="157"/>
  <c r="R16" i="157"/>
  <c r="R17" i="157"/>
  <c r="R22" i="157"/>
  <c r="R23" i="157"/>
  <c r="R21" i="157"/>
  <c r="R34" i="157"/>
  <c r="R33" i="157"/>
  <c r="R25" i="157"/>
  <c r="R29" i="157"/>
  <c r="S29" i="157" s="1"/>
  <c r="T29" i="157" s="1"/>
  <c r="V29" i="157" s="1"/>
  <c r="R26" i="157"/>
  <c r="S26" i="157" s="1"/>
  <c r="T26" i="157" s="1"/>
  <c r="R31" i="157"/>
  <c r="S31" i="157" s="1"/>
  <c r="T31" i="157" s="1"/>
  <c r="R30" i="157"/>
  <c r="S30" i="157" s="1"/>
  <c r="T30" i="157" s="1"/>
  <c r="R28" i="157"/>
  <c r="R27" i="157"/>
  <c r="L35" i="157" l="1"/>
  <c r="K48" i="157"/>
  <c r="L47" i="157" s="1"/>
  <c r="AA5" i="157" s="1"/>
  <c r="AA10" i="157" s="1"/>
  <c r="J15" i="157"/>
  <c r="I49" i="157"/>
  <c r="R20" i="157"/>
  <c r="S18" i="157"/>
  <c r="T18" i="157" s="1"/>
  <c r="V18" i="157" s="1"/>
  <c r="R19" i="157"/>
  <c r="S16" i="157"/>
  <c r="T16" i="157" s="1"/>
  <c r="S17" i="157"/>
  <c r="T17" i="157" s="1"/>
  <c r="V17" i="157" s="1"/>
  <c r="S27" i="157"/>
  <c r="T27" i="157" s="1"/>
  <c r="S28" i="157"/>
  <c r="T28" i="157" s="1"/>
  <c r="T34" i="157"/>
  <c r="V34" i="157" s="1"/>
  <c r="J29" i="157" l="1"/>
  <c r="J24" i="157"/>
  <c r="L49" i="157"/>
  <c r="AA11" i="157" s="1"/>
  <c r="J34" i="157"/>
  <c r="J21" i="157"/>
  <c r="J23" i="157"/>
  <c r="J27" i="157"/>
  <c r="J31" i="157"/>
  <c r="J20" i="157"/>
  <c r="J22" i="157"/>
  <c r="J30" i="157"/>
  <c r="J19" i="157"/>
  <c r="J26" i="157"/>
  <c r="J28" i="157"/>
  <c r="J32" i="157"/>
  <c r="J25" i="157"/>
  <c r="V27" i="157"/>
  <c r="S22" i="157"/>
  <c r="T22" i="157" s="1"/>
  <c r="V22" i="157" s="1"/>
  <c r="S33" i="157"/>
  <c r="T33" i="157" s="1"/>
  <c r="V30" i="157"/>
  <c r="V28" i="157"/>
  <c r="S25" i="157"/>
  <c r="T25" i="157" s="1"/>
  <c r="V25" i="157" s="1"/>
  <c r="S19" i="157"/>
  <c r="S20" i="157"/>
  <c r="T20" i="157" s="1"/>
  <c r="S23" i="157"/>
  <c r="T23" i="157" s="1"/>
  <c r="V23" i="157" s="1"/>
  <c r="V26" i="157"/>
  <c r="S21" i="157"/>
  <c r="T21" i="157" s="1"/>
  <c r="V21" i="157" s="1"/>
  <c r="V31" i="157"/>
  <c r="AB7" i="157" l="1"/>
  <c r="V20" i="157"/>
  <c r="S48" i="157"/>
  <c r="T47" i="157" s="1"/>
  <c r="T19" i="157"/>
  <c r="V19" i="157" s="1"/>
  <c r="V35" i="157" l="1"/>
  <c r="AB5" i="157"/>
  <c r="V47" i="157"/>
  <c r="AB6" i="157"/>
  <c r="T35" i="157"/>
  <c r="T49" i="157" s="1"/>
  <c r="AB10" i="157" l="1"/>
  <c r="AB11" i="157" s="1"/>
  <c r="V49" i="157"/>
  <c r="J36" i="110" l="1"/>
  <c r="K36" i="110" s="1"/>
  <c r="U36" i="110" s="1"/>
  <c r="Q38" i="110"/>
  <c r="Q39" i="110"/>
  <c r="Q40" i="110"/>
  <c r="Q37" i="110"/>
  <c r="Q35" i="110" s="1"/>
  <c r="R40" i="110"/>
  <c r="J40" i="110"/>
  <c r="K40" i="110" s="1"/>
  <c r="R39" i="110"/>
  <c r="J39" i="110"/>
  <c r="K39" i="110" s="1"/>
  <c r="R38" i="110"/>
  <c r="J38" i="110"/>
  <c r="K38" i="110" s="1"/>
  <c r="R37" i="110"/>
  <c r="J37" i="110"/>
  <c r="K37" i="110" s="1"/>
  <c r="J32" i="110"/>
  <c r="K32" i="110" s="1"/>
  <c r="O35" i="110"/>
  <c r="O43" i="110" s="1"/>
  <c r="O10" i="110"/>
  <c r="D9" i="110"/>
  <c r="O6" i="110"/>
  <c r="D4" i="110"/>
  <c r="E25" i="52"/>
  <c r="K17" i="52"/>
  <c r="L17" i="52" s="1"/>
  <c r="R17" i="52" s="1"/>
  <c r="K18" i="52"/>
  <c r="L18" i="52" s="1"/>
  <c r="R18" i="52" s="1"/>
  <c r="K34" i="52"/>
  <c r="K35" i="52"/>
  <c r="K36" i="52"/>
  <c r="K37" i="52"/>
  <c r="L37" i="52" s="1"/>
  <c r="R37" i="52" s="1"/>
  <c r="K38" i="52"/>
  <c r="L38" i="52" s="1"/>
  <c r="R38" i="52" s="1"/>
  <c r="K39" i="52"/>
  <c r="L39" i="52" s="1"/>
  <c r="R39" i="52" s="1"/>
  <c r="K40" i="52"/>
  <c r="K41" i="52"/>
  <c r="L41" i="52" s="1"/>
  <c r="K42" i="52"/>
  <c r="D4" i="52"/>
  <c r="D9" i="52"/>
  <c r="P33" i="52"/>
  <c r="P45" i="52" s="1"/>
  <c r="N10" i="52"/>
  <c r="N6" i="52"/>
  <c r="D10" i="52" s="1"/>
  <c r="J17" i="52"/>
  <c r="J18" i="52"/>
  <c r="J16" i="52"/>
  <c r="J35" i="52"/>
  <c r="J37" i="52"/>
  <c r="J38" i="52"/>
  <c r="J39" i="52"/>
  <c r="J41" i="52"/>
  <c r="J42" i="52"/>
  <c r="J34" i="52"/>
  <c r="K16" i="52"/>
  <c r="L16" i="52" s="1"/>
  <c r="J40" i="52"/>
  <c r="B31" i="52"/>
  <c r="B30" i="52"/>
  <c r="D3" i="82"/>
  <c r="D4" i="82"/>
  <c r="D5" i="82"/>
  <c r="D6" i="82"/>
  <c r="D7" i="82"/>
  <c r="D8" i="82"/>
  <c r="D9" i="82"/>
  <c r="D10" i="82"/>
  <c r="D11" i="82"/>
  <c r="D12" i="82"/>
  <c r="D13" i="82"/>
  <c r="D14" i="82"/>
  <c r="D15" i="82"/>
  <c r="D16" i="82"/>
  <c r="D17" i="82"/>
  <c r="D18" i="82"/>
  <c r="D19" i="82"/>
  <c r="D20" i="82"/>
  <c r="D21" i="82"/>
  <c r="D22" i="82"/>
  <c r="D23" i="82"/>
  <c r="D24" i="82"/>
  <c r="D25" i="82"/>
  <c r="D26" i="82"/>
  <c r="D27" i="82"/>
  <c r="D28" i="82"/>
  <c r="D29" i="82"/>
  <c r="D30" i="82"/>
  <c r="D31" i="82"/>
  <c r="D32" i="82"/>
  <c r="D33" i="82"/>
  <c r="D34" i="82"/>
  <c r="D35" i="82"/>
  <c r="D36" i="82"/>
  <c r="D37" i="82"/>
  <c r="D38" i="82"/>
  <c r="D39" i="82"/>
  <c r="D40" i="82"/>
  <c r="D41" i="82"/>
  <c r="D42" i="82"/>
  <c r="D43" i="82"/>
  <c r="D44" i="82"/>
  <c r="D45" i="82"/>
  <c r="D46" i="82"/>
  <c r="D47" i="82"/>
  <c r="D48" i="82"/>
  <c r="D49" i="82"/>
  <c r="D50" i="82"/>
  <c r="D51" i="82"/>
  <c r="D52" i="82"/>
  <c r="D53" i="82"/>
  <c r="D54" i="82"/>
  <c r="D55" i="82"/>
  <c r="D56" i="82"/>
  <c r="D57" i="82"/>
  <c r="D58" i="82"/>
  <c r="D59" i="82"/>
  <c r="D2" i="82"/>
  <c r="C24" i="73"/>
  <c r="D24" i="73"/>
  <c r="E24" i="73"/>
  <c r="F24" i="73"/>
  <c r="G24" i="73"/>
  <c r="H24" i="73"/>
  <c r="B10" i="73"/>
  <c r="B11" i="73"/>
  <c r="B12" i="73"/>
  <c r="B13" i="73"/>
  <c r="B14" i="73"/>
  <c r="B15" i="73"/>
  <c r="B16" i="73"/>
  <c r="B17" i="73"/>
  <c r="B18" i="73"/>
  <c r="B19" i="73"/>
  <c r="B20" i="73"/>
  <c r="B21" i="73"/>
  <c r="B22" i="73"/>
  <c r="A1" i="50"/>
  <c r="J36" i="52"/>
  <c r="L40" i="52"/>
  <c r="R40" i="52" s="1"/>
  <c r="L34" i="52"/>
  <c r="R34" i="52" s="1"/>
  <c r="L42" i="52"/>
  <c r="R42" i="52" s="1"/>
  <c r="L35" i="52"/>
  <c r="R35" i="52" s="1"/>
  <c r="L36" i="52"/>
  <c r="R36" i="52" s="1"/>
  <c r="D11" i="52" l="1"/>
  <c r="I23" i="52" s="1"/>
  <c r="I32" i="52"/>
  <c r="L32" i="52" s="1"/>
  <c r="R32" i="52" s="1"/>
  <c r="I19" i="52"/>
  <c r="K19" i="52" s="1"/>
  <c r="J33" i="52"/>
  <c r="R41" i="52"/>
  <c r="V7" i="52"/>
  <c r="I22" i="52"/>
  <c r="I21" i="52"/>
  <c r="K21" i="52" s="1"/>
  <c r="L21" i="52" s="1"/>
  <c r="R21" i="52" s="1"/>
  <c r="I29" i="52"/>
  <c r="K29" i="52" s="1"/>
  <c r="I24" i="52"/>
  <c r="K24" i="52" s="1"/>
  <c r="I28" i="52"/>
  <c r="I26" i="52"/>
  <c r="K26" i="52" s="1"/>
  <c r="I25" i="52"/>
  <c r="I20" i="52"/>
  <c r="V8" i="52"/>
  <c r="D10" i="110"/>
  <c r="I34" i="110" s="1"/>
  <c r="K34" i="110" s="1"/>
  <c r="Z8" i="110"/>
  <c r="S37" i="110"/>
  <c r="U37" i="110" s="1"/>
  <c r="S40" i="110"/>
  <c r="U40" i="110" s="1"/>
  <c r="S39" i="110"/>
  <c r="U39" i="110" s="1"/>
  <c r="S38" i="110"/>
  <c r="U38" i="110" s="1"/>
  <c r="B24" i="73"/>
  <c r="L24" i="52"/>
  <c r="K28" i="52"/>
  <c r="L28" i="52" s="1"/>
  <c r="C25" i="73"/>
  <c r="K20" i="52"/>
  <c r="R16" i="52"/>
  <c r="L29" i="52"/>
  <c r="R29" i="52" s="1"/>
  <c r="R32" i="110"/>
  <c r="S32" i="110" s="1"/>
  <c r="U32" i="110" s="1"/>
  <c r="I27" i="52" l="1"/>
  <c r="K27" i="52" s="1"/>
  <c r="I30" i="52"/>
  <c r="I31" i="52"/>
  <c r="L19" i="52"/>
  <c r="R19" i="52" s="1"/>
  <c r="L27" i="52"/>
  <c r="R27" i="52" s="1"/>
  <c r="I33" i="52"/>
  <c r="K22" i="52"/>
  <c r="L22" i="52" s="1"/>
  <c r="K30" i="52"/>
  <c r="L30" i="52" s="1"/>
  <c r="R30" i="52" s="1"/>
  <c r="L26" i="52"/>
  <c r="R26" i="52" s="1"/>
  <c r="K23" i="52"/>
  <c r="K25" i="52"/>
  <c r="L25" i="52" s="1"/>
  <c r="R25" i="52" s="1"/>
  <c r="R28" i="52"/>
  <c r="L20" i="52"/>
  <c r="D11" i="110"/>
  <c r="I19" i="110"/>
  <c r="J19" i="110" s="1"/>
  <c r="I20" i="110"/>
  <c r="J20" i="110" s="1"/>
  <c r="K20" i="110" s="1"/>
  <c r="AA8" i="110"/>
  <c r="R24" i="52"/>
  <c r="V6" i="52"/>
  <c r="R20" i="52"/>
  <c r="K31" i="52" l="1"/>
  <c r="L31" i="52"/>
  <c r="R31" i="52" s="1"/>
  <c r="I25" i="110"/>
  <c r="J25" i="110" s="1"/>
  <c r="K25" i="110" s="1"/>
  <c r="I24" i="110"/>
  <c r="K44" i="52"/>
  <c r="L43" i="52" s="1"/>
  <c r="V4" i="52" s="1"/>
  <c r="L23" i="52"/>
  <c r="R23" i="52" s="1"/>
  <c r="R22" i="52"/>
  <c r="V5" i="52"/>
  <c r="L33" i="52"/>
  <c r="I45" i="52"/>
  <c r="J15" i="52"/>
  <c r="I29" i="110"/>
  <c r="J29" i="110" s="1"/>
  <c r="K29" i="110" s="1"/>
  <c r="I31" i="110"/>
  <c r="J31" i="110" s="1"/>
  <c r="K31" i="110" s="1"/>
  <c r="I33" i="110"/>
  <c r="J33" i="110" s="1"/>
  <c r="I23" i="110"/>
  <c r="J23" i="110" s="1"/>
  <c r="K23" i="110" s="1"/>
  <c r="I21" i="110"/>
  <c r="J21" i="110" s="1"/>
  <c r="K21" i="110" s="1"/>
  <c r="I26" i="110"/>
  <c r="J26" i="110" s="1"/>
  <c r="K26" i="110" s="1"/>
  <c r="I22" i="110"/>
  <c r="J22" i="110" s="1"/>
  <c r="K22" i="110" s="1"/>
  <c r="I28" i="110"/>
  <c r="J28" i="110" s="1"/>
  <c r="I30" i="110"/>
  <c r="J30" i="110" s="1"/>
  <c r="K30" i="110" s="1"/>
  <c r="I27" i="110"/>
  <c r="J27" i="110" s="1"/>
  <c r="K27" i="110" s="1"/>
  <c r="Z7" i="110"/>
  <c r="K19" i="110"/>
  <c r="J24" i="110" l="1"/>
  <c r="K24" i="110" s="1"/>
  <c r="R43" i="52"/>
  <c r="J27" i="52"/>
  <c r="J23" i="52"/>
  <c r="J25" i="52"/>
  <c r="J29" i="52"/>
  <c r="J20" i="52"/>
  <c r="J26" i="52"/>
  <c r="J31" i="52"/>
  <c r="J19" i="52"/>
  <c r="J21" i="52"/>
  <c r="J30" i="52"/>
  <c r="J22" i="52"/>
  <c r="J28" i="52"/>
  <c r="J32" i="52"/>
  <c r="J24" i="52"/>
  <c r="L45" i="52"/>
  <c r="R33" i="52"/>
  <c r="R45" i="52" s="1"/>
  <c r="V9" i="52"/>
  <c r="K33" i="110"/>
  <c r="I35" i="110"/>
  <c r="Q15" i="110" s="1"/>
  <c r="Q24" i="110" s="1"/>
  <c r="R24" i="110" s="1"/>
  <c r="S24" i="110" s="1"/>
  <c r="K28" i="110"/>
  <c r="J42" i="110" l="1"/>
  <c r="K41" i="110" s="1"/>
  <c r="U24" i="110"/>
  <c r="V10" i="52"/>
  <c r="Z6" i="110"/>
  <c r="I43" i="110"/>
  <c r="Z5" i="110"/>
  <c r="K35" i="110"/>
  <c r="K43" i="110" l="1"/>
  <c r="Z10" i="110"/>
  <c r="Z11" i="110" l="1"/>
  <c r="Q31" i="110" l="1"/>
  <c r="R31" i="110" s="1"/>
  <c r="Q22" i="110"/>
  <c r="R22" i="110" s="1"/>
  <c r="Q26" i="110"/>
  <c r="R26" i="110" s="1"/>
  <c r="S26" i="110" s="1"/>
  <c r="U26" i="110" s="1"/>
  <c r="Q29" i="110"/>
  <c r="R29" i="110" s="1"/>
  <c r="S29" i="110" s="1"/>
  <c r="U29" i="110" s="1"/>
  <c r="Q28" i="110"/>
  <c r="R28" i="110" s="1"/>
  <c r="S28" i="110" s="1"/>
  <c r="U28" i="110" s="1"/>
  <c r="Q23" i="110"/>
  <c r="Q30" i="110"/>
  <c r="R30" i="110" s="1"/>
  <c r="S30" i="110" s="1"/>
  <c r="U30" i="110" s="1"/>
  <c r="Q19" i="110"/>
  <c r="R19" i="110" s="1"/>
  <c r="Q25" i="110"/>
  <c r="Q21" i="110"/>
  <c r="R21" i="110" s="1"/>
  <c r="S21" i="110" s="1"/>
  <c r="U21" i="110" s="1"/>
  <c r="R23" i="110" l="1"/>
  <c r="S23" i="110" s="1"/>
  <c r="U23" i="110" s="1"/>
  <c r="R25" i="110"/>
  <c r="S25" i="110" s="1"/>
  <c r="U25" i="110" s="1"/>
  <c r="Q27" i="110"/>
  <c r="S22" i="110"/>
  <c r="U22" i="110" s="1"/>
  <c r="Q33" i="110"/>
  <c r="S31" i="110"/>
  <c r="U31" i="110" s="1"/>
  <c r="S19" i="110"/>
  <c r="U19" i="110" s="1"/>
  <c r="Q34" i="110"/>
  <c r="S34" i="110" s="1"/>
  <c r="U34" i="110" s="1"/>
  <c r="Q20" i="110"/>
  <c r="R27" i="110" l="1"/>
  <c r="S27" i="110" s="1"/>
  <c r="R20" i="110"/>
  <c r="R33" i="110"/>
  <c r="S33" i="110" s="1"/>
  <c r="U33" i="110" s="1"/>
  <c r="AA6" i="110" l="1"/>
  <c r="U27" i="110"/>
  <c r="R42" i="110"/>
  <c r="S41" i="110" s="1"/>
  <c r="S20" i="110"/>
  <c r="U20" i="110" s="1"/>
  <c r="U35" i="110" l="1"/>
  <c r="AA5" i="110"/>
  <c r="U41" i="110"/>
  <c r="AA7" i="110"/>
  <c r="S35" i="110"/>
  <c r="S43" i="110" s="1"/>
  <c r="U43" i="110" l="1"/>
  <c r="AA10" i="110"/>
  <c r="AA11" i="1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</authors>
  <commentList>
    <comment ref="D8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0" shapeId="0" xr:uid="{00000000-0006-0000-0F00-000002000000}">
      <text>
        <r>
          <rPr>
            <b/>
            <sz val="8"/>
            <color indexed="81"/>
            <rFont val="Tahoma"/>
            <family val="2"/>
          </rPr>
          <t>Court Sec. Fee &amp; Crim Conv. Assmnt ASSESSED FOR EVERY CONVICTION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  <author>AOC User</author>
  </authors>
  <commentList>
    <comment ref="Q5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>IF FINE IS NOT STANDARD (Not BASE-UP), ENSURE THE BASE FINE ENTERED IS DIVISIBLE BY 10 FOR A MORE ACCURATE IAS TOP-DOWN.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 xr:uid="{00000000-0006-0000-1800-000002000000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2" authorId="1" shapeId="0" xr:uid="{00000000-0006-0000-1800-000003000000}">
      <text>
        <r>
          <rPr>
            <b/>
            <sz val="10"/>
            <color indexed="81"/>
            <rFont val="Tahoma"/>
            <family val="2"/>
          </rPr>
          <t>ASSESSED FOR EVERY CONVICTION OF VC VIOLATION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6" authorId="1" shapeId="0" xr:uid="{00000000-0006-0000-1800-000004000000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7" authorId="1" shapeId="0" xr:uid="{00000000-0006-0000-1800-000005000000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9" authorId="0" shapeId="0" xr:uid="{00000000-0006-0000-1800-000006000000}">
      <text>
        <r>
          <rPr>
            <b/>
            <sz val="9"/>
            <color indexed="81"/>
            <rFont val="Tahoma"/>
            <family val="2"/>
          </rPr>
          <t xml:space="preserve">PC 1205(e) administrative &amp; clerical costs determined by BOS or by Court.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  <author>AOC User</author>
  </authors>
  <commentList>
    <comment ref="Q5" authorId="0" shapeId="0" xr:uid="{59C1560E-2E9B-43A2-8CAF-23938EDEE86B}">
      <text>
        <r>
          <rPr>
            <b/>
            <sz val="9"/>
            <color indexed="81"/>
            <rFont val="Tahoma"/>
            <family val="2"/>
          </rPr>
          <t>IF FINE IS NOT STANDARD (Not BASE-UP), ENSURE THE BASE FINE ENTERED IS DIVISIBLE BY 10 FOR A MORE ACCURATE IAS TOP-DOWN.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 xr:uid="{A9873F5B-82BB-4E56-B6C0-FDBECDBBE81A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2" authorId="1" shapeId="0" xr:uid="{E48A7510-7FAD-4FFA-B66F-1930D4D1211A}">
      <text>
        <r>
          <rPr>
            <b/>
            <sz val="10"/>
            <color indexed="81"/>
            <rFont val="Tahoma"/>
            <family val="2"/>
          </rPr>
          <t>ASSESSED FOR EVERY CONVICTION OF VC VIOLATION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6" authorId="1" shapeId="0" xr:uid="{173236C8-B426-4340-BFDC-0A67948FB01A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7" authorId="1" shapeId="0" xr:uid="{76A3F0D6-6A8C-4762-B8E3-3E6820D42D21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9" authorId="0" shapeId="0" xr:uid="{2168EB79-C4E9-4302-A780-3D34488B78ED}">
      <text>
        <r>
          <rPr>
            <b/>
            <sz val="9"/>
            <color indexed="81"/>
            <rFont val="Tahoma"/>
            <family val="2"/>
          </rPr>
          <t xml:space="preserve">PC 1205(e) administrative &amp; clerical costs determined by BOS or by Court.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  <author>AOC User</author>
  </authors>
  <commentList>
    <comment ref="D8" authorId="0" shapeId="0" xr:uid="{47662048-7E00-4167-9F35-EA4A96E5D95F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2" authorId="1" shapeId="0" xr:uid="{19C8D5CC-3FB8-4D45-9C6E-25DD81F3D196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6" authorId="1" shapeId="0" xr:uid="{BB0DCC48-D2F1-4935-9507-A91D6DB61E70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7" authorId="1" shapeId="0" xr:uid="{EF30A30C-B9B3-44E7-957A-B67E00FEAFB2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  <author>AOC User</author>
  </authors>
  <commentList>
    <comment ref="D8" authorId="0" shapeId="0" xr:uid="{B741C9C7-8315-4E4B-A10E-82DA8983686A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2" authorId="1" shapeId="0" xr:uid="{02CCA781-7F7D-4D8A-97B6-7B6E64DC47AC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6" authorId="1" shapeId="0" xr:uid="{0FBAAF2F-D3E2-4190-B60F-E63C78745205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7" authorId="1" shapeId="0" xr:uid="{B2999C3D-41D0-406D-ABC8-0454995597B3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  <author>AOC User</author>
    <author>rcabral</author>
  </authors>
  <commentList>
    <comment ref="R5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IF FINE IS NOT STANDARD (Not BASE-UP), ENSURE THE BASE FINE ENTERED IS DIVISIBLE BY 10 FOR A MORE ACCURATE IAS TOP-DOWN.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 xr:uid="{00000000-0006-0000-1000-000002000000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</text>
    </comment>
    <comment ref="C32" authorId="1" shapeId="0" xr:uid="{00000000-0006-0000-1000-000003000000}">
      <text>
        <r>
          <rPr>
            <b/>
            <sz val="10"/>
            <color indexed="81"/>
            <rFont val="Tahoma"/>
            <family val="2"/>
          </rPr>
          <t>ASSESSED FOR EVERY CONVICTION OF VC VIOLATION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6" authorId="1" shapeId="0" xr:uid="{00000000-0006-0000-1000-000004000000}">
      <text>
        <r>
          <rPr>
            <b/>
            <sz val="10"/>
            <color indexed="81"/>
            <rFont val="Tahoma"/>
            <family val="2"/>
          </rPr>
          <t>ASSESSED FOR EVERY CONVICTION</t>
        </r>
      </text>
    </comment>
    <comment ref="C37" authorId="1" shapeId="0" xr:uid="{00000000-0006-0000-1000-000005000000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43" authorId="2" shapeId="0" xr:uid="{00000000-0006-0000-1000-000006000000}">
      <text>
        <r>
          <rPr>
            <b/>
            <sz val="9"/>
            <color indexed="81"/>
            <rFont val="Tahoma"/>
            <family val="2"/>
          </rPr>
          <t>Court must impose UNLESS it finds "COMPELLING AND EXTRAORDINARY REASONS" for not imposing and states reasons on RECORD. Inability to pay is not considered a compelling and extraordinary reason.</t>
        </r>
      </text>
    </comment>
    <comment ref="C45" authorId="0" shapeId="0" xr:uid="{00000000-0006-0000-1000-000007000000}">
      <text>
        <r>
          <rPr>
            <b/>
            <sz val="9"/>
            <color indexed="81"/>
            <rFont val="Tahoma"/>
            <family val="2"/>
          </rPr>
          <t xml:space="preserve">PC 1205(e) administrative &amp; clerical costs determined by BOS or by Court.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<sst xmlns="http://schemas.openxmlformats.org/spreadsheetml/2006/main" count="1214" uniqueCount="328">
  <si>
    <t>Fund</t>
  </si>
  <si>
    <t>TOTAL</t>
  </si>
  <si>
    <t>Bail Forfeiture</t>
  </si>
  <si>
    <t>Violation Date</t>
  </si>
  <si>
    <t>Arresting Agency</t>
  </si>
  <si>
    <t>2% Amt</t>
  </si>
  <si>
    <t>N</t>
  </si>
  <si>
    <t>Y</t>
  </si>
  <si>
    <t>Statute</t>
  </si>
  <si>
    <t>State General Fund</t>
  </si>
  <si>
    <t>Disposition Date</t>
  </si>
  <si>
    <t>State Restitution</t>
  </si>
  <si>
    <t>County Special Account</t>
  </si>
  <si>
    <t>County Alcohol Abuse Prevention</t>
  </si>
  <si>
    <t>Total Fine</t>
  </si>
  <si>
    <t>Violation Type</t>
  </si>
  <si>
    <t>Disposition</t>
  </si>
  <si>
    <t>Priors</t>
  </si>
  <si>
    <t>County or City General Fund</t>
  </si>
  <si>
    <t>City General Fund</t>
  </si>
  <si>
    <t>State Penalty Fund</t>
  </si>
  <si>
    <t>County General Fund</t>
  </si>
  <si>
    <t>COUNT 1</t>
  </si>
  <si>
    <t>Base Fine</t>
  </si>
  <si>
    <t>Section</t>
  </si>
  <si>
    <t>STATE</t>
  </si>
  <si>
    <t>COUNTY</t>
  </si>
  <si>
    <t>Special Distribution</t>
  </si>
  <si>
    <t>County Criminal Justice Facilities Construction Fund</t>
  </si>
  <si>
    <t>County Maddy EMS Fund</t>
  </si>
  <si>
    <t>State Court Facilities Construction Fund</t>
  </si>
  <si>
    <t>Court Security Fee</t>
  </si>
  <si>
    <t>State Trial Court Trust Fund</t>
  </si>
  <si>
    <t>D</t>
  </si>
  <si>
    <t>State Automation Fund</t>
  </si>
  <si>
    <t>A</t>
  </si>
  <si>
    <t>B</t>
  </si>
  <si>
    <t>C</t>
  </si>
  <si>
    <t>2% State Automation - GC 68090.8</t>
  </si>
  <si>
    <t>Sp</t>
  </si>
  <si>
    <t>Fine Component</t>
  </si>
  <si>
    <t>Standard PA, Fees and Surcharge</t>
  </si>
  <si>
    <t>Additional PA, Fees and Surcharge</t>
  </si>
  <si>
    <t>2% Automation</t>
  </si>
  <si>
    <t>State Restitution Fund</t>
  </si>
  <si>
    <t>CITY</t>
  </si>
  <si>
    <t>City %</t>
  </si>
  <si>
    <t>County %</t>
  </si>
  <si>
    <t>County DNA Identification Fund</t>
  </si>
  <si>
    <t>Description and Statute</t>
  </si>
  <si>
    <t>Revenue Distribution Account Mapping</t>
  </si>
  <si>
    <t>Per 10</t>
  </si>
  <si>
    <t>VC 40611</t>
  </si>
  <si>
    <t>Local Criminal Justice Facilities - GC 76101</t>
  </si>
  <si>
    <t>FINDINGS</t>
  </si>
  <si>
    <t>Local Courthouse Construction Fund - GC 76100</t>
  </si>
  <si>
    <t>County Courthouse Construction Fund</t>
  </si>
  <si>
    <t>County Maddy Emergency Medical Services Fund</t>
  </si>
  <si>
    <t>Traffic School Fee</t>
  </si>
  <si>
    <t>VC 42007.1</t>
  </si>
  <si>
    <t>State DNA Identification Fund3</t>
  </si>
  <si>
    <t>PC 1465.8</t>
  </si>
  <si>
    <t>Test No.</t>
  </si>
  <si>
    <t>Case No.</t>
  </si>
  <si>
    <t>Arrtg Agy</t>
  </si>
  <si>
    <t>VC 42006</t>
  </si>
  <si>
    <t>County Night Court Session Fund</t>
  </si>
  <si>
    <t>TOTAL FINE</t>
  </si>
  <si>
    <t xml:space="preserve">Court </t>
  </si>
  <si>
    <t>TOTALS</t>
  </si>
  <si>
    <t>USE IF THE TEST CASE IS UNDER A PAYMENT PLAN</t>
  </si>
  <si>
    <t>Payment Dates</t>
  </si>
  <si>
    <t>Fund Accounts</t>
  </si>
  <si>
    <t>Alameda</t>
  </si>
  <si>
    <t>Alpine</t>
  </si>
  <si>
    <t>Amador</t>
  </si>
  <si>
    <t>Butte</t>
  </si>
  <si>
    <t>Claveras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</si>
  <si>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</si>
  <si>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</si>
  <si>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</si>
  <si>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</si>
  <si>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</si>
  <si>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</si>
  <si>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</si>
  <si>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</si>
  <si>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</si>
  <si>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</si>
  <si>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</si>
  <si>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</si>
  <si>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</si>
  <si>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</si>
  <si>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</si>
  <si>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</si>
  <si>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</si>
  <si>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</si>
  <si>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</si>
  <si>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</si>
  <si>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</si>
  <si>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</si>
  <si>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</si>
  <si>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</si>
  <si>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</si>
  <si>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Plumas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</si>
  <si>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</si>
  <si>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</si>
  <si>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</si>
  <si>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</si>
  <si>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</si>
  <si>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</si>
  <si>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</si>
  <si>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</si>
  <si>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</si>
  <si>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</si>
  <si>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</si>
  <si>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</si>
  <si>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</si>
  <si>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</si>
  <si>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</si>
  <si>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</si>
  <si>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</si>
  <si>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</si>
  <si>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</si>
  <si>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</si>
  <si>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</si>
  <si>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</si>
  <si>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</si>
  <si>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</si>
  <si>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</si>
  <si>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</si>
  <si>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</si>
  <si>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 xml:space="preserve">Superior Court of </t>
  </si>
  <si>
    <t xml:space="preserve"> County</t>
  </si>
  <si>
    <t>SELECT COURT NAME</t>
  </si>
  <si>
    <t>Criminal Conviction Assessment</t>
  </si>
  <si>
    <t>Title</t>
  </si>
  <si>
    <t>GC 70373</t>
  </si>
  <si>
    <t>per violation NOT per case</t>
  </si>
  <si>
    <t>How Assessed</t>
  </si>
  <si>
    <t>New Assessment or Fee</t>
  </si>
  <si>
    <t>Infraction - $35 fee
Misd or Fel - $30</t>
  </si>
  <si>
    <t xml:space="preserve">Distribution </t>
  </si>
  <si>
    <t>State ICNA Fund</t>
  </si>
  <si>
    <t>State Courthouse Construction</t>
  </si>
  <si>
    <t>GC 70372A</t>
  </si>
  <si>
    <t>for every 10 of the base fine</t>
  </si>
  <si>
    <t>Proof of Correction (POC)</t>
  </si>
  <si>
    <t>from $10 to $25</t>
  </si>
  <si>
    <t>First $10 - same distribution
Remaining $15 and succeeding $25 - State ICNA Fund</t>
  </si>
  <si>
    <t>per case</t>
  </si>
  <si>
    <t>from $24 to $49</t>
  </si>
  <si>
    <t>49% or ~$24  - same distribution
51% or ~$25 - State ICNA Fund</t>
  </si>
  <si>
    <t>Insert line items in the testing worksheet for each of the following new fees and PA, when applicable</t>
  </si>
  <si>
    <t>same distribution</t>
  </si>
  <si>
    <t xml:space="preserve">from $5 reduced by LCCF to flat $5 per 10 </t>
  </si>
  <si>
    <t>from $20 to $30</t>
  </si>
  <si>
    <t>Effective 7/28/09</t>
  </si>
  <si>
    <t>Notes</t>
  </si>
  <si>
    <t>State ICNA</t>
  </si>
  <si>
    <t>UPDATES WHEN TESTING 2009 CASES ONWARDS (effective 1/1/09) - Per SB 1407</t>
  </si>
  <si>
    <t>UPDATES WHEN TESTING 2009 CASES  ONWARDS w/ Violation Date AFTER 7/28/09 - Per SB 13</t>
  </si>
  <si>
    <t>UPDATES WHEN TESTING 2009 CASES  ONWARDS (effective 1/1/09) - Per AB 1949</t>
  </si>
  <si>
    <t>Night Court Assessment Fee</t>
  </si>
  <si>
    <t>same ($1)</t>
  </si>
  <si>
    <t>per case (if levied by the County)</t>
  </si>
  <si>
    <t>New Distribution</t>
  </si>
  <si>
    <r>
      <rPr>
        <u/>
        <sz val="10"/>
        <rFont val="Arial"/>
        <family val="2"/>
      </rPr>
      <t>Before:</t>
    </r>
    <r>
      <rPr>
        <sz val="10"/>
        <rFont val="Arial"/>
        <family val="2"/>
      </rPr>
      <t xml:space="preserve">  County Night Court Session Fund
</t>
    </r>
    <r>
      <rPr>
        <u/>
        <sz val="10"/>
        <rFont val="Arial"/>
        <family val="2"/>
      </rPr>
      <t>Now:</t>
    </r>
    <r>
      <rPr>
        <sz val="10"/>
        <rFont val="Arial"/>
        <family val="2"/>
      </rPr>
      <t xml:space="preserve">  if Court is fully transferred, distributed to the Court Facilities Trust Fund (County to remit in new TC -31 line item).  If NOT fully transferred, distribution follows "Before" distribution.</t>
    </r>
  </si>
  <si>
    <t>Distribution To</t>
  </si>
  <si>
    <t>State ICNA Fund - LCCF divided by 5 or LCCF per 10
State CFCF - 5 less LCCF</t>
  </si>
  <si>
    <t>PC 1463.001 - Base County</t>
  </si>
  <si>
    <t>PC 1463.002 - Base City</t>
  </si>
  <si>
    <t>PC 1464 - State PA (7/10)</t>
  </si>
  <si>
    <t>PC 1464 - County PA (3/10)</t>
  </si>
  <si>
    <t>GC 76104.6 - DNA PA (1/10)</t>
  </si>
  <si>
    <t>GC 76100 - LCCF</t>
  </si>
  <si>
    <t>GC 76101 - LCJF</t>
  </si>
  <si>
    <t>GC 76104 - EMS</t>
  </si>
  <si>
    <t>PC 1465.7 - 20% Surcharge</t>
  </si>
  <si>
    <t>SUBTOTAL</t>
  </si>
  <si>
    <t>PC 1463.25 - Alcohol Edu PA (up to $50)</t>
  </si>
  <si>
    <t>PC 1202.4 - State Restitution</t>
  </si>
  <si>
    <t>GC 68090.8 - 2% Automation</t>
  </si>
  <si>
    <t>VC 42006 - Night Court Assmnt ($1)</t>
  </si>
  <si>
    <t>DISTRIBUTION</t>
  </si>
  <si>
    <t>BASE-UP</t>
  </si>
  <si>
    <t>EXPECTED DISTRIBUTION</t>
  </si>
  <si>
    <t>COURT DISTRIBUTION</t>
  </si>
  <si>
    <t>COURT</t>
  </si>
  <si>
    <t>Case Number</t>
  </si>
  <si>
    <t>VC 40508.6 - Priors Admin Fee (up to $10)</t>
  </si>
  <si>
    <t>Enhanced BASE</t>
  </si>
  <si>
    <t>CASE INFORMATION</t>
  </si>
  <si>
    <t>4. Enter standard and Court-specific fees</t>
  </si>
  <si>
    <t>1. Enter Case Information</t>
  </si>
  <si>
    <t>2. Enter the base fine per currrent UBS</t>
  </si>
  <si>
    <t>3. Enter the Court's GC 76000 PA per 10 amts</t>
  </si>
  <si>
    <t>6. Enter Court's distribution codes &amp; amts</t>
  </si>
  <si>
    <r>
      <t xml:space="preserve">EXPECTED
</t>
    </r>
    <r>
      <rPr>
        <b/>
        <sz val="10"/>
        <rFont val="Calibri"/>
        <family val="2"/>
      </rPr>
      <t>(After 2%)</t>
    </r>
  </si>
  <si>
    <t>TOTAL BASE</t>
  </si>
  <si>
    <r>
      <rPr>
        <b/>
        <sz val="11"/>
        <rFont val="Calibri"/>
        <family val="2"/>
      </rPr>
      <t>BASE REDUCTION:</t>
    </r>
    <r>
      <rPr>
        <sz val="11"/>
        <rFont val="Calibri"/>
        <family val="2"/>
      </rPr>
      <t xml:space="preserve"> PC 1463.14(a) - DUI Lab Fees ($50)</t>
    </r>
  </si>
  <si>
    <r>
      <rPr>
        <b/>
        <sz val="11"/>
        <rFont val="Calibri"/>
        <family val="2"/>
      </rPr>
      <t xml:space="preserve">BASE REDUCTION: </t>
    </r>
    <r>
      <rPr>
        <sz val="11"/>
        <rFont val="Calibri"/>
        <family val="2"/>
      </rPr>
      <t>PC 1463.18 - DUI Indemnity ($20)</t>
    </r>
  </si>
  <si>
    <t>Violation Description</t>
  </si>
  <si>
    <t>7. Mark any findings numerically then detail below</t>
  </si>
  <si>
    <t>Total</t>
  </si>
  <si>
    <r>
      <rPr>
        <b/>
        <sz val="12"/>
        <rFont val="Calibri"/>
        <family val="2"/>
      </rPr>
      <t>BASE-UP</t>
    </r>
    <r>
      <rPr>
        <b/>
        <sz val="10"/>
        <rFont val="Calibri"/>
        <family val="2"/>
      </rPr>
      <t xml:space="preserve">
(Standard-Per UBS)</t>
    </r>
  </si>
  <si>
    <t>DISTRIB AMT</t>
  </si>
  <si>
    <t>DISTRIB
ENTITY</t>
  </si>
  <si>
    <t>$ BY ENTITY</t>
  </si>
  <si>
    <t>Crt OR Cty</t>
  </si>
  <si>
    <r>
      <t xml:space="preserve">TOP-DOWN
</t>
    </r>
    <r>
      <rPr>
        <b/>
        <sz val="10"/>
        <rFont val="Calibri"/>
        <family val="2"/>
      </rPr>
      <t>(IAS-Using Sub total % of Std)</t>
    </r>
  </si>
  <si>
    <t>COUNT 2 (if any)</t>
  </si>
  <si>
    <t>GC 76102 - Auto Fingerprint</t>
  </si>
  <si>
    <t>5. If case's total fine is NOT standard, enter total fine and select TOP-DOWN from list</t>
  </si>
  <si>
    <r>
      <rPr>
        <b/>
        <sz val="12"/>
        <color indexed="10"/>
        <rFont val="Calibri"/>
        <family val="2"/>
      </rPr>
      <t>VARIANCE</t>
    </r>
    <r>
      <rPr>
        <b/>
        <sz val="10"/>
        <color indexed="10"/>
        <rFont val="Calibri"/>
        <family val="2"/>
      </rPr>
      <t xml:space="preserve">
</t>
    </r>
    <r>
      <rPr>
        <b/>
        <sz val="10"/>
        <rFont val="Calibri"/>
        <family val="2"/>
      </rPr>
      <t>Over</t>
    </r>
    <r>
      <rPr>
        <b/>
        <sz val="10"/>
        <color indexed="10"/>
        <rFont val="Calibri"/>
        <family val="2"/>
      </rPr>
      <t>/
(Under)</t>
    </r>
  </si>
  <si>
    <t>BASE FINE</t>
  </si>
  <si>
    <t xml:space="preserve">1 - Driving Under Influence - </t>
  </si>
  <si>
    <t>GC 70373 - Crim Conv Assmnt ($30 for misd/$35 for infr)</t>
  </si>
  <si>
    <t>DISTRIB CODE or DESCRIPTION</t>
  </si>
  <si>
    <r>
      <t xml:space="preserve">TEST STEPS </t>
    </r>
    <r>
      <rPr>
        <sz val="12"/>
        <rFont val="Calibri"/>
        <family val="2"/>
      </rPr>
      <t>(color codes)</t>
    </r>
    <r>
      <rPr>
        <b/>
        <sz val="14"/>
        <rFont val="Calibri"/>
        <family val="2"/>
      </rPr>
      <t>:</t>
    </r>
  </si>
  <si>
    <t>PC 1203.1(L) - Restitution Fee (up to 10% of total rest)</t>
  </si>
  <si>
    <t>VC 23152</t>
  </si>
  <si>
    <t>CHP - outside city</t>
  </si>
  <si>
    <t>DUI of Alcohol/Drugs</t>
  </si>
  <si>
    <t>misdemeanor</t>
  </si>
  <si>
    <t>TOTAL Enhanced Base</t>
  </si>
  <si>
    <t xml:space="preserve">Portion of 10 </t>
  </si>
  <si>
    <t>GC 76104.7 - DNA Addl PA (3/10 eff 6-10-10; prev 1/10)</t>
  </si>
  <si>
    <t>GC 70372(a) - ICNA (equal to LCCF)</t>
  </si>
  <si>
    <t>GC 70372(a) - SCFCF (5/10 minus LCCF)</t>
  </si>
  <si>
    <t>GC 70372(a) total is $5 for every 10</t>
  </si>
  <si>
    <t>CASE NUMBER</t>
  </si>
  <si>
    <r>
      <rPr>
        <b/>
        <sz val="11"/>
        <rFont val="Calibri"/>
        <family val="2"/>
      </rPr>
      <t>BASE REDUCTION</t>
    </r>
    <r>
      <rPr>
        <sz val="11"/>
        <rFont val="Calibri"/>
        <family val="2"/>
      </rPr>
      <t>: PC 1463.16 - DUI Prog Fees (BOS: $50)</t>
    </r>
  </si>
  <si>
    <t>PC 1463.13 - Alcohol &amp; Drug Assmnt (BOS: up to $150)</t>
  </si>
  <si>
    <t>PC 1205(d) - Installment Fee (BOS: up to $30 OR up to $35)</t>
  </si>
  <si>
    <t>GC 76000.5 - EMS Addl PA (BOS: 2/10)</t>
  </si>
  <si>
    <t>PC 1465.8 - Court Sec Fee ($30 eff 7-28-09, prev $20)</t>
  </si>
  <si>
    <t xml:space="preserve">IAS TOP-DOWN </t>
  </si>
  <si>
    <t>STANDARD BASE-UP</t>
  </si>
  <si>
    <t>Standard-Per UBS</t>
  </si>
  <si>
    <r>
      <t xml:space="preserve">FINAL
</t>
    </r>
    <r>
      <rPr>
        <b/>
        <sz val="10"/>
        <rFont val="Calibri"/>
        <family val="2"/>
      </rPr>
      <t>(After 2%)</t>
    </r>
  </si>
  <si>
    <t>BASE-UP   (B-A)</t>
  </si>
  <si>
    <t>TOP-DOWN   (B-C)</t>
  </si>
  <si>
    <t>2. Enter the base fine of violation per currrent UBS</t>
  </si>
  <si>
    <t>5. If case's total fine is NOT standard, enter total fine and select TOP-DOWN from drop-down list</t>
  </si>
  <si>
    <t>Entity</t>
  </si>
  <si>
    <t>BU $</t>
  </si>
  <si>
    <t>TD $</t>
  </si>
  <si>
    <t>Traffic Infraction</t>
  </si>
  <si>
    <t>sunsets on 7/1/13 unless deleted or extended before 1/1/14</t>
  </si>
  <si>
    <r>
      <rPr>
        <b/>
        <sz val="10"/>
        <rFont val="Arial"/>
        <family val="2"/>
      </rPr>
      <t xml:space="preserve">Auditor's Note: </t>
    </r>
    <r>
      <rPr>
        <sz val="10"/>
        <rFont val="Arial"/>
        <family val="2"/>
      </rPr>
      <t xml:space="preserve"> However, per PC 1203.1d (e), any addition or increase after 1/1/09 will be </t>
    </r>
    <r>
      <rPr>
        <u/>
        <sz val="10"/>
        <rFont val="Arial"/>
        <family val="2"/>
      </rPr>
      <t>last distrib priority</t>
    </r>
    <r>
      <rPr>
        <sz val="10"/>
        <rFont val="Arial"/>
        <family val="2"/>
      </rPr>
      <t xml:space="preserve">.  &lt;AWAITING OGC opinion by Jasmin&gt;
</t>
    </r>
  </si>
  <si>
    <t>per conviction NOT per case</t>
  </si>
  <si>
    <t xml:space="preserve">per convicted violation  </t>
  </si>
  <si>
    <t>COMMENTS</t>
  </si>
  <si>
    <t>GC 76000.10(c) - EMAT Penalty ($4 eff 1-1-11)</t>
  </si>
  <si>
    <t>CMS Account Code</t>
  </si>
  <si>
    <t>Code Description</t>
  </si>
  <si>
    <t>GC 76104.5 - DNA ID</t>
  </si>
  <si>
    <t>PC 1465.8 - Court Ops Assmnt ($40 eff 10-19-10)</t>
  </si>
  <si>
    <t>VC 40508.6 - Priors/DMV Admin Fee (up to $10)</t>
  </si>
  <si>
    <t>County Court Construction Fund</t>
  </si>
  <si>
    <t>Prorate % After Fixed Amts</t>
  </si>
  <si>
    <t>7. Tickmark any FINDINGS numerically then detail below</t>
  </si>
  <si>
    <t>Yes</t>
  </si>
  <si>
    <t>No</t>
  </si>
  <si>
    <t>NA-County Arrest</t>
  </si>
  <si>
    <t>NA-City Arrest</t>
  </si>
  <si>
    <t>VC 23649(a) - Co Alc &amp; Drug Prob Assmnt (up to $100)</t>
  </si>
  <si>
    <t>CNTY or CTY</t>
  </si>
  <si>
    <t>PC 1202.4(l) - County Collect Fee (BOS: up to 10% of Rest Fine)</t>
  </si>
  <si>
    <t>State DNA ID Fund</t>
  </si>
  <si>
    <t>GC 76104.7 - DNA Addl PA (4/10 eff 6-27-12; prev 3/10)</t>
  </si>
  <si>
    <t xml:space="preserve">As of: </t>
  </si>
  <si>
    <t>GC 68090.8 - 2% State Automation (for fines, penalties &amp; forfeitures)</t>
  </si>
  <si>
    <r>
      <rPr>
        <b/>
        <sz val="11"/>
        <rFont val="Calibri"/>
        <family val="2"/>
      </rPr>
      <t>BASE REDUCTION:</t>
    </r>
    <r>
      <rPr>
        <sz val="11"/>
        <rFont val="Calibri"/>
        <family val="2"/>
      </rPr>
      <t xml:space="preserve"> PC 1463.14(a) - DUI Lab Spec Acct ($50)</t>
    </r>
  </si>
  <si>
    <r>
      <rPr>
        <b/>
        <sz val="11"/>
        <rFont val="Calibri"/>
        <family val="2"/>
      </rPr>
      <t>BASE REDUCTION</t>
    </r>
    <r>
      <rPr>
        <sz val="11"/>
        <rFont val="Calibri"/>
        <family val="2"/>
      </rPr>
      <t>: PC 1463.16 - DUI Prog Spec Acct (BOS: $50)</t>
    </r>
  </si>
  <si>
    <t>GC 68090.8 - 2% State Automation (for fines, penalties &amp; forfeitures</t>
  </si>
  <si>
    <r>
      <rPr>
        <b/>
        <sz val="11"/>
        <rFont val="Calibri"/>
        <family val="2"/>
      </rPr>
      <t xml:space="preserve">BASE REDUCTION: </t>
    </r>
    <r>
      <rPr>
        <sz val="11"/>
        <rFont val="Calibri"/>
        <family val="2"/>
      </rPr>
      <t>PC 1463.18 - DUI Indemnity Alloc ($20)</t>
    </r>
  </si>
  <si>
    <t>PC 1463.14(b) - DUI Lab Test Penalty (BOS: up to $50)</t>
  </si>
  <si>
    <t xml:space="preserve">State Court Construction Penalty - GC 70372 </t>
  </si>
  <si>
    <t xml:space="preserve">Emergency Medical Services - GC 76104 </t>
  </si>
  <si>
    <t>Base Fine - PC 1463.001 (County Portion)</t>
  </si>
  <si>
    <t>Base Fine - PC 1463.001 (City Portion)</t>
  </si>
  <si>
    <t>State PA  - PC 1464</t>
  </si>
  <si>
    <t>County PA - PC 1464</t>
  </si>
  <si>
    <t>EMS Additional Penalty - GC 76000.5</t>
  </si>
  <si>
    <t xml:space="preserve">DNA Identification PA - GC 76104.6 </t>
  </si>
  <si>
    <t xml:space="preserve">DNA Additional PA. - GC 76104.7 </t>
  </si>
  <si>
    <t xml:space="preserve">20% Surcharge - PC 1465.7 </t>
  </si>
  <si>
    <t>Court Operations Assessment - PC 1465.8</t>
  </si>
  <si>
    <t>County DNA ID Fund/State DNA ID Fund (75%/25%)</t>
  </si>
  <si>
    <t>State Penalty Fund (70%)</t>
  </si>
  <si>
    <t>County General Fund (30%)</t>
  </si>
  <si>
    <t>State Court Facilities Construction Fund/SCFCF-ICNA</t>
  </si>
  <si>
    <r>
      <t xml:space="preserve">PC 1205(e) - Install Fee (Actual Costs) OR AR Fee (up to $30)  </t>
    </r>
    <r>
      <rPr>
        <b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
VC 40510.5(g) - Install Fee (up to $35) (DISCRETIONARY)</t>
    </r>
  </si>
  <si>
    <t>PC 1464 - State PA - State portion (70%)</t>
  </si>
  <si>
    <t>PC 1464 - State PA - County portion (30%)</t>
  </si>
  <si>
    <t>Calaveras</t>
  </si>
  <si>
    <t>PC 1202.4(b) - State Restitutn Fine (min: $150 misd/$300 fel)</t>
  </si>
  <si>
    <t>County</t>
  </si>
  <si>
    <t>COUNT 1 Violation Code</t>
  </si>
  <si>
    <t>COUNT 2 Violation Code (if any)</t>
  </si>
  <si>
    <t>GC 76000  =</t>
  </si>
  <si>
    <t>Answer</t>
  </si>
  <si>
    <t>Please choose the county:</t>
  </si>
  <si>
    <t>GC 76000</t>
  </si>
  <si>
    <t>Test for Local Penalties</t>
  </si>
  <si>
    <t>Has the county transferred responsibility for court facilities to the State?</t>
  </si>
  <si>
    <t>Has county paid off all indebtedness for court facilities?</t>
  </si>
  <si>
    <t>GC 76000 (e)</t>
  </si>
  <si>
    <t xml:space="preserve">GC 76104.6 - DNA PA (1/10) 75% </t>
  </si>
  <si>
    <t>GC 76104.6 - DNA PA (1/10) 25%</t>
  </si>
  <si>
    <t>GC 76104.6 - DNA PA (1/10) 75%</t>
  </si>
  <si>
    <t>GC 70372(a): SCFCF (5/10)</t>
  </si>
  <si>
    <t>3. Enter county local penalties, add'l EMS, SCFCF</t>
  </si>
  <si>
    <t>Coronado PD</t>
  </si>
  <si>
    <t>VC 22349(b)</t>
  </si>
  <si>
    <t>1-15 MPH over 55 MPH</t>
  </si>
  <si>
    <t xml:space="preserve">Case Study 1 - Speeding Bail Forfeiture  </t>
  </si>
  <si>
    <t xml:space="preserve">Top Down Method 1 (Speeding Bail Forfeiture)  </t>
  </si>
  <si>
    <t>GC 76104.6 - DNA PA (1/10)  75%</t>
  </si>
  <si>
    <t xml:space="preserve">GC 76104.6 - DNA PA (1/10)  25% </t>
  </si>
  <si>
    <t>PC 1205(e) - Install Fee OR AR Fee (BOS: Actual Costs OR up to $30)</t>
  </si>
  <si>
    <t xml:space="preserve">Top Down Method 2 (Speeding Bail Forfeiture) </t>
  </si>
  <si>
    <t xml:space="preserve"> TOP-DOWN #2</t>
  </si>
  <si>
    <t xml:space="preserve"> TOP-DOWN #1</t>
  </si>
  <si>
    <t>PC 1463.25 - Alcohol Education Penalty (up to $50)</t>
  </si>
  <si>
    <t>Case Study 2 - Driving Under Influence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</si>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</sst>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_);\(0.00\)"/>
    <numFmt numFmtId="166" formatCode="0.00_);[Red]\(0.00\)"/>
    <numFmt numFmtId="167" formatCode="0_);[Red]\(0\)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9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333333"/>
      <name val="Verdana"/>
      <family val="2"/>
    </font>
    <font>
      <sz val="10"/>
      <color rgb="FF333333"/>
      <name val="Verdana"/>
      <family val="2"/>
    </font>
    <font>
      <sz val="12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2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865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protection locked="0"/>
    </xf>
    <xf numFmtId="0" fontId="7" fillId="0" borderId="0" xfId="0" applyFont="1" applyAlignment="1" applyProtection="1"/>
    <xf numFmtId="14" fontId="0" fillId="0" borderId="0" xfId="0" applyNumberFormat="1" applyAlignment="1">
      <alignment vertical="top"/>
    </xf>
    <xf numFmtId="14" fontId="2" fillId="2" borderId="1" xfId="0" applyNumberFormat="1" applyFont="1" applyFill="1" applyBorder="1" applyAlignment="1">
      <alignment horizontal="center" vertical="top"/>
    </xf>
    <xf numFmtId="14" fontId="0" fillId="2" borderId="1" xfId="0" applyNumberFormat="1" applyFill="1" applyBorder="1" applyAlignment="1">
      <alignment vertical="top"/>
    </xf>
    <xf numFmtId="14" fontId="2" fillId="0" borderId="0" xfId="0" applyNumberFormat="1" applyFont="1" applyAlignment="1">
      <alignment horizontal="center" vertical="top"/>
    </xf>
    <xf numFmtId="14" fontId="2" fillId="0" borderId="1" xfId="0" applyNumberFormat="1" applyFont="1" applyBorder="1" applyAlignment="1">
      <alignment vertical="top"/>
    </xf>
    <xf numFmtId="14" fontId="2" fillId="3" borderId="1" xfId="0" applyNumberFormat="1" applyFont="1" applyFill="1" applyBorder="1" applyAlignment="1">
      <alignment vertical="top"/>
    </xf>
    <xf numFmtId="2" fontId="0" fillId="0" borderId="1" xfId="0" applyNumberFormat="1" applyBorder="1" applyAlignment="1">
      <alignment vertical="top"/>
    </xf>
    <xf numFmtId="14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14" fontId="2" fillId="0" borderId="0" xfId="0" applyNumberFormat="1" applyFont="1" applyBorder="1" applyAlignment="1">
      <alignment vertical="top"/>
    </xf>
    <xf numFmtId="2" fontId="2" fillId="0" borderId="0" xfId="0" applyNumberFormat="1" applyFont="1" applyBorder="1" applyAlignment="1">
      <alignment vertical="top"/>
    </xf>
    <xf numFmtId="14" fontId="0" fillId="4" borderId="1" xfId="0" applyNumberFormat="1" applyFill="1" applyBorder="1" applyAlignment="1">
      <alignment vertical="top"/>
    </xf>
    <xf numFmtId="0" fontId="5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2" fontId="2" fillId="4" borderId="1" xfId="0" applyNumberFormat="1" applyFont="1" applyFill="1" applyBorder="1" applyAlignment="1">
      <alignment vertical="top"/>
    </xf>
    <xf numFmtId="0" fontId="21" fillId="0" borderId="2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5" fillId="0" borderId="0" xfId="0" applyFont="1"/>
    <xf numFmtId="0" fontId="22" fillId="0" borderId="0" xfId="0" applyFont="1"/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3" fillId="0" borderId="0" xfId="0" applyFont="1" applyAlignment="1" applyProtection="1">
      <alignment vertical="top"/>
      <protection locked="0"/>
    </xf>
    <xf numFmtId="0" fontId="24" fillId="7" borderId="0" xfId="0" applyFont="1" applyFill="1" applyBorder="1" applyAlignment="1" applyProtection="1">
      <alignment horizontal="right" vertical="top"/>
      <protection locked="0"/>
    </xf>
    <xf numFmtId="0" fontId="24" fillId="7" borderId="0" xfId="0" applyFont="1" applyFill="1" applyBorder="1" applyAlignment="1" applyProtection="1">
      <alignment horizontal="left" vertical="top"/>
      <protection locked="0"/>
    </xf>
    <xf numFmtId="0" fontId="24" fillId="7" borderId="4" xfId="0" applyFont="1" applyFill="1" applyBorder="1" applyAlignment="1" applyProtection="1">
      <alignment horizontal="left" vertical="top"/>
      <protection locked="0"/>
    </xf>
    <xf numFmtId="0" fontId="23" fillId="7" borderId="0" xfId="0" applyFont="1" applyFill="1" applyAlignment="1" applyProtection="1">
      <alignment vertical="top"/>
      <protection locked="0"/>
    </xf>
    <xf numFmtId="0" fontId="25" fillId="8" borderId="5" xfId="0" applyFont="1" applyFill="1" applyBorder="1" applyAlignment="1" applyProtection="1">
      <alignment horizontal="center" vertical="top"/>
      <protection locked="0"/>
    </xf>
    <xf numFmtId="0" fontId="25" fillId="7" borderId="0" xfId="0" applyFont="1" applyFill="1" applyBorder="1" applyAlignment="1" applyProtection="1">
      <alignment horizontal="center" vertical="top"/>
      <protection locked="0"/>
    </xf>
    <xf numFmtId="0" fontId="25" fillId="7" borderId="0" xfId="0" applyFont="1" applyFill="1" applyAlignment="1" applyProtection="1">
      <alignment vertical="top"/>
      <protection locked="0"/>
    </xf>
    <xf numFmtId="0" fontId="25" fillId="9" borderId="6" xfId="0" applyFont="1" applyFill="1" applyBorder="1" applyAlignment="1" applyProtection="1">
      <alignment horizontal="center" vertical="top"/>
      <protection locked="0"/>
    </xf>
    <xf numFmtId="6" fontId="25" fillId="7" borderId="0" xfId="0" applyNumberFormat="1" applyFont="1" applyFill="1" applyBorder="1" applyAlignment="1" applyProtection="1">
      <alignment horizontal="right" vertical="top" wrapText="1"/>
      <protection locked="0"/>
    </xf>
    <xf numFmtId="0" fontId="25" fillId="7" borderId="0" xfId="0" applyFont="1" applyFill="1" applyBorder="1" applyAlignment="1" applyProtection="1">
      <alignment vertical="top" wrapText="1"/>
      <protection locked="0"/>
    </xf>
    <xf numFmtId="0" fontId="25" fillId="7" borderId="0" xfId="0" applyFont="1" applyFill="1" applyBorder="1" applyAlignment="1" applyProtection="1">
      <alignment horizontal="right" vertical="top" wrapText="1"/>
      <protection locked="0"/>
    </xf>
    <xf numFmtId="0" fontId="25" fillId="7" borderId="0" xfId="0" applyFont="1" applyFill="1" applyAlignment="1" applyProtection="1">
      <alignment horizontal="center" vertical="top"/>
      <protection locked="0"/>
    </xf>
    <xf numFmtId="165" fontId="26" fillId="7" borderId="0" xfId="0" applyNumberFormat="1" applyFont="1" applyFill="1" applyAlignment="1" applyProtection="1">
      <alignment vertical="top"/>
      <protection locked="0"/>
    </xf>
    <xf numFmtId="0" fontId="25" fillId="7" borderId="0" xfId="0" applyFont="1" applyFill="1" applyAlignment="1" applyProtection="1">
      <alignment vertical="top" wrapText="1"/>
      <protection locked="0"/>
    </xf>
    <xf numFmtId="164" fontId="25" fillId="7" borderId="0" xfId="0" applyNumberFormat="1" applyFont="1" applyFill="1" applyAlignment="1" applyProtection="1">
      <alignment vertical="top"/>
      <protection locked="0"/>
    </xf>
    <xf numFmtId="0" fontId="25" fillId="7" borderId="0" xfId="0" applyFont="1" applyFill="1" applyBorder="1" applyAlignment="1" applyProtection="1">
      <alignment horizontal="left" vertical="top" wrapText="1"/>
      <protection locked="0"/>
    </xf>
    <xf numFmtId="9" fontId="27" fillId="7" borderId="7" xfId="0" applyNumberFormat="1" applyFont="1" applyFill="1" applyBorder="1" applyAlignment="1" applyProtection="1">
      <alignment horizontal="center" vertical="top" textRotation="90" wrapText="1"/>
      <protection locked="0"/>
    </xf>
    <xf numFmtId="9" fontId="27" fillId="5" borderId="0" xfId="0" applyNumberFormat="1" applyFont="1" applyFill="1" applyBorder="1" applyAlignment="1" applyProtection="1">
      <alignment horizontal="center" vertical="top" textRotation="90" wrapText="1"/>
      <protection locked="0"/>
    </xf>
    <xf numFmtId="0" fontId="22" fillId="0" borderId="3" xfId="0" applyFont="1" applyFill="1" applyBorder="1" applyAlignment="1" applyProtection="1">
      <alignment horizontal="center" vertical="top" wrapText="1"/>
      <protection locked="0"/>
    </xf>
    <xf numFmtId="0" fontId="22" fillId="0" borderId="3" xfId="0" applyFont="1" applyBorder="1" applyAlignment="1" applyProtection="1">
      <alignment horizontal="right" vertical="top" wrapText="1"/>
      <protection locked="0"/>
    </xf>
    <xf numFmtId="0" fontId="22" fillId="0" borderId="3" xfId="0" applyFont="1" applyBorder="1" applyAlignment="1" applyProtection="1">
      <alignment vertical="top" wrapText="1"/>
      <protection locked="0"/>
    </xf>
    <xf numFmtId="2" fontId="22" fillId="5" borderId="0" xfId="0" applyNumberFormat="1" applyFont="1" applyFill="1" applyBorder="1" applyAlignment="1" applyProtection="1">
      <alignment vertical="top"/>
      <protection locked="0"/>
    </xf>
    <xf numFmtId="164" fontId="22" fillId="0" borderId="1" xfId="0" applyNumberFormat="1" applyFont="1" applyBorder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top"/>
      <protection locked="0"/>
    </xf>
    <xf numFmtId="0" fontId="22" fillId="0" borderId="1" xfId="0" applyFont="1" applyFill="1" applyBorder="1" applyAlignment="1" applyProtection="1">
      <alignment horizontal="center" vertical="top" wrapText="1"/>
      <protection locked="0"/>
    </xf>
    <xf numFmtId="0" fontId="22" fillId="0" borderId="1" xfId="0" applyFont="1" applyBorder="1" applyAlignment="1" applyProtection="1">
      <alignment horizontal="right" vertical="top" wrapText="1"/>
      <protection locked="0"/>
    </xf>
    <xf numFmtId="0" fontId="22" fillId="0" borderId="1" xfId="0" applyFont="1" applyBorder="1" applyAlignment="1" applyProtection="1">
      <alignment vertical="top" wrapText="1"/>
      <protection locked="0"/>
    </xf>
    <xf numFmtId="2" fontId="22" fillId="0" borderId="8" xfId="0" applyNumberFormat="1" applyFont="1" applyBorder="1" applyAlignment="1" applyProtection="1">
      <alignment vertical="top"/>
      <protection locked="0"/>
    </xf>
    <xf numFmtId="0" fontId="22" fillId="10" borderId="1" xfId="0" applyFont="1" applyFill="1" applyBorder="1" applyAlignment="1" applyProtection="1">
      <alignment horizontal="center" vertical="top" wrapText="1"/>
      <protection locked="0"/>
    </xf>
    <xf numFmtId="0" fontId="22" fillId="0" borderId="9" xfId="0" applyFont="1" applyBorder="1" applyAlignment="1" applyProtection="1">
      <alignment vertical="top"/>
      <protection locked="0"/>
    </xf>
    <xf numFmtId="0" fontId="22" fillId="5" borderId="0" xfId="0" applyFont="1" applyFill="1" applyBorder="1" applyAlignment="1" applyProtection="1">
      <alignment vertical="top"/>
      <protection locked="0"/>
    </xf>
    <xf numFmtId="164" fontId="22" fillId="0" borderId="1" xfId="0" applyNumberFormat="1" applyFont="1" applyFill="1" applyBorder="1" applyAlignment="1" applyProtection="1">
      <alignment vertical="top" wrapText="1"/>
      <protection locked="0"/>
    </xf>
    <xf numFmtId="0" fontId="22" fillId="0" borderId="1" xfId="0" applyFont="1" applyFill="1" applyBorder="1" applyAlignment="1" applyProtection="1">
      <alignment horizontal="right" vertical="top" wrapText="1"/>
      <protection locked="0"/>
    </xf>
    <xf numFmtId="0" fontId="22" fillId="0" borderId="1" xfId="0" applyFont="1" applyFill="1" applyBorder="1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vertical="top"/>
      <protection locked="0"/>
    </xf>
    <xf numFmtId="0" fontId="28" fillId="0" borderId="1" xfId="0" applyFont="1" applyFill="1" applyBorder="1" applyAlignment="1" applyProtection="1">
      <alignment horizontal="center" vertical="top" wrapText="1"/>
      <protection locked="0"/>
    </xf>
    <xf numFmtId="0" fontId="28" fillId="0" borderId="1" xfId="0" applyFont="1" applyFill="1" applyBorder="1" applyAlignment="1" applyProtection="1">
      <alignment horizontal="right" vertical="top" wrapText="1"/>
      <protection locked="0"/>
    </xf>
    <xf numFmtId="0" fontId="28" fillId="0" borderId="1" xfId="0" applyFont="1" applyFill="1" applyBorder="1" applyAlignment="1" applyProtection="1">
      <alignment vertical="top" wrapText="1"/>
      <protection locked="0"/>
    </xf>
    <xf numFmtId="164" fontId="28" fillId="0" borderId="1" xfId="0" applyNumberFormat="1" applyFont="1" applyFill="1" applyBorder="1" applyAlignment="1" applyProtection="1">
      <alignment vertical="top" wrapText="1"/>
      <protection locked="0"/>
    </xf>
    <xf numFmtId="0" fontId="28" fillId="0" borderId="0" xfId="0" applyFont="1" applyFill="1" applyBorder="1" applyAlignment="1" applyProtection="1">
      <alignment vertical="top"/>
      <protection locked="0"/>
    </xf>
    <xf numFmtId="0" fontId="22" fillId="11" borderId="1" xfId="0" applyFont="1" applyFill="1" applyBorder="1" applyAlignment="1" applyProtection="1">
      <alignment vertical="top" wrapText="1"/>
      <protection locked="0"/>
    </xf>
    <xf numFmtId="0" fontId="22" fillId="11" borderId="1" xfId="0" applyFont="1" applyFill="1" applyBorder="1" applyAlignment="1" applyProtection="1">
      <alignment vertical="top"/>
      <protection locked="0"/>
    </xf>
    <xf numFmtId="0" fontId="22" fillId="0" borderId="1" xfId="0" applyFont="1" applyFill="1" applyBorder="1" applyAlignment="1" applyProtection="1">
      <alignment horizontal="center" vertical="top"/>
      <protection locked="0"/>
    </xf>
    <xf numFmtId="0" fontId="22" fillId="0" borderId="1" xfId="0" applyFont="1" applyBorder="1" applyAlignment="1" applyProtection="1">
      <alignment horizontal="center" vertical="top"/>
      <protection locked="0"/>
    </xf>
    <xf numFmtId="0" fontId="22" fillId="0" borderId="1" xfId="0" applyFont="1" applyBorder="1" applyAlignment="1" applyProtection="1">
      <alignment horizontal="right" vertical="top"/>
      <protection locked="0"/>
    </xf>
    <xf numFmtId="0" fontId="22" fillId="0" borderId="1" xfId="0" applyFont="1" applyBorder="1" applyAlignment="1" applyProtection="1">
      <alignment vertical="top"/>
      <protection locked="0"/>
    </xf>
    <xf numFmtId="2" fontId="22" fillId="0" borderId="1" xfId="0" applyNumberFormat="1" applyFont="1" applyFill="1" applyBorder="1" applyAlignment="1" applyProtection="1">
      <alignment vertical="top"/>
      <protection locked="0"/>
    </xf>
    <xf numFmtId="0" fontId="23" fillId="0" borderId="0" xfId="0" applyFont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left" vertical="top"/>
      <protection locked="0"/>
    </xf>
    <xf numFmtId="0" fontId="23" fillId="5" borderId="0" xfId="0" applyFont="1" applyFill="1" applyBorder="1" applyAlignment="1" applyProtection="1">
      <alignment vertical="top"/>
      <protection locked="0"/>
    </xf>
    <xf numFmtId="165" fontId="29" fillId="0" borderId="0" xfId="0" applyNumberFormat="1" applyFont="1" applyAlignment="1" applyProtection="1">
      <alignment vertical="top"/>
      <protection locked="0"/>
    </xf>
    <xf numFmtId="0" fontId="23" fillId="0" borderId="0" xfId="0" applyFont="1" applyAlignment="1" applyProtection="1">
      <alignment vertical="top" wrapText="1"/>
      <protection locked="0"/>
    </xf>
    <xf numFmtId="0" fontId="30" fillId="0" borderId="0" xfId="0" applyFont="1" applyAlignment="1" applyProtection="1">
      <alignment vertical="top"/>
      <protection locked="0"/>
    </xf>
    <xf numFmtId="2" fontId="22" fillId="0" borderId="1" xfId="0" applyNumberFormat="1" applyFont="1" applyFill="1" applyBorder="1" applyAlignment="1" applyProtection="1">
      <alignment vertical="top" wrapText="1"/>
    </xf>
    <xf numFmtId="164" fontId="22" fillId="0" borderId="3" xfId="0" applyNumberFormat="1" applyFont="1" applyBorder="1" applyAlignment="1" applyProtection="1">
      <alignment vertical="top" wrapText="1"/>
      <protection locked="0"/>
    </xf>
    <xf numFmtId="0" fontId="31" fillId="7" borderId="0" xfId="0" applyFont="1" applyFill="1" applyAlignment="1" applyProtection="1">
      <alignment vertical="top"/>
      <protection locked="0"/>
    </xf>
    <xf numFmtId="0" fontId="31" fillId="7" borderId="0" xfId="0" applyFont="1" applyFill="1" applyBorder="1" applyAlignment="1" applyProtection="1">
      <alignment horizontal="left" vertical="top" wrapText="1"/>
    </xf>
    <xf numFmtId="0" fontId="31" fillId="7" borderId="0" xfId="0" applyFont="1" applyFill="1" applyAlignment="1" applyProtection="1">
      <alignment vertical="top"/>
    </xf>
    <xf numFmtId="0" fontId="31" fillId="0" borderId="0" xfId="0" applyFont="1" applyAlignment="1" applyProtection="1">
      <alignment vertical="top"/>
    </xf>
    <xf numFmtId="0" fontId="31" fillId="5" borderId="0" xfId="0" applyFont="1" applyFill="1" applyBorder="1" applyAlignment="1" applyProtection="1">
      <alignment horizontal="center" vertical="top" wrapText="1"/>
    </xf>
    <xf numFmtId="0" fontId="31" fillId="5" borderId="0" xfId="0" applyFont="1" applyFill="1" applyBorder="1" applyAlignment="1" applyProtection="1">
      <alignment horizontal="center" vertical="top"/>
    </xf>
    <xf numFmtId="9" fontId="27" fillId="6" borderId="10" xfId="0" applyNumberFormat="1" applyFont="1" applyFill="1" applyBorder="1" applyAlignment="1" applyProtection="1">
      <alignment horizontal="center" vertical="top" wrapText="1"/>
    </xf>
    <xf numFmtId="0" fontId="27" fillId="6" borderId="10" xfId="0" applyFont="1" applyFill="1" applyBorder="1" applyAlignment="1" applyProtection="1">
      <alignment horizontal="center" vertical="top" wrapText="1"/>
    </xf>
    <xf numFmtId="0" fontId="27" fillId="6" borderId="11" xfId="0" applyFont="1" applyFill="1" applyBorder="1" applyAlignment="1" applyProtection="1">
      <alignment horizontal="center" vertical="top" wrapText="1"/>
    </xf>
    <xf numFmtId="9" fontId="27" fillId="6" borderId="12" xfId="0" applyNumberFormat="1" applyFont="1" applyFill="1" applyBorder="1" applyAlignment="1" applyProtection="1">
      <alignment horizontal="center" vertical="top" wrapText="1"/>
    </xf>
    <xf numFmtId="0" fontId="27" fillId="6" borderId="12" xfId="0" applyFont="1" applyFill="1" applyBorder="1" applyAlignment="1" applyProtection="1">
      <alignment horizontal="center" vertical="top" wrapText="1"/>
    </xf>
    <xf numFmtId="2" fontId="27" fillId="6" borderId="12" xfId="0" applyNumberFormat="1" applyFont="1" applyFill="1" applyBorder="1" applyAlignment="1" applyProtection="1">
      <alignment horizontal="center" vertical="top" wrapText="1"/>
    </xf>
    <xf numFmtId="9" fontId="31" fillId="6" borderId="13" xfId="0" applyNumberFormat="1" applyFont="1" applyFill="1" applyBorder="1" applyAlignment="1" applyProtection="1">
      <alignment horizontal="center" vertical="top" wrapText="1"/>
    </xf>
    <xf numFmtId="0" fontId="31" fillId="6" borderId="0" xfId="0" applyFont="1" applyFill="1" applyBorder="1" applyAlignment="1" applyProtection="1">
      <alignment horizontal="center" vertical="top" wrapText="1"/>
    </xf>
    <xf numFmtId="2" fontId="31" fillId="6" borderId="10" xfId="0" applyNumberFormat="1" applyFont="1" applyFill="1" applyBorder="1" applyAlignment="1" applyProtection="1">
      <alignment horizontal="center" vertical="top" wrapText="1"/>
    </xf>
    <xf numFmtId="2" fontId="32" fillId="5" borderId="0" xfId="0" applyNumberFormat="1" applyFont="1" applyFill="1" applyBorder="1" applyAlignment="1" applyProtection="1">
      <alignment horizontal="center" vertical="top" wrapText="1"/>
    </xf>
    <xf numFmtId="2" fontId="28" fillId="0" borderId="0" xfId="0" applyNumberFormat="1" applyFont="1" applyFill="1" applyBorder="1" applyAlignment="1" applyProtection="1">
      <alignment vertical="top"/>
    </xf>
    <xf numFmtId="0" fontId="22" fillId="7" borderId="0" xfId="0" applyFont="1" applyFill="1" applyAlignment="1" applyProtection="1">
      <alignment horizontal="center" vertical="top"/>
      <protection locked="0"/>
    </xf>
    <xf numFmtId="0" fontId="22" fillId="7" borderId="0" xfId="0" applyFont="1" applyFill="1" applyAlignment="1" applyProtection="1">
      <alignment horizontal="left" vertical="top"/>
      <protection locked="0"/>
    </xf>
    <xf numFmtId="0" fontId="22" fillId="7" borderId="0" xfId="0" applyFont="1" applyFill="1" applyAlignment="1" applyProtection="1">
      <alignment vertical="top"/>
      <protection locked="0"/>
    </xf>
    <xf numFmtId="2" fontId="22" fillId="7" borderId="0" xfId="0" applyNumberFormat="1" applyFont="1" applyFill="1" applyAlignment="1" applyProtection="1">
      <alignment vertical="top"/>
    </xf>
    <xf numFmtId="0" fontId="22" fillId="7" borderId="0" xfId="0" applyFont="1" applyFill="1" applyBorder="1" applyAlignment="1" applyProtection="1">
      <alignment vertical="top"/>
      <protection locked="0"/>
    </xf>
    <xf numFmtId="2" fontId="22" fillId="7" borderId="9" xfId="0" applyNumberFormat="1" applyFont="1" applyFill="1" applyBorder="1" applyAlignment="1" applyProtection="1">
      <alignment vertical="top"/>
      <protection locked="0"/>
    </xf>
    <xf numFmtId="2" fontId="22" fillId="7" borderId="0" xfId="0" applyNumberFormat="1" applyFont="1" applyFill="1" applyBorder="1" applyAlignment="1" applyProtection="1">
      <alignment vertical="top"/>
      <protection locked="0"/>
    </xf>
    <xf numFmtId="0" fontId="22" fillId="7" borderId="0" xfId="0" applyFont="1" applyFill="1" applyAlignment="1" applyProtection="1">
      <alignment vertical="top" wrapText="1"/>
      <protection locked="0"/>
    </xf>
    <xf numFmtId="0" fontId="31" fillId="7" borderId="0" xfId="0" applyFont="1" applyFill="1" applyAlignment="1" applyProtection="1">
      <alignment horizontal="left" vertical="top"/>
      <protection locked="0"/>
    </xf>
    <xf numFmtId="0" fontId="23" fillId="7" borderId="0" xfId="0" applyFont="1" applyFill="1" applyAlignment="1" applyProtection="1">
      <alignment horizontal="center" vertical="top"/>
      <protection locked="0"/>
    </xf>
    <xf numFmtId="0" fontId="23" fillId="7" borderId="0" xfId="0" applyFont="1" applyFill="1" applyAlignment="1" applyProtection="1">
      <alignment horizontal="left" vertical="top"/>
      <protection locked="0"/>
    </xf>
    <xf numFmtId="2" fontId="23" fillId="7" borderId="0" xfId="0" applyNumberFormat="1" applyFont="1" applyFill="1" applyAlignment="1" applyProtection="1">
      <alignment vertical="top"/>
      <protection locked="0"/>
    </xf>
    <xf numFmtId="2" fontId="30" fillId="7" borderId="0" xfId="0" applyNumberFormat="1" applyFont="1" applyFill="1" applyAlignment="1" applyProtection="1">
      <alignment vertical="top"/>
      <protection locked="0"/>
    </xf>
    <xf numFmtId="2" fontId="23" fillId="7" borderId="0" xfId="0" applyNumberFormat="1" applyFont="1" applyFill="1" applyBorder="1" applyAlignment="1" applyProtection="1">
      <alignment vertical="top"/>
      <protection locked="0"/>
    </xf>
    <xf numFmtId="0" fontId="23" fillId="7" borderId="0" xfId="0" applyFont="1" applyFill="1" applyBorder="1" applyAlignment="1" applyProtection="1">
      <alignment vertical="top"/>
      <protection locked="0"/>
    </xf>
    <xf numFmtId="165" fontId="29" fillId="7" borderId="0" xfId="0" applyNumberFormat="1" applyFont="1" applyFill="1" applyAlignment="1" applyProtection="1">
      <alignment vertical="top"/>
      <protection locked="0"/>
    </xf>
    <xf numFmtId="0" fontId="23" fillId="7" borderId="0" xfId="0" applyFont="1" applyFill="1" applyAlignment="1" applyProtection="1">
      <alignment vertical="top" wrapText="1"/>
      <protection locked="0"/>
    </xf>
    <xf numFmtId="0" fontId="33" fillId="7" borderId="1" xfId="0" applyFont="1" applyFill="1" applyBorder="1" applyAlignment="1" applyProtection="1">
      <alignment horizontal="center" vertical="top"/>
      <protection locked="0"/>
    </xf>
    <xf numFmtId="0" fontId="33" fillId="7" borderId="0" xfId="0" applyFont="1" applyFill="1" applyAlignment="1" applyProtection="1">
      <alignment vertical="top"/>
      <protection locked="0"/>
    </xf>
    <xf numFmtId="0" fontId="30" fillId="7" borderId="0" xfId="0" applyFont="1" applyFill="1" applyAlignment="1" applyProtection="1">
      <alignment vertical="top"/>
      <protection locked="0"/>
    </xf>
    <xf numFmtId="0" fontId="28" fillId="7" borderId="0" xfId="0" applyFont="1" applyFill="1" applyBorder="1" applyAlignment="1" applyProtection="1">
      <alignment vertical="top"/>
      <protection locked="0"/>
    </xf>
    <xf numFmtId="0" fontId="31" fillId="7" borderId="0" xfId="0" applyFont="1" applyFill="1" applyAlignment="1" applyProtection="1">
      <alignment horizontal="center" vertical="top"/>
      <protection locked="0"/>
    </xf>
    <xf numFmtId="0" fontId="31" fillId="7" borderId="0" xfId="0" applyFont="1" applyFill="1" applyAlignment="1" applyProtection="1">
      <alignment horizontal="right" vertical="top"/>
      <protection locked="0"/>
    </xf>
    <xf numFmtId="164" fontId="31" fillId="7" borderId="0" xfId="0" applyNumberFormat="1" applyFont="1" applyFill="1" applyAlignment="1" applyProtection="1">
      <alignment vertical="top"/>
      <protection locked="0"/>
    </xf>
    <xf numFmtId="164" fontId="31" fillId="7" borderId="0" xfId="0" applyNumberFormat="1" applyFont="1" applyFill="1" applyAlignment="1" applyProtection="1">
      <alignment horizontal="center" vertical="top"/>
      <protection locked="0"/>
    </xf>
    <xf numFmtId="2" fontId="31" fillId="7" borderId="1" xfId="0" applyNumberFormat="1" applyFont="1" applyFill="1" applyBorder="1" applyAlignment="1" applyProtection="1">
      <alignment vertical="top"/>
    </xf>
    <xf numFmtId="2" fontId="31" fillId="7" borderId="0" xfId="0" applyNumberFormat="1" applyFont="1" applyFill="1" applyBorder="1" applyAlignment="1" applyProtection="1">
      <alignment vertical="top"/>
    </xf>
    <xf numFmtId="2" fontId="31" fillId="7" borderId="0" xfId="0" applyNumberFormat="1" applyFont="1" applyFill="1" applyBorder="1" applyAlignment="1" applyProtection="1">
      <alignment vertical="top"/>
      <protection locked="0"/>
    </xf>
    <xf numFmtId="2" fontId="31" fillId="7" borderId="14" xfId="0" applyNumberFormat="1" applyFont="1" applyFill="1" applyBorder="1" applyAlignment="1" applyProtection="1">
      <alignment vertical="top"/>
    </xf>
    <xf numFmtId="0" fontId="31" fillId="7" borderId="0" xfId="0" applyFont="1" applyFill="1" applyAlignment="1" applyProtection="1">
      <alignment vertical="top" wrapText="1"/>
      <protection locked="0"/>
    </xf>
    <xf numFmtId="0" fontId="22" fillId="0" borderId="1" xfId="0" applyFont="1" applyFill="1" applyBorder="1" applyAlignment="1" applyProtection="1">
      <alignment horizontal="right" vertical="top"/>
      <protection locked="0"/>
    </xf>
    <xf numFmtId="166" fontId="22" fillId="0" borderId="3" xfId="0" applyNumberFormat="1" applyFont="1" applyFill="1" applyBorder="1" applyAlignment="1" applyProtection="1">
      <alignment vertical="top" wrapText="1"/>
      <protection locked="0"/>
    </xf>
    <xf numFmtId="166" fontId="22" fillId="0" borderId="1" xfId="0" applyNumberFormat="1" applyFont="1" applyFill="1" applyBorder="1" applyAlignment="1" applyProtection="1">
      <alignment vertical="top" wrapText="1"/>
    </xf>
    <xf numFmtId="166" fontId="22" fillId="0" borderId="1" xfId="0" applyNumberFormat="1" applyFont="1" applyFill="1" applyBorder="1" applyAlignment="1" applyProtection="1">
      <alignment vertical="top" wrapText="1"/>
      <protection locked="0"/>
    </xf>
    <xf numFmtId="166" fontId="28" fillId="0" borderId="1" xfId="0" applyNumberFormat="1" applyFont="1" applyFill="1" applyBorder="1" applyAlignment="1" applyProtection="1">
      <alignment vertical="top" wrapText="1"/>
    </xf>
    <xf numFmtId="165" fontId="34" fillId="7" borderId="0" xfId="0" applyNumberFormat="1" applyFont="1" applyFill="1" applyAlignment="1" applyProtection="1">
      <alignment vertical="top"/>
    </xf>
    <xf numFmtId="0" fontId="31" fillId="7" borderId="0" xfId="0" applyFont="1" applyFill="1" applyAlignment="1" applyProtection="1">
      <alignment vertical="top" wrapText="1"/>
    </xf>
    <xf numFmtId="166" fontId="22" fillId="0" borderId="3" xfId="0" applyNumberFormat="1" applyFont="1" applyFill="1" applyBorder="1" applyAlignment="1" applyProtection="1">
      <alignment vertical="top" wrapText="1"/>
    </xf>
    <xf numFmtId="10" fontId="35" fillId="6" borderId="12" xfId="4" applyNumberFormat="1" applyFont="1" applyFill="1" applyBorder="1" applyAlignment="1" applyProtection="1">
      <alignment horizontal="center" vertical="top" wrapText="1"/>
    </xf>
    <xf numFmtId="166" fontId="22" fillId="0" borderId="15" xfId="0" applyNumberFormat="1" applyFont="1" applyFill="1" applyBorder="1" applyAlignment="1" applyProtection="1">
      <alignment vertical="top" wrapText="1"/>
    </xf>
    <xf numFmtId="2" fontId="22" fillId="0" borderId="16" xfId="0" applyNumberFormat="1" applyFont="1" applyFill="1" applyBorder="1" applyAlignment="1" applyProtection="1">
      <alignment vertical="top" wrapText="1"/>
    </xf>
    <xf numFmtId="2" fontId="22" fillId="5" borderId="0" xfId="0" applyNumberFormat="1" applyFont="1" applyFill="1" applyBorder="1" applyAlignment="1" applyProtection="1">
      <alignment vertical="top" wrapText="1"/>
      <protection locked="0"/>
    </xf>
    <xf numFmtId="2" fontId="28" fillId="0" borderId="0" xfId="0" applyNumberFormat="1" applyFont="1" applyFill="1" applyBorder="1" applyAlignment="1" applyProtection="1">
      <alignment vertical="top" wrapText="1"/>
      <protection locked="0"/>
    </xf>
    <xf numFmtId="166" fontId="22" fillId="0" borderId="17" xfId="0" applyNumberFormat="1" applyFont="1" applyFill="1" applyBorder="1" applyAlignment="1" applyProtection="1">
      <alignment vertical="top" wrapText="1"/>
    </xf>
    <xf numFmtId="166" fontId="22" fillId="0" borderId="8" xfId="0" applyNumberFormat="1" applyFont="1" applyFill="1" applyBorder="1" applyAlignment="1" applyProtection="1">
      <alignment vertical="top" wrapText="1"/>
    </xf>
    <xf numFmtId="166" fontId="28" fillId="0" borderId="8" xfId="0" applyNumberFormat="1" applyFont="1" applyFill="1" applyBorder="1" applyAlignment="1" applyProtection="1">
      <alignment vertical="top" wrapText="1"/>
    </xf>
    <xf numFmtId="2" fontId="22" fillId="0" borderId="8" xfId="0" applyNumberFormat="1" applyFont="1" applyFill="1" applyBorder="1" applyAlignment="1" applyProtection="1">
      <alignment vertical="top" wrapText="1"/>
    </xf>
    <xf numFmtId="0" fontId="22" fillId="7" borderId="9" xfId="0" applyFont="1" applyFill="1" applyBorder="1" applyAlignment="1" applyProtection="1">
      <alignment vertical="top"/>
      <protection locked="0"/>
    </xf>
    <xf numFmtId="2" fontId="31" fillId="7" borderId="18" xfId="0" applyNumberFormat="1" applyFont="1" applyFill="1" applyBorder="1" applyAlignment="1" applyProtection="1">
      <alignment vertical="top"/>
    </xf>
    <xf numFmtId="0" fontId="25" fillId="7" borderId="1" xfId="0" applyFont="1" applyFill="1" applyBorder="1" applyAlignment="1" applyProtection="1">
      <alignment vertical="top"/>
      <protection locked="0"/>
    </xf>
    <xf numFmtId="0" fontId="31" fillId="7" borderId="1" xfId="0" applyFont="1" applyFill="1" applyBorder="1" applyAlignment="1" applyProtection="1">
      <alignment horizontal="right" vertical="top"/>
      <protection locked="0"/>
    </xf>
    <xf numFmtId="0" fontId="24" fillId="7" borderId="0" xfId="0" applyFont="1" applyFill="1" applyAlignment="1" applyProtection="1">
      <alignment vertical="top"/>
      <protection locked="0"/>
    </xf>
    <xf numFmtId="0" fontId="24" fillId="7" borderId="7" xfId="0" applyFont="1" applyFill="1" applyBorder="1" applyAlignment="1" applyProtection="1">
      <alignment horizontal="center" vertical="top"/>
      <protection locked="0"/>
    </xf>
    <xf numFmtId="2" fontId="25" fillId="7" borderId="1" xfId="0" applyNumberFormat="1" applyFont="1" applyFill="1" applyBorder="1" applyAlignment="1" applyProtection="1">
      <alignment vertical="top"/>
    </xf>
    <xf numFmtId="2" fontId="35" fillId="7" borderId="0" xfId="0" applyNumberFormat="1" applyFont="1" applyFill="1" applyAlignment="1" applyProtection="1">
      <alignment vertical="top"/>
    </xf>
    <xf numFmtId="2" fontId="22" fillId="10" borderId="1" xfId="0" applyNumberFormat="1" applyFont="1" applyFill="1" applyBorder="1" applyAlignment="1" applyProtection="1">
      <alignment horizontal="center" vertical="top" wrapText="1"/>
      <protection locked="0"/>
    </xf>
    <xf numFmtId="2" fontId="22" fillId="0" borderId="1" xfId="0" applyNumberFormat="1" applyFont="1" applyFill="1" applyBorder="1" applyAlignment="1" applyProtection="1">
      <alignment horizontal="center" vertical="top" wrapText="1"/>
    </xf>
    <xf numFmtId="165" fontId="22" fillId="7" borderId="0" xfId="0" applyNumberFormat="1" applyFont="1" applyFill="1" applyAlignment="1" applyProtection="1">
      <alignment vertical="top"/>
    </xf>
    <xf numFmtId="166" fontId="22" fillId="0" borderId="3" xfId="0" applyNumberFormat="1" applyFont="1" applyBorder="1" applyAlignment="1" applyProtection="1">
      <alignment vertical="top" wrapText="1"/>
    </xf>
    <xf numFmtId="166" fontId="22" fillId="0" borderId="1" xfId="0" applyNumberFormat="1" applyFont="1" applyBorder="1" applyAlignment="1" applyProtection="1">
      <alignment vertical="top" wrapText="1"/>
    </xf>
    <xf numFmtId="166" fontId="28" fillId="0" borderId="1" xfId="0" applyNumberFormat="1" applyFont="1" applyBorder="1" applyAlignment="1" applyProtection="1">
      <alignment vertical="top" wrapText="1"/>
    </xf>
    <xf numFmtId="2" fontId="28" fillId="0" borderId="8" xfId="0" applyNumberFormat="1" applyFont="1" applyFill="1" applyBorder="1" applyAlignment="1" applyProtection="1">
      <alignment vertical="top"/>
    </xf>
    <xf numFmtId="0" fontId="31" fillId="7" borderId="19" xfId="0" applyFont="1" applyFill="1" applyBorder="1" applyAlignment="1" applyProtection="1">
      <alignment vertical="top"/>
      <protection locked="0"/>
    </xf>
    <xf numFmtId="0" fontId="31" fillId="7" borderId="20" xfId="0" applyFont="1" applyFill="1" applyBorder="1" applyAlignment="1" applyProtection="1">
      <alignment vertical="top"/>
      <protection locked="0"/>
    </xf>
    <xf numFmtId="0" fontId="31" fillId="7" borderId="21" xfId="0" applyFont="1" applyFill="1" applyBorder="1" applyAlignment="1" applyProtection="1">
      <alignment vertical="top"/>
      <protection locked="0"/>
    </xf>
    <xf numFmtId="2" fontId="27" fillId="6" borderId="10" xfId="0" applyNumberFormat="1" applyFont="1" applyFill="1" applyBorder="1" applyAlignment="1" applyProtection="1">
      <alignment horizontal="center" vertical="top" wrapText="1"/>
    </xf>
    <xf numFmtId="2" fontId="32" fillId="6" borderId="22" xfId="0" applyNumberFormat="1" applyFont="1" applyFill="1" applyBorder="1" applyAlignment="1" applyProtection="1">
      <alignment horizontal="center" vertical="top" wrapText="1"/>
    </xf>
    <xf numFmtId="2" fontId="22" fillId="0" borderId="17" xfId="0" applyNumberFormat="1" applyFont="1" applyBorder="1" applyAlignment="1" applyProtection="1">
      <alignment vertical="top"/>
      <protection locked="0"/>
    </xf>
    <xf numFmtId="0" fontId="36" fillId="7" borderId="0" xfId="0" applyFont="1" applyFill="1" applyAlignment="1" applyProtection="1">
      <alignment vertical="center" wrapText="1"/>
    </xf>
    <xf numFmtId="0" fontId="36" fillId="7" borderId="23" xfId="0" applyFont="1" applyFill="1" applyBorder="1" applyAlignment="1" applyProtection="1">
      <alignment vertical="center" wrapText="1"/>
    </xf>
    <xf numFmtId="166" fontId="31" fillId="7" borderId="1" xfId="0" applyNumberFormat="1" applyFont="1" applyFill="1" applyBorder="1" applyAlignment="1" applyProtection="1">
      <alignment vertical="top"/>
    </xf>
    <xf numFmtId="0" fontId="25" fillId="7" borderId="1" xfId="0" applyFont="1" applyFill="1" applyBorder="1" applyAlignment="1" applyProtection="1">
      <alignment horizontal="right" vertical="top"/>
      <protection locked="0"/>
    </xf>
    <xf numFmtId="0" fontId="22" fillId="0" borderId="24" xfId="0" applyFont="1" applyBorder="1" applyAlignment="1" applyProtection="1">
      <alignment vertical="center" textRotation="90" wrapText="1"/>
      <protection locked="0"/>
    </xf>
    <xf numFmtId="166" fontId="22" fillId="0" borderId="25" xfId="0" applyNumberFormat="1" applyFont="1" applyFill="1" applyBorder="1" applyAlignment="1" applyProtection="1">
      <alignment vertical="top" wrapText="1"/>
    </xf>
    <xf numFmtId="166" fontId="22" fillId="12" borderId="1" xfId="0" applyNumberFormat="1" applyFont="1" applyFill="1" applyBorder="1" applyAlignment="1" applyProtection="1">
      <alignment vertical="top" wrapText="1"/>
      <protection locked="0"/>
    </xf>
    <xf numFmtId="166" fontId="22" fillId="12" borderId="1" xfId="0" applyNumberFormat="1" applyFont="1" applyFill="1" applyBorder="1" applyAlignment="1" applyProtection="1">
      <alignment vertical="top"/>
      <protection locked="0"/>
    </xf>
    <xf numFmtId="2" fontId="31" fillId="13" borderId="1" xfId="0" applyNumberFormat="1" applyFont="1" applyFill="1" applyBorder="1" applyAlignment="1" applyProtection="1">
      <alignment vertical="top"/>
      <protection locked="0"/>
    </xf>
    <xf numFmtId="0" fontId="31" fillId="7" borderId="27" xfId="0" applyFont="1" applyFill="1" applyBorder="1" applyAlignment="1" applyProtection="1">
      <alignment vertical="top"/>
      <protection locked="0"/>
    </xf>
    <xf numFmtId="0" fontId="25" fillId="8" borderId="28" xfId="0" applyFont="1" applyFill="1" applyBorder="1" applyAlignment="1" applyProtection="1">
      <alignment horizontal="center" vertical="top"/>
      <protection locked="0"/>
    </xf>
    <xf numFmtId="0" fontId="36" fillId="7" borderId="0" xfId="0" applyFont="1" applyFill="1" applyBorder="1" applyAlignment="1" applyProtection="1">
      <alignment horizontal="left" vertical="top"/>
      <protection locked="0"/>
    </xf>
    <xf numFmtId="0" fontId="27" fillId="7" borderId="0" xfId="0" applyFont="1" applyFill="1" applyAlignment="1" applyProtection="1">
      <alignment vertical="center" wrapText="1"/>
    </xf>
    <xf numFmtId="0" fontId="25" fillId="7" borderId="29" xfId="0" applyFont="1" applyFill="1" applyBorder="1" applyAlignment="1" applyProtection="1">
      <alignment horizontal="center" vertical="top"/>
    </xf>
    <xf numFmtId="0" fontId="25" fillId="7" borderId="30" xfId="0" applyFont="1" applyFill="1" applyBorder="1" applyAlignment="1" applyProtection="1">
      <alignment horizontal="center" vertical="top"/>
    </xf>
    <xf numFmtId="0" fontId="25" fillId="7" borderId="4" xfId="0" applyFont="1" applyFill="1" applyBorder="1" applyAlignment="1" applyProtection="1">
      <alignment horizontal="center" vertical="top"/>
    </xf>
    <xf numFmtId="0" fontId="31" fillId="7" borderId="0" xfId="0" applyFont="1" applyFill="1" applyBorder="1" applyAlignment="1" applyProtection="1">
      <alignment horizontal="center" vertical="top"/>
    </xf>
    <xf numFmtId="2" fontId="32" fillId="7" borderId="0" xfId="0" applyNumberFormat="1" applyFont="1" applyFill="1" applyBorder="1" applyAlignment="1" applyProtection="1">
      <alignment horizontal="center" vertical="top" wrapText="1"/>
    </xf>
    <xf numFmtId="166" fontId="22" fillId="7" borderId="33" xfId="0" applyNumberFormat="1" applyFont="1" applyFill="1" applyBorder="1" applyAlignment="1" applyProtection="1">
      <alignment vertical="top" wrapText="1"/>
    </xf>
    <xf numFmtId="166" fontId="28" fillId="7" borderId="33" xfId="0" applyNumberFormat="1" applyFont="1" applyFill="1" applyBorder="1" applyAlignment="1" applyProtection="1">
      <alignment vertical="top" wrapText="1"/>
    </xf>
    <xf numFmtId="2" fontId="22" fillId="7" borderId="33" xfId="0" applyNumberFormat="1" applyFont="1" applyFill="1" applyBorder="1" applyAlignment="1" applyProtection="1">
      <alignment vertical="top" wrapText="1"/>
    </xf>
    <xf numFmtId="0" fontId="22" fillId="7" borderId="33" xfId="0" applyFont="1" applyFill="1" applyBorder="1" applyAlignment="1" applyProtection="1">
      <alignment vertical="top"/>
      <protection locked="0"/>
    </xf>
    <xf numFmtId="2" fontId="31" fillId="7" borderId="33" xfId="0" applyNumberFormat="1" applyFont="1" applyFill="1" applyBorder="1" applyAlignment="1" applyProtection="1">
      <alignment vertical="top"/>
    </xf>
    <xf numFmtId="0" fontId="31" fillId="7" borderId="34" xfId="0" applyFont="1" applyFill="1" applyBorder="1" applyAlignment="1" applyProtection="1">
      <alignment vertical="top"/>
      <protection locked="0"/>
    </xf>
    <xf numFmtId="0" fontId="31" fillId="7" borderId="4" xfId="0" applyFont="1" applyFill="1" applyBorder="1" applyAlignment="1" applyProtection="1">
      <alignment vertical="top"/>
      <protection locked="0"/>
    </xf>
    <xf numFmtId="0" fontId="24" fillId="7" borderId="0" xfId="0" applyFont="1" applyFill="1" applyBorder="1" applyAlignment="1" applyProtection="1">
      <alignment vertical="top"/>
      <protection locked="0"/>
    </xf>
    <xf numFmtId="0" fontId="31" fillId="7" borderId="0" xfId="0" applyFont="1" applyFill="1" applyBorder="1" applyAlignment="1" applyProtection="1">
      <alignment vertical="top"/>
      <protection locked="0"/>
    </xf>
    <xf numFmtId="0" fontId="31" fillId="7" borderId="0" xfId="0" applyFont="1" applyFill="1" applyBorder="1" applyAlignment="1" applyProtection="1">
      <alignment vertical="top" wrapText="1"/>
      <protection locked="0"/>
    </xf>
    <xf numFmtId="0" fontId="37" fillId="7" borderId="0" xfId="0" applyFont="1" applyFill="1" applyBorder="1" applyAlignment="1" applyProtection="1">
      <alignment vertical="top"/>
      <protection locked="0"/>
    </xf>
    <xf numFmtId="0" fontId="31" fillId="7" borderId="26" xfId="0" applyFont="1" applyFill="1" applyBorder="1" applyAlignment="1" applyProtection="1">
      <alignment vertical="top"/>
      <protection locked="0"/>
    </xf>
    <xf numFmtId="0" fontId="25" fillId="7" borderId="4" xfId="0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wrapText="1"/>
    </xf>
    <xf numFmtId="0" fontId="31" fillId="7" borderId="36" xfId="0" applyFont="1" applyFill="1" applyBorder="1" applyAlignment="1" applyProtection="1">
      <alignment horizontal="center" vertical="center" wrapText="1"/>
    </xf>
    <xf numFmtId="2" fontId="31" fillId="7" borderId="22" xfId="0" applyNumberFormat="1" applyFont="1" applyFill="1" applyBorder="1" applyAlignment="1" applyProtection="1">
      <alignment horizontal="center" vertical="center" wrapText="1"/>
    </xf>
    <xf numFmtId="10" fontId="35" fillId="6" borderId="12" xfId="4" applyNumberFormat="1" applyFont="1" applyFill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vertical="center" textRotation="90" wrapText="1"/>
      <protection locked="0"/>
    </xf>
    <xf numFmtId="2" fontId="31" fillId="6" borderId="1" xfId="0" applyNumberFormat="1" applyFont="1" applyFill="1" applyBorder="1" applyAlignment="1" applyProtection="1">
      <alignment horizontal="center" vertical="top"/>
    </xf>
    <xf numFmtId="2" fontId="33" fillId="7" borderId="0" xfId="0" applyNumberFormat="1" applyFont="1" applyFill="1" applyAlignment="1" applyProtection="1">
      <alignment vertical="top"/>
    </xf>
    <xf numFmtId="0" fontId="31" fillId="6" borderId="1" xfId="0" applyFont="1" applyFill="1" applyBorder="1" applyAlignment="1" applyProtection="1">
      <alignment horizontal="center" vertical="top"/>
      <protection locked="0"/>
    </xf>
    <xf numFmtId="165" fontId="38" fillId="0" borderId="10" xfId="0" applyNumberFormat="1" applyFont="1" applyFill="1" applyBorder="1" applyAlignment="1" applyProtection="1">
      <alignment horizontal="center" vertical="top" wrapText="1"/>
    </xf>
    <xf numFmtId="0" fontId="31" fillId="7" borderId="1" xfId="0" applyFont="1" applyFill="1" applyBorder="1" applyAlignment="1" applyProtection="1">
      <alignment horizontal="right" vertical="top"/>
      <protection locked="0"/>
    </xf>
    <xf numFmtId="0" fontId="22" fillId="0" borderId="1" xfId="0" applyFont="1" applyBorder="1" applyAlignment="1" applyProtection="1">
      <alignment horizontal="right" vertical="top" wrapText="1"/>
    </xf>
    <xf numFmtId="2" fontId="22" fillId="0" borderId="39" xfId="0" applyNumberFormat="1" applyFont="1" applyBorder="1" applyAlignment="1" applyProtection="1">
      <alignment vertical="top"/>
      <protection locked="0"/>
    </xf>
    <xf numFmtId="2" fontId="31" fillId="6" borderId="10" xfId="0" applyNumberFormat="1" applyFont="1" applyFill="1" applyBorder="1" applyAlignment="1" applyProtection="1">
      <alignment horizontal="center" vertical="top" wrapText="1"/>
    </xf>
    <xf numFmtId="0" fontId="31" fillId="6" borderId="10" xfId="0" applyFont="1" applyFill="1" applyBorder="1" applyAlignment="1" applyProtection="1">
      <alignment horizontal="center" vertical="top" wrapText="1"/>
    </xf>
    <xf numFmtId="0" fontId="27" fillId="6" borderId="10" xfId="0" applyFont="1" applyFill="1" applyBorder="1" applyAlignment="1" applyProtection="1">
      <alignment horizontal="center" vertical="top" wrapText="1"/>
    </xf>
    <xf numFmtId="9" fontId="27" fillId="6" borderId="10" xfId="0" applyNumberFormat="1" applyFont="1" applyFill="1" applyBorder="1" applyAlignment="1" applyProtection="1">
      <alignment horizontal="center" vertical="top" wrapText="1"/>
    </xf>
    <xf numFmtId="9" fontId="27" fillId="6" borderId="12" xfId="0" applyNumberFormat="1" applyFont="1" applyFill="1" applyBorder="1" applyAlignment="1" applyProtection="1">
      <alignment horizontal="center" vertical="top" wrapText="1"/>
    </xf>
    <xf numFmtId="0" fontId="27" fillId="6" borderId="12" xfId="0" applyFont="1" applyFill="1" applyBorder="1" applyAlignment="1" applyProtection="1">
      <alignment horizontal="center" vertical="top" wrapText="1"/>
    </xf>
    <xf numFmtId="2" fontId="31" fillId="7" borderId="36" xfId="0" applyNumberFormat="1" applyFont="1" applyFill="1" applyBorder="1" applyAlignment="1" applyProtection="1">
      <alignment horizontal="center" vertical="center" wrapText="1"/>
    </xf>
    <xf numFmtId="165" fontId="31" fillId="13" borderId="11" xfId="0" applyNumberFormat="1" applyFont="1" applyFill="1" applyBorder="1" applyAlignment="1" applyProtection="1">
      <alignment horizontal="center" vertical="top" wrapText="1"/>
      <protection locked="0"/>
    </xf>
    <xf numFmtId="0" fontId="31" fillId="7" borderId="21" xfId="3" applyFont="1" applyFill="1" applyBorder="1" applyAlignment="1" applyProtection="1">
      <alignment vertical="top"/>
      <protection locked="0"/>
    </xf>
    <xf numFmtId="0" fontId="25" fillId="7" borderId="0" xfId="3" applyFont="1" applyFill="1" applyAlignment="1" applyProtection="1">
      <alignment vertical="top"/>
      <protection locked="0"/>
    </xf>
    <xf numFmtId="0" fontId="31" fillId="7" borderId="19" xfId="3" applyFont="1" applyFill="1" applyBorder="1" applyAlignment="1" applyProtection="1">
      <alignment vertical="top"/>
      <protection locked="0"/>
    </xf>
    <xf numFmtId="0" fontId="31" fillId="7" borderId="20" xfId="3" applyFont="1" applyFill="1" applyBorder="1" applyAlignment="1" applyProtection="1">
      <alignment vertical="top"/>
      <protection locked="0"/>
    </xf>
    <xf numFmtId="0" fontId="25" fillId="7" borderId="0" xfId="3" applyFont="1" applyFill="1" applyAlignment="1" applyProtection="1">
      <alignment vertical="top" wrapText="1"/>
      <protection locked="0"/>
    </xf>
    <xf numFmtId="0" fontId="23" fillId="0" borderId="0" xfId="3" applyFont="1" applyAlignment="1" applyProtection="1">
      <alignment vertical="top"/>
      <protection locked="0"/>
    </xf>
    <xf numFmtId="10" fontId="35" fillId="6" borderId="12" xfId="5" applyNumberFormat="1" applyFont="1" applyFill="1" applyBorder="1" applyAlignment="1" applyProtection="1">
      <alignment horizontal="center" vertical="center" wrapText="1"/>
    </xf>
    <xf numFmtId="0" fontId="22" fillId="0" borderId="24" xfId="3" applyFont="1" applyBorder="1" applyAlignment="1" applyProtection="1">
      <alignment vertical="center" textRotation="90" wrapText="1"/>
      <protection locked="0"/>
    </xf>
    <xf numFmtId="0" fontId="22" fillId="0" borderId="3" xfId="3" applyFont="1" applyBorder="1" applyAlignment="1" applyProtection="1">
      <alignment horizontal="right" vertical="top" wrapText="1"/>
      <protection locked="0"/>
    </xf>
    <xf numFmtId="0" fontId="22" fillId="0" borderId="3" xfId="3" applyFont="1" applyBorder="1" applyAlignment="1" applyProtection="1">
      <alignment vertical="top" wrapText="1"/>
      <protection locked="0"/>
    </xf>
    <xf numFmtId="0" fontId="22" fillId="7" borderId="0" xfId="3" applyFont="1" applyFill="1" applyAlignment="1" applyProtection="1">
      <alignment vertical="top"/>
      <protection locked="0"/>
    </xf>
    <xf numFmtId="0" fontId="22" fillId="0" borderId="38" xfId="3" applyFont="1" applyBorder="1" applyAlignment="1" applyProtection="1">
      <alignment vertical="center" textRotation="90" wrapText="1"/>
      <protection locked="0"/>
    </xf>
    <xf numFmtId="0" fontId="22" fillId="0" borderId="1" xfId="3" applyFont="1" applyBorder="1" applyAlignment="1" applyProtection="1">
      <alignment horizontal="right" vertical="top" wrapText="1"/>
      <protection locked="0"/>
    </xf>
    <xf numFmtId="0" fontId="22" fillId="0" borderId="1" xfId="3" applyFont="1" applyBorder="1" applyAlignment="1" applyProtection="1">
      <alignment vertical="top" wrapText="1"/>
      <protection locked="0"/>
    </xf>
    <xf numFmtId="0" fontId="22" fillId="7" borderId="0" xfId="3" applyFont="1" applyFill="1" applyAlignment="1" applyProtection="1">
      <alignment horizontal="center" vertical="top"/>
      <protection locked="0"/>
    </xf>
    <xf numFmtId="0" fontId="22" fillId="7" borderId="0" xfId="3" applyFont="1" applyFill="1" applyAlignment="1" applyProtection="1">
      <alignment horizontal="left" vertical="top"/>
      <protection locked="0"/>
    </xf>
    <xf numFmtId="0" fontId="23" fillId="7" borderId="0" xfId="3" applyFont="1" applyFill="1" applyAlignment="1" applyProtection="1">
      <alignment horizontal="left" vertical="top"/>
      <protection locked="0"/>
    </xf>
    <xf numFmtId="0" fontId="23" fillId="0" borderId="0" xfId="3" applyFont="1" applyAlignment="1" applyProtection="1">
      <alignment horizontal="center" vertical="top"/>
      <protection locked="0"/>
    </xf>
    <xf numFmtId="0" fontId="23" fillId="0" borderId="0" xfId="3" applyFont="1" applyAlignment="1" applyProtection="1">
      <alignment horizontal="left" vertical="top"/>
      <protection locked="0"/>
    </xf>
    <xf numFmtId="0" fontId="30" fillId="0" borderId="0" xfId="3" applyFont="1" applyAlignment="1" applyProtection="1">
      <alignment vertical="top"/>
      <protection locked="0"/>
    </xf>
    <xf numFmtId="0" fontId="2" fillId="6" borderId="16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22" fillId="0" borderId="16" xfId="0" applyFont="1" applyBorder="1" applyAlignment="1" applyProtection="1">
      <alignment horizontal="left" vertical="top" wrapText="1"/>
      <protection locked="0"/>
    </xf>
    <xf numFmtId="0" fontId="22" fillId="0" borderId="42" xfId="0" applyFont="1" applyBorder="1" applyAlignment="1" applyProtection="1">
      <alignment horizontal="left" vertical="top" wrapText="1"/>
      <protection locked="0"/>
    </xf>
    <xf numFmtId="2" fontId="22" fillId="0" borderId="9" xfId="0" applyNumberFormat="1" applyFont="1" applyBorder="1" applyAlignment="1" applyProtection="1">
      <alignment vertical="top"/>
      <protection locked="0"/>
    </xf>
    <xf numFmtId="1" fontId="22" fillId="0" borderId="1" xfId="0" applyNumberFormat="1" applyFont="1" applyBorder="1" applyAlignment="1" applyProtection="1">
      <alignment horizontal="center" vertical="top" wrapText="1"/>
      <protection locked="0"/>
    </xf>
    <xf numFmtId="1" fontId="22" fillId="0" borderId="1" xfId="0" applyNumberFormat="1" applyFont="1" applyFill="1" applyBorder="1" applyAlignment="1" applyProtection="1">
      <alignment horizontal="center" vertical="top" wrapText="1"/>
      <protection locked="0"/>
    </xf>
    <xf numFmtId="1" fontId="28" fillId="0" borderId="1" xfId="0" applyNumberFormat="1" applyFont="1" applyFill="1" applyBorder="1" applyAlignment="1" applyProtection="1">
      <alignment horizontal="center" vertical="top" wrapText="1"/>
      <protection locked="0"/>
    </xf>
    <xf numFmtId="1" fontId="33" fillId="0" borderId="1" xfId="0" applyNumberFormat="1" applyFont="1" applyFill="1" applyBorder="1" applyAlignment="1" applyProtection="1">
      <alignment horizontal="left" vertical="top" wrapText="1"/>
      <protection locked="0"/>
    </xf>
    <xf numFmtId="1" fontId="43" fillId="0" borderId="1" xfId="0" applyNumberFormat="1" applyFont="1" applyBorder="1" applyAlignment="1" applyProtection="1">
      <alignment horizontal="center" vertical="top" wrapText="1"/>
      <protection locked="0"/>
    </xf>
    <xf numFmtId="1" fontId="33" fillId="0" borderId="40" xfId="0" applyNumberFormat="1" applyFont="1" applyBorder="1" applyAlignment="1" applyProtection="1">
      <alignment horizontal="left" vertical="top" wrapText="1"/>
      <protection locked="0"/>
    </xf>
    <xf numFmtId="1" fontId="33" fillId="0" borderId="40" xfId="0" applyNumberFormat="1" applyFont="1" applyFill="1" applyBorder="1" applyAlignment="1" applyProtection="1">
      <alignment horizontal="center" vertical="top" wrapText="1"/>
      <protection locked="0"/>
    </xf>
    <xf numFmtId="1" fontId="22" fillId="0" borderId="3" xfId="0" applyNumberFormat="1" applyFont="1" applyBorder="1" applyAlignment="1" applyProtection="1">
      <alignment horizontal="center" vertical="top" wrapText="1"/>
      <protection locked="0"/>
    </xf>
    <xf numFmtId="1" fontId="28" fillId="0" borderId="40" xfId="0" applyNumberFormat="1" applyFont="1" applyFill="1" applyBorder="1" applyAlignment="1" applyProtection="1">
      <alignment horizontal="center" vertical="top" wrapText="1"/>
      <protection locked="0"/>
    </xf>
    <xf numFmtId="1" fontId="22" fillId="0" borderId="40" xfId="0" applyNumberFormat="1" applyFont="1" applyBorder="1" applyAlignment="1" applyProtection="1">
      <alignment horizontal="center" vertical="top" wrapText="1"/>
      <protection locked="0"/>
    </xf>
    <xf numFmtId="166" fontId="31" fillId="7" borderId="0" xfId="0" applyNumberFormat="1" applyFont="1" applyFill="1" applyBorder="1" applyAlignment="1" applyProtection="1">
      <alignment vertical="top"/>
    </xf>
    <xf numFmtId="167" fontId="22" fillId="0" borderId="3" xfId="0" applyNumberFormat="1" applyFont="1" applyBorder="1" applyAlignment="1" applyProtection="1">
      <alignment horizontal="center" vertical="top" wrapText="1"/>
    </xf>
    <xf numFmtId="167" fontId="22" fillId="0" borderId="38" xfId="0" applyNumberFormat="1" applyFont="1" applyBorder="1" applyAlignment="1" applyProtection="1">
      <alignment horizontal="center" vertical="top" wrapText="1"/>
    </xf>
    <xf numFmtId="167" fontId="25" fillId="0" borderId="3" xfId="0" applyNumberFormat="1" applyFont="1" applyBorder="1" applyAlignment="1" applyProtection="1">
      <alignment horizontal="center" vertical="top" wrapText="1"/>
    </xf>
    <xf numFmtId="167" fontId="25" fillId="0" borderId="38" xfId="0" applyNumberFormat="1" applyFont="1" applyBorder="1" applyAlignment="1" applyProtection="1">
      <alignment horizontal="center" vertical="top" wrapText="1"/>
    </xf>
    <xf numFmtId="0" fontId="31" fillId="7" borderId="1" xfId="0" applyFont="1" applyFill="1" applyBorder="1" applyAlignment="1" applyProtection="1">
      <alignment horizontal="right" vertical="top"/>
      <protection locked="0"/>
    </xf>
    <xf numFmtId="0" fontId="22" fillId="0" borderId="16" xfId="0" applyFont="1" applyBorder="1" applyAlignment="1" applyProtection="1">
      <alignment horizontal="left" vertical="top" wrapText="1"/>
      <protection locked="0"/>
    </xf>
    <xf numFmtId="0" fontId="22" fillId="0" borderId="42" xfId="0" applyFont="1" applyBorder="1" applyAlignment="1" applyProtection="1">
      <alignment horizontal="left" vertical="top" wrapText="1"/>
      <protection locked="0"/>
    </xf>
    <xf numFmtId="165" fontId="38" fillId="0" borderId="10" xfId="0" applyNumberFormat="1" applyFont="1" applyFill="1" applyBorder="1" applyAlignment="1" applyProtection="1">
      <alignment horizontal="center" vertical="top" wrapText="1"/>
    </xf>
    <xf numFmtId="2" fontId="27" fillId="6" borderId="10" xfId="0" applyNumberFormat="1" applyFont="1" applyFill="1" applyBorder="1" applyAlignment="1" applyProtection="1">
      <alignment horizontal="center" vertical="top" wrapText="1"/>
    </xf>
    <xf numFmtId="2" fontId="27" fillId="6" borderId="12" xfId="0" applyNumberFormat="1" applyFont="1" applyFill="1" applyBorder="1" applyAlignment="1" applyProtection="1">
      <alignment horizontal="center" vertical="top" wrapText="1"/>
    </xf>
    <xf numFmtId="9" fontId="27" fillId="6" borderId="10" xfId="0" applyNumberFormat="1" applyFont="1" applyFill="1" applyBorder="1" applyAlignment="1" applyProtection="1">
      <alignment horizontal="center" vertical="top" wrapText="1"/>
    </xf>
    <xf numFmtId="9" fontId="27" fillId="6" borderId="12" xfId="0" applyNumberFormat="1" applyFont="1" applyFill="1" applyBorder="1" applyAlignment="1" applyProtection="1">
      <alignment horizontal="center" vertical="top" wrapText="1"/>
    </xf>
    <xf numFmtId="0" fontId="27" fillId="6" borderId="10" xfId="0" applyFont="1" applyFill="1" applyBorder="1" applyAlignment="1" applyProtection="1">
      <alignment horizontal="center" vertical="top" wrapText="1"/>
    </xf>
    <xf numFmtId="0" fontId="27" fillId="6" borderId="12" xfId="0" applyFont="1" applyFill="1" applyBorder="1" applyAlignment="1" applyProtection="1">
      <alignment horizontal="center" vertical="top" wrapText="1"/>
    </xf>
    <xf numFmtId="0" fontId="31" fillId="6" borderId="10" xfId="0" applyFont="1" applyFill="1" applyBorder="1" applyAlignment="1" applyProtection="1">
      <alignment horizontal="center" vertical="top" wrapText="1"/>
    </xf>
    <xf numFmtId="2" fontId="31" fillId="6" borderId="10" xfId="0" applyNumberFormat="1" applyFont="1" applyFill="1" applyBorder="1" applyAlignment="1" applyProtection="1">
      <alignment horizontal="center" vertical="top" wrapText="1"/>
    </xf>
    <xf numFmtId="2" fontId="27" fillId="6" borderId="22" xfId="0" applyNumberFormat="1" applyFont="1" applyFill="1" applyBorder="1" applyAlignment="1" applyProtection="1">
      <alignment horizontal="center" vertical="top" wrapText="1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3" xfId="0" applyFont="1" applyBorder="1" applyAlignment="1" applyProtection="1">
      <alignment horizontal="left" vertical="top" wrapText="1"/>
      <protection locked="0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0" fontId="28" fillId="0" borderId="1" xfId="0" applyFont="1" applyFill="1" applyBorder="1" applyAlignment="1" applyProtection="1">
      <alignment horizontal="left" vertical="top" wrapText="1"/>
      <protection locked="0"/>
    </xf>
    <xf numFmtId="0" fontId="22" fillId="0" borderId="1" xfId="0" applyFont="1" applyFill="1" applyBorder="1" applyAlignment="1" applyProtection="1">
      <alignment horizontal="left" vertical="top"/>
      <protection locked="0"/>
    </xf>
    <xf numFmtId="0" fontId="22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28" fillId="7" borderId="30" xfId="0" applyFont="1" applyFill="1" applyBorder="1" applyAlignment="1" applyProtection="1">
      <alignment vertical="top" wrapText="1"/>
      <protection locked="0"/>
    </xf>
    <xf numFmtId="167" fontId="25" fillId="0" borderId="1" xfId="0" applyNumberFormat="1" applyFont="1" applyBorder="1" applyAlignment="1" applyProtection="1">
      <alignment horizontal="center" vertical="top" wrapText="1"/>
    </xf>
    <xf numFmtId="1" fontId="33" fillId="0" borderId="1" xfId="0" applyNumberFormat="1" applyFont="1" applyFill="1" applyBorder="1" applyAlignment="1" applyProtection="1">
      <alignment vertical="top" wrapText="1"/>
      <protection locked="0"/>
    </xf>
    <xf numFmtId="167" fontId="22" fillId="0" borderId="1" xfId="0" applyNumberFormat="1" applyFont="1" applyBorder="1" applyAlignment="1" applyProtection="1">
      <alignment horizontal="center" vertical="top" wrapText="1"/>
    </xf>
    <xf numFmtId="0" fontId="50" fillId="15" borderId="1" xfId="0" applyFont="1" applyFill="1" applyBorder="1" applyAlignment="1" applyProtection="1">
      <alignment horizontal="center" vertical="top"/>
      <protection locked="0"/>
    </xf>
    <xf numFmtId="166" fontId="22" fillId="0" borderId="39" xfId="0" applyNumberFormat="1" applyFont="1" applyFill="1" applyBorder="1" applyAlignment="1" applyProtection="1">
      <alignment vertical="top" wrapText="1"/>
    </xf>
    <xf numFmtId="0" fontId="24" fillId="6" borderId="34" xfId="0" applyFont="1" applyFill="1" applyBorder="1" applyAlignment="1" applyProtection="1">
      <alignment vertical="top"/>
      <protection locked="0"/>
    </xf>
    <xf numFmtId="0" fontId="24" fillId="6" borderId="30" xfId="0" applyFont="1" applyFill="1" applyBorder="1" applyAlignment="1" applyProtection="1">
      <alignment vertical="top"/>
      <protection locked="0"/>
    </xf>
    <xf numFmtId="0" fontId="22" fillId="10" borderId="60" xfId="0" applyFont="1" applyFill="1" applyBorder="1" applyAlignment="1" applyProtection="1">
      <alignment vertical="top"/>
    </xf>
    <xf numFmtId="2" fontId="22" fillId="10" borderId="1" xfId="0" applyNumberFormat="1" applyFont="1" applyFill="1" applyBorder="1" applyAlignment="1" applyProtection="1">
      <alignment horizontal="center" vertical="top" wrapText="1"/>
    </xf>
    <xf numFmtId="0" fontId="53" fillId="0" borderId="0" xfId="0" applyFont="1"/>
    <xf numFmtId="0" fontId="54" fillId="0" borderId="0" xfId="0" applyFont="1"/>
    <xf numFmtId="0" fontId="31" fillId="0" borderId="60" xfId="0" applyFont="1" applyFill="1" applyBorder="1" applyAlignment="1" applyProtection="1">
      <alignment vertical="top"/>
    </xf>
    <xf numFmtId="0" fontId="25" fillId="7" borderId="6" xfId="0" applyFont="1" applyFill="1" applyBorder="1" applyAlignment="1" applyProtection="1">
      <alignment horizontal="center" vertical="top"/>
    </xf>
    <xf numFmtId="0" fontId="31" fillId="7" borderId="35" xfId="0" applyFont="1" applyFill="1" applyBorder="1" applyAlignment="1" applyProtection="1">
      <alignment vertical="top"/>
      <protection locked="0"/>
    </xf>
    <xf numFmtId="0" fontId="31" fillId="7" borderId="1" xfId="0" applyFont="1" applyFill="1" applyBorder="1" applyAlignment="1" applyProtection="1">
      <alignment vertical="top"/>
      <protection locked="0"/>
    </xf>
    <xf numFmtId="0" fontId="31" fillId="7" borderId="2" xfId="0" applyFont="1" applyFill="1" applyBorder="1" applyAlignment="1" applyProtection="1">
      <alignment vertical="top"/>
      <protection locked="0"/>
    </xf>
    <xf numFmtId="0" fontId="31" fillId="7" borderId="50" xfId="0" applyFont="1" applyFill="1" applyBorder="1" applyAlignment="1" applyProtection="1">
      <alignment vertical="top"/>
      <protection locked="0"/>
    </xf>
    <xf numFmtId="0" fontId="22" fillId="10" borderId="51" xfId="0" applyFont="1" applyFill="1" applyBorder="1" applyAlignment="1" applyProtection="1">
      <alignment vertical="top"/>
    </xf>
    <xf numFmtId="0" fontId="7" fillId="0" borderId="0" xfId="0" applyFont="1"/>
    <xf numFmtId="0" fontId="54" fillId="0" borderId="85" xfId="0" applyFont="1" applyBorder="1"/>
    <xf numFmtId="0" fontId="53" fillId="0" borderId="67" xfId="0" applyFont="1" applyBorder="1" applyAlignment="1">
      <alignment wrapText="1"/>
    </xf>
    <xf numFmtId="0" fontId="53" fillId="0" borderId="48" xfId="0" applyFont="1" applyBorder="1" applyAlignment="1">
      <alignment wrapText="1"/>
    </xf>
    <xf numFmtId="0" fontId="7" fillId="0" borderId="85" xfId="0" applyFont="1" applyFill="1" applyBorder="1" applyAlignment="1">
      <alignment wrapText="1"/>
    </xf>
    <xf numFmtId="0" fontId="54" fillId="10" borderId="60" xfId="0" applyFont="1" applyFill="1" applyBorder="1"/>
    <xf numFmtId="0" fontId="53" fillId="10" borderId="5" xfId="0" applyFont="1" applyFill="1" applyBorder="1"/>
    <xf numFmtId="0" fontId="53" fillId="10" borderId="51" xfId="0" applyFont="1" applyFill="1" applyBorder="1"/>
    <xf numFmtId="44" fontId="7" fillId="18" borderId="60" xfId="1" applyNumberFormat="1" applyFont="1" applyFill="1" applyBorder="1"/>
    <xf numFmtId="0" fontId="56" fillId="0" borderId="0" xfId="0" applyFont="1"/>
    <xf numFmtId="0" fontId="5" fillId="0" borderId="58" xfId="0" applyFont="1" applyBorder="1"/>
    <xf numFmtId="0" fontId="51" fillId="17" borderId="44" xfId="0" applyFont="1" applyFill="1" applyBorder="1" applyAlignment="1">
      <alignment horizontal="left" wrapText="1"/>
    </xf>
    <xf numFmtId="0" fontId="51" fillId="17" borderId="48" xfId="0" applyFont="1" applyFill="1" applyBorder="1" applyAlignment="1">
      <alignment horizontal="left" wrapText="1"/>
    </xf>
    <xf numFmtId="0" fontId="5" fillId="0" borderId="67" xfId="0" applyFont="1" applyBorder="1"/>
    <xf numFmtId="8" fontId="51" fillId="0" borderId="6" xfId="0" applyNumberFormat="1" applyFont="1" applyFill="1" applyBorder="1" applyAlignment="1">
      <alignment horizontal="left" wrapText="1"/>
    </xf>
    <xf numFmtId="8" fontId="52" fillId="0" borderId="6" xfId="0" applyNumberFormat="1" applyFont="1" applyFill="1" applyBorder="1" applyAlignment="1">
      <alignment horizontal="left" wrapText="1"/>
    </xf>
    <xf numFmtId="8" fontId="51" fillId="0" borderId="51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44" fontId="7" fillId="0" borderId="0" xfId="1" applyNumberFormat="1" applyFont="1" applyFill="1" applyBorder="1"/>
    <xf numFmtId="2" fontId="31" fillId="0" borderId="0" xfId="0" applyNumberFormat="1" applyFont="1" applyFill="1" applyBorder="1" applyAlignment="1" applyProtection="1">
      <alignment vertical="top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2" fontId="22" fillId="0" borderId="1" xfId="0" applyNumberFormat="1" applyFont="1" applyFill="1" applyBorder="1" applyAlignment="1" applyProtection="1">
      <alignment horizontal="center" vertical="top" wrapText="1"/>
      <protection locked="0"/>
    </xf>
    <xf numFmtId="2" fontId="22" fillId="0" borderId="40" xfId="0" applyNumberFormat="1" applyFont="1" applyFill="1" applyBorder="1" applyAlignment="1" applyProtection="1">
      <alignment horizontal="center" vertical="top" wrapText="1"/>
    </xf>
    <xf numFmtId="0" fontId="22" fillId="0" borderId="40" xfId="0" applyFont="1" applyBorder="1" applyAlignment="1" applyProtection="1">
      <alignment horizontal="left" vertical="top"/>
      <protection locked="0"/>
    </xf>
    <xf numFmtId="166" fontId="22" fillId="0" borderId="40" xfId="0" applyNumberFormat="1" applyFont="1" applyFill="1" applyBorder="1" applyAlignment="1" applyProtection="1">
      <alignment vertical="top" wrapText="1"/>
    </xf>
    <xf numFmtId="166" fontId="22" fillId="0" borderId="86" xfId="0" applyNumberFormat="1" applyFont="1" applyFill="1" applyBorder="1" applyAlignment="1" applyProtection="1">
      <alignment vertical="top" wrapText="1"/>
    </xf>
    <xf numFmtId="166" fontId="22" fillId="0" borderId="40" xfId="0" applyNumberFormat="1" applyFont="1" applyBorder="1" applyAlignment="1" applyProtection="1">
      <alignment vertical="top" wrapText="1"/>
    </xf>
    <xf numFmtId="167" fontId="25" fillId="0" borderId="40" xfId="0" applyNumberFormat="1" applyFont="1" applyBorder="1" applyAlignment="1" applyProtection="1">
      <alignment horizontal="center" vertical="top" wrapText="1"/>
    </xf>
    <xf numFmtId="1" fontId="22" fillId="0" borderId="40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6" xfId="0" applyFont="1" applyBorder="1" applyAlignment="1" applyProtection="1">
      <alignment horizontal="left" vertical="top" wrapText="1"/>
      <protection locked="0"/>
    </xf>
    <xf numFmtId="0" fontId="22" fillId="0" borderId="42" xfId="0" applyFont="1" applyBorder="1" applyAlignment="1" applyProtection="1">
      <alignment horizontal="left" vertical="top" wrapText="1"/>
      <protection locked="0"/>
    </xf>
    <xf numFmtId="0" fontId="31" fillId="7" borderId="1" xfId="0" applyFont="1" applyFill="1" applyBorder="1" applyAlignment="1" applyProtection="1">
      <alignment horizontal="right" vertical="top"/>
      <protection locked="0"/>
    </xf>
    <xf numFmtId="165" fontId="38" fillId="0" borderId="10" xfId="0" applyNumberFormat="1" applyFont="1" applyFill="1" applyBorder="1" applyAlignment="1" applyProtection="1">
      <alignment horizontal="center" vertical="top" wrapText="1"/>
    </xf>
    <xf numFmtId="9" fontId="27" fillId="6" borderId="10" xfId="0" applyNumberFormat="1" applyFont="1" applyFill="1" applyBorder="1" applyAlignment="1" applyProtection="1">
      <alignment horizontal="center" vertical="top" wrapText="1"/>
    </xf>
    <xf numFmtId="9" fontId="27" fillId="6" borderId="12" xfId="0" applyNumberFormat="1" applyFont="1" applyFill="1" applyBorder="1" applyAlignment="1" applyProtection="1">
      <alignment horizontal="center" vertical="top" wrapText="1"/>
    </xf>
    <xf numFmtId="0" fontId="27" fillId="6" borderId="10" xfId="0" applyFont="1" applyFill="1" applyBorder="1" applyAlignment="1" applyProtection="1">
      <alignment horizontal="center" vertical="top" wrapText="1"/>
    </xf>
    <xf numFmtId="0" fontId="27" fillId="6" borderId="12" xfId="0" applyFont="1" applyFill="1" applyBorder="1" applyAlignment="1" applyProtection="1">
      <alignment horizontal="center" vertical="top" wrapText="1"/>
    </xf>
    <xf numFmtId="2" fontId="27" fillId="6" borderId="22" xfId="0" applyNumberFormat="1" applyFont="1" applyFill="1" applyBorder="1" applyAlignment="1" applyProtection="1">
      <alignment horizontal="center" vertical="top" wrapText="1"/>
    </xf>
    <xf numFmtId="0" fontId="31" fillId="6" borderId="10" xfId="0" applyFont="1" applyFill="1" applyBorder="1" applyAlignment="1" applyProtection="1">
      <alignment horizontal="center" vertical="top" wrapText="1"/>
    </xf>
    <xf numFmtId="2" fontId="31" fillId="6" borderId="10" xfId="0" applyNumberFormat="1" applyFont="1" applyFill="1" applyBorder="1" applyAlignment="1" applyProtection="1">
      <alignment horizontal="center" vertical="top" wrapText="1"/>
    </xf>
    <xf numFmtId="0" fontId="22" fillId="0" borderId="1" xfId="3" applyFont="1" applyBorder="1" applyAlignment="1" applyProtection="1">
      <alignment horizontal="left" vertical="top" wrapText="1"/>
      <protection locked="0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2" fontId="31" fillId="13" borderId="0" xfId="0" applyNumberFormat="1" applyFont="1" applyFill="1" applyBorder="1" applyAlignment="1" applyProtection="1">
      <alignment vertical="top"/>
      <protection locked="0"/>
    </xf>
    <xf numFmtId="0" fontId="5" fillId="0" borderId="0" xfId="3"/>
    <xf numFmtId="0" fontId="24" fillId="7" borderId="7" xfId="3" applyFont="1" applyFill="1" applyBorder="1" applyAlignment="1" applyProtection="1">
      <alignment horizontal="right" vertical="top"/>
      <protection locked="0"/>
    </xf>
    <xf numFmtId="0" fontId="24" fillId="7" borderId="0" xfId="3" applyFont="1" applyFill="1" applyAlignment="1" applyProtection="1">
      <alignment horizontal="right" vertical="top"/>
      <protection locked="0"/>
    </xf>
    <xf numFmtId="0" fontId="24" fillId="7" borderId="0" xfId="3" applyFont="1" applyFill="1" applyAlignment="1" applyProtection="1">
      <alignment horizontal="left" vertical="top"/>
      <protection locked="0"/>
    </xf>
    <xf numFmtId="0" fontId="24" fillId="7" borderId="58" xfId="3" applyFont="1" applyFill="1" applyBorder="1" applyAlignment="1" applyProtection="1">
      <alignment horizontal="left" vertical="top"/>
      <protection locked="0"/>
    </xf>
    <xf numFmtId="0" fontId="25" fillId="8" borderId="5" xfId="3" applyFont="1" applyFill="1" applyBorder="1" applyAlignment="1" applyProtection="1">
      <alignment horizontal="center" vertical="top"/>
      <protection locked="0"/>
    </xf>
    <xf numFmtId="0" fontId="25" fillId="9" borderId="6" xfId="3" applyFont="1" applyFill="1" applyBorder="1" applyAlignment="1" applyProtection="1">
      <alignment horizontal="center" vertical="top"/>
      <protection locked="0"/>
    </xf>
    <xf numFmtId="0" fontId="25" fillId="7" borderId="6" xfId="3" applyFont="1" applyFill="1" applyBorder="1" applyAlignment="1">
      <alignment horizontal="center" vertical="top"/>
    </xf>
    <xf numFmtId="0" fontId="31" fillId="7" borderId="26" xfId="3" applyFont="1" applyFill="1" applyBorder="1" applyAlignment="1" applyProtection="1">
      <alignment vertical="top"/>
      <protection locked="0"/>
    </xf>
    <xf numFmtId="0" fontId="31" fillId="7" borderId="29" xfId="3" applyFont="1" applyFill="1" applyBorder="1" applyAlignment="1" applyProtection="1">
      <alignment vertical="top"/>
      <protection locked="0"/>
    </xf>
    <xf numFmtId="0" fontId="25" fillId="8" borderId="6" xfId="3" applyFont="1" applyFill="1" applyBorder="1" applyAlignment="1" applyProtection="1">
      <alignment horizontal="center" vertical="top"/>
      <protection locked="0"/>
    </xf>
    <xf numFmtId="0" fontId="31" fillId="7" borderId="19" xfId="3" applyFont="1" applyFill="1" applyBorder="1" applyAlignment="1" applyProtection="1">
      <alignment horizontal="center" vertical="center"/>
      <protection locked="0"/>
    </xf>
    <xf numFmtId="0" fontId="25" fillId="7" borderId="29" xfId="3" applyFont="1" applyFill="1" applyBorder="1" applyAlignment="1">
      <alignment horizontal="center" vertical="center"/>
    </xf>
    <xf numFmtId="44" fontId="22" fillId="10" borderId="51" xfId="3" applyNumberFormat="1" applyFont="1" applyFill="1" applyBorder="1" applyAlignment="1">
      <alignment vertical="top"/>
    </xf>
    <xf numFmtId="0" fontId="27" fillId="7" borderId="7" xfId="3" applyFont="1" applyFill="1" applyBorder="1" applyAlignment="1">
      <alignment vertical="center" wrapText="1"/>
    </xf>
    <xf numFmtId="0" fontId="27" fillId="7" borderId="0" xfId="3" applyFont="1" applyFill="1" applyAlignment="1">
      <alignment vertical="center" wrapText="1"/>
    </xf>
    <xf numFmtId="0" fontId="36" fillId="7" borderId="0" xfId="3" applyFont="1" applyFill="1" applyAlignment="1">
      <alignment vertical="center" wrapText="1"/>
    </xf>
    <xf numFmtId="0" fontId="25" fillId="7" borderId="0" xfId="3" applyFont="1" applyFill="1" applyAlignment="1" applyProtection="1">
      <alignment horizontal="left" vertical="top" wrapText="1"/>
      <protection locked="0"/>
    </xf>
    <xf numFmtId="6" fontId="25" fillId="7" borderId="0" xfId="3" applyNumberFormat="1" applyFont="1" applyFill="1" applyAlignment="1" applyProtection="1">
      <alignment horizontal="right" vertical="top" wrapText="1"/>
      <protection locked="0"/>
    </xf>
    <xf numFmtId="0" fontId="25" fillId="7" borderId="0" xfId="3" applyFont="1" applyFill="1" applyAlignment="1" applyProtection="1">
      <alignment horizontal="right" vertical="top" wrapText="1"/>
      <protection locked="0"/>
    </xf>
    <xf numFmtId="0" fontId="25" fillId="7" borderId="13" xfId="3" applyFont="1" applyFill="1" applyBorder="1" applyAlignment="1" applyProtection="1">
      <alignment horizontal="center" vertical="top"/>
      <protection locked="0"/>
    </xf>
    <xf numFmtId="0" fontId="36" fillId="7" borderId="31" xfId="3" applyFont="1" applyFill="1" applyBorder="1" applyAlignment="1">
      <alignment vertical="center" wrapText="1"/>
    </xf>
    <xf numFmtId="0" fontId="31" fillId="7" borderId="0" xfId="3" applyFont="1" applyFill="1" applyAlignment="1">
      <alignment horizontal="left" vertical="top" wrapText="1"/>
    </xf>
    <xf numFmtId="0" fontId="31" fillId="7" borderId="0" xfId="3" applyFont="1" applyFill="1" applyAlignment="1">
      <alignment vertical="top"/>
    </xf>
    <xf numFmtId="0" fontId="31" fillId="0" borderId="0" xfId="3" applyFont="1" applyAlignment="1">
      <alignment vertical="top"/>
    </xf>
    <xf numFmtId="0" fontId="31" fillId="5" borderId="0" xfId="3" applyFont="1" applyFill="1" applyAlignment="1">
      <alignment horizontal="center" vertical="top" wrapText="1"/>
    </xf>
    <xf numFmtId="9" fontId="27" fillId="6" borderId="35" xfId="3" applyNumberFormat="1" applyFont="1" applyFill="1" applyBorder="1" applyAlignment="1">
      <alignment horizontal="center" vertical="center" wrapText="1"/>
    </xf>
    <xf numFmtId="9" fontId="27" fillId="6" borderId="40" xfId="3" applyNumberFormat="1" applyFont="1" applyFill="1" applyBorder="1" applyAlignment="1">
      <alignment horizontal="center" vertical="center" wrapText="1"/>
    </xf>
    <xf numFmtId="0" fontId="27" fillId="6" borderId="40" xfId="3" applyFont="1" applyFill="1" applyBorder="1" applyAlignment="1">
      <alignment horizontal="center" vertical="center" wrapText="1"/>
    </xf>
    <xf numFmtId="0" fontId="27" fillId="6" borderId="50" xfId="3" applyFont="1" applyFill="1" applyBorder="1" applyAlignment="1">
      <alignment horizontal="center" vertical="center" wrapText="1"/>
    </xf>
    <xf numFmtId="0" fontId="31" fillId="6" borderId="29" xfId="3" applyFont="1" applyFill="1" applyBorder="1" applyAlignment="1">
      <alignment horizontal="center" vertical="center" wrapText="1"/>
    </xf>
    <xf numFmtId="2" fontId="27" fillId="6" borderId="53" xfId="3" applyNumberFormat="1" applyFont="1" applyFill="1" applyBorder="1" applyAlignment="1">
      <alignment horizontal="center" vertical="center" wrapText="1"/>
    </xf>
    <xf numFmtId="9" fontId="27" fillId="6" borderId="31" xfId="3" applyNumberFormat="1" applyFont="1" applyFill="1" applyBorder="1" applyAlignment="1">
      <alignment horizontal="center" vertical="center" wrapText="1"/>
    </xf>
    <xf numFmtId="9" fontId="27" fillId="6" borderId="88" xfId="3" applyNumberFormat="1" applyFont="1" applyFill="1" applyBorder="1" applyAlignment="1">
      <alignment horizontal="center" vertical="center" wrapText="1"/>
    </xf>
    <xf numFmtId="0" fontId="27" fillId="6" borderId="88" xfId="3" applyFont="1" applyFill="1" applyBorder="1" applyAlignment="1">
      <alignment horizontal="center" vertical="center" wrapText="1"/>
    </xf>
    <xf numFmtId="0" fontId="31" fillId="7" borderId="89" xfId="3" applyFont="1" applyFill="1" applyBorder="1" applyAlignment="1">
      <alignment horizontal="center" vertical="center" wrapText="1"/>
    </xf>
    <xf numFmtId="10" fontId="35" fillId="6" borderId="90" xfId="5" applyNumberFormat="1" applyFont="1" applyFill="1" applyBorder="1" applyAlignment="1" applyProtection="1">
      <alignment horizontal="center" vertical="center" wrapText="1"/>
    </xf>
    <xf numFmtId="0" fontId="22" fillId="0" borderId="45" xfId="3" applyFont="1" applyBorder="1" applyAlignment="1" applyProtection="1">
      <alignment horizontal="center" vertical="top" wrapText="1"/>
      <protection locked="0"/>
    </xf>
    <xf numFmtId="166" fontId="22" fillId="0" borderId="3" xfId="3" applyNumberFormat="1" applyFont="1" applyBorder="1" applyAlignment="1" applyProtection="1">
      <alignment vertical="top" wrapText="1"/>
      <protection locked="0"/>
    </xf>
    <xf numFmtId="166" fontId="22" fillId="0" borderId="15" xfId="3" applyNumberFormat="1" applyFont="1" applyBorder="1" applyAlignment="1">
      <alignment vertical="top" wrapText="1"/>
    </xf>
    <xf numFmtId="166" fontId="22" fillId="0" borderId="91" xfId="3" applyNumberFormat="1" applyFont="1" applyBorder="1" applyAlignment="1">
      <alignment vertical="top" wrapText="1"/>
    </xf>
    <xf numFmtId="166" fontId="22" fillId="0" borderId="45" xfId="3" applyNumberFormat="1" applyFont="1" applyBorder="1" applyAlignment="1">
      <alignment vertical="top" wrapText="1"/>
    </xf>
    <xf numFmtId="166" fontId="22" fillId="0" borderId="3" xfId="3" applyNumberFormat="1" applyFont="1" applyBorder="1" applyAlignment="1">
      <alignment vertical="top" wrapText="1"/>
    </xf>
    <xf numFmtId="166" fontId="22" fillId="0" borderId="92" xfId="3" applyNumberFormat="1" applyFont="1" applyBorder="1" applyAlignment="1">
      <alignment vertical="top" wrapText="1"/>
    </xf>
    <xf numFmtId="0" fontId="22" fillId="0" borderId="93" xfId="3" applyFont="1" applyBorder="1" applyAlignment="1" applyProtection="1">
      <alignment horizontal="center" vertical="top" wrapText="1"/>
      <protection locked="0"/>
    </xf>
    <xf numFmtId="0" fontId="22" fillId="0" borderId="40" xfId="3" applyFont="1" applyBorder="1" applyAlignment="1" applyProtection="1">
      <alignment horizontal="right" vertical="top" wrapText="1"/>
      <protection locked="0"/>
    </xf>
    <xf numFmtId="0" fontId="22" fillId="0" borderId="40" xfId="3" applyFont="1" applyBorder="1" applyAlignment="1" applyProtection="1">
      <alignment vertical="top" wrapText="1"/>
      <protection locked="0"/>
    </xf>
    <xf numFmtId="166" fontId="22" fillId="0" borderId="40" xfId="3" applyNumberFormat="1" applyFont="1" applyBorder="1" applyAlignment="1" applyProtection="1">
      <alignment vertical="top" wrapText="1"/>
      <protection locked="0"/>
    </xf>
    <xf numFmtId="166" fontId="22" fillId="0" borderId="59" xfId="3" applyNumberFormat="1" applyFont="1" applyBorder="1" applyAlignment="1">
      <alignment vertical="top" wrapText="1"/>
    </xf>
    <xf numFmtId="166" fontId="22" fillId="0" borderId="29" xfId="3" applyNumberFormat="1" applyFont="1" applyBorder="1" applyAlignment="1">
      <alignment vertical="top" wrapText="1"/>
    </xf>
    <xf numFmtId="166" fontId="22" fillId="0" borderId="93" xfId="3" applyNumberFormat="1" applyFont="1" applyBorder="1" applyAlignment="1">
      <alignment vertical="top" wrapText="1"/>
    </xf>
    <xf numFmtId="166" fontId="22" fillId="0" borderId="38" xfId="3" applyNumberFormat="1" applyFont="1" applyBorder="1" applyAlignment="1">
      <alignment vertical="top" wrapText="1"/>
    </xf>
    <xf numFmtId="0" fontId="22" fillId="0" borderId="44" xfId="3" applyFont="1" applyBorder="1" applyAlignment="1" applyProtection="1">
      <alignment horizontal="center" vertical="top" wrapText="1"/>
      <protection locked="0"/>
    </xf>
    <xf numFmtId="0" fontId="22" fillId="0" borderId="1" xfId="3" applyFont="1" applyBorder="1" applyAlignment="1" applyProtection="1">
      <alignment vertical="center" textRotation="90" wrapText="1"/>
      <protection locked="0"/>
    </xf>
    <xf numFmtId="0" fontId="22" fillId="0" borderId="1" xfId="3" applyFont="1" applyBorder="1" applyAlignment="1">
      <alignment horizontal="right" vertical="top" wrapText="1"/>
    </xf>
    <xf numFmtId="166" fontId="22" fillId="0" borderId="1" xfId="3" applyNumberFormat="1" applyFont="1" applyBorder="1" applyAlignment="1" applyProtection="1">
      <alignment vertical="top" wrapText="1"/>
      <protection locked="0"/>
    </xf>
    <xf numFmtId="166" fontId="22" fillId="0" borderId="16" xfId="3" applyNumberFormat="1" applyFont="1" applyBorder="1" applyAlignment="1">
      <alignment vertical="top" wrapText="1"/>
    </xf>
    <xf numFmtId="166" fontId="22" fillId="0" borderId="6" xfId="3" applyNumberFormat="1" applyFont="1" applyBorder="1" applyAlignment="1">
      <alignment vertical="top" wrapText="1"/>
    </xf>
    <xf numFmtId="166" fontId="22" fillId="0" borderId="44" xfId="3" applyNumberFormat="1" applyFont="1" applyBorder="1" applyAlignment="1">
      <alignment vertical="top" wrapText="1"/>
    </xf>
    <xf numFmtId="166" fontId="22" fillId="0" borderId="1" xfId="3" applyNumberFormat="1" applyFont="1" applyBorder="1" applyAlignment="1">
      <alignment vertical="top" wrapText="1"/>
    </xf>
    <xf numFmtId="0" fontId="22" fillId="0" borderId="1" xfId="3" applyFont="1" applyBorder="1" applyAlignment="1" applyProtection="1">
      <alignment horizontal="center" vertical="top" wrapText="1"/>
      <protection locked="0"/>
    </xf>
    <xf numFmtId="0" fontId="10" fillId="0" borderId="1" xfId="3" applyFont="1" applyBorder="1" applyAlignment="1" applyProtection="1">
      <alignment vertical="center" wrapText="1"/>
      <protection locked="0"/>
    </xf>
    <xf numFmtId="2" fontId="22" fillId="5" borderId="0" xfId="3" applyNumberFormat="1" applyFont="1" applyFill="1" applyAlignment="1" applyProtection="1">
      <alignment vertical="top" wrapText="1"/>
      <protection locked="0"/>
    </xf>
    <xf numFmtId="2" fontId="22" fillId="10" borderId="1" xfId="3" applyNumberFormat="1" applyFont="1" applyFill="1" applyBorder="1" applyAlignment="1">
      <alignment horizontal="center" vertical="top" wrapText="1"/>
    </xf>
    <xf numFmtId="0" fontId="22" fillId="11" borderId="1" xfId="3" applyFont="1" applyFill="1" applyBorder="1" applyAlignment="1" applyProtection="1">
      <alignment vertical="top" wrapText="1"/>
      <protection locked="0"/>
    </xf>
    <xf numFmtId="166" fontId="22" fillId="12" borderId="1" xfId="3" applyNumberFormat="1" applyFont="1" applyFill="1" applyBorder="1" applyAlignment="1" applyProtection="1">
      <alignment vertical="top" wrapText="1"/>
      <protection locked="0"/>
    </xf>
    <xf numFmtId="0" fontId="28" fillId="0" borderId="1" xfId="3" applyFont="1" applyBorder="1" applyAlignment="1" applyProtection="1">
      <alignment horizontal="center" vertical="top" wrapText="1"/>
      <protection locked="0"/>
    </xf>
    <xf numFmtId="0" fontId="28" fillId="0" borderId="1" xfId="3" applyFont="1" applyBorder="1" applyAlignment="1" applyProtection="1">
      <alignment horizontal="left" vertical="top" wrapText="1"/>
      <protection locked="0"/>
    </xf>
    <xf numFmtId="0" fontId="28" fillId="0" borderId="1" xfId="3" applyFont="1" applyBorder="1" applyAlignment="1" applyProtection="1">
      <alignment vertical="top" wrapText="1"/>
      <protection locked="0"/>
    </xf>
    <xf numFmtId="166" fontId="28" fillId="0" borderId="1" xfId="3" applyNumberFormat="1" applyFont="1" applyBorder="1" applyAlignment="1">
      <alignment vertical="top" wrapText="1"/>
    </xf>
    <xf numFmtId="166" fontId="28" fillId="0" borderId="6" xfId="3" applyNumberFormat="1" applyFont="1" applyBorder="1" applyAlignment="1">
      <alignment vertical="top" wrapText="1"/>
    </xf>
    <xf numFmtId="2" fontId="28" fillId="0" borderId="0" xfId="3" applyNumberFormat="1" applyFont="1" applyAlignment="1" applyProtection="1">
      <alignment vertical="top" wrapText="1"/>
      <protection locked="0"/>
    </xf>
    <xf numFmtId="166" fontId="28" fillId="0" borderId="44" xfId="3" applyNumberFormat="1" applyFont="1" applyBorder="1" applyAlignment="1">
      <alignment vertical="top" wrapText="1"/>
    </xf>
    <xf numFmtId="166" fontId="22" fillId="19" borderId="44" xfId="3" applyNumberFormat="1" applyFont="1" applyFill="1" applyBorder="1" applyAlignment="1">
      <alignment vertical="top" wrapText="1"/>
    </xf>
    <xf numFmtId="0" fontId="22" fillId="0" borderId="1" xfId="3" applyFont="1" applyBorder="1" applyAlignment="1" applyProtection="1">
      <alignment horizontal="left" vertical="top"/>
      <protection locked="0"/>
    </xf>
    <xf numFmtId="0" fontId="22" fillId="11" borderId="1" xfId="3" applyFont="1" applyFill="1" applyBorder="1" applyAlignment="1" applyProtection="1">
      <alignment vertical="top"/>
      <protection locked="0"/>
    </xf>
    <xf numFmtId="0" fontId="22" fillId="0" borderId="1" xfId="3" applyFont="1" applyBorder="1" applyAlignment="1" applyProtection="1">
      <alignment horizontal="center" vertical="top"/>
      <protection locked="0"/>
    </xf>
    <xf numFmtId="0" fontId="22" fillId="0" borderId="44" xfId="3" applyFont="1" applyBorder="1" applyAlignment="1" applyProtection="1">
      <alignment horizontal="center" vertical="top"/>
      <protection locked="0"/>
    </xf>
    <xf numFmtId="0" fontId="22" fillId="0" borderId="1" xfId="3" applyFont="1" applyBorder="1" applyAlignment="1" applyProtection="1">
      <alignment vertical="top"/>
      <protection locked="0"/>
    </xf>
    <xf numFmtId="2" fontId="22" fillId="0" borderId="1" xfId="3" applyNumberFormat="1" applyFont="1" applyBorder="1" applyAlignment="1" applyProtection="1">
      <alignment vertical="top"/>
      <protection locked="0"/>
    </xf>
    <xf numFmtId="2" fontId="22" fillId="0" borderId="16" xfId="3" applyNumberFormat="1" applyFont="1" applyBorder="1" applyAlignment="1">
      <alignment vertical="top" wrapText="1"/>
    </xf>
    <xf numFmtId="2" fontId="22" fillId="0" borderId="6" xfId="3" applyNumberFormat="1" applyFont="1" applyBorder="1" applyAlignment="1">
      <alignment vertical="top" wrapText="1"/>
    </xf>
    <xf numFmtId="2" fontId="22" fillId="0" borderId="44" xfId="3" applyNumberFormat="1" applyFont="1" applyBorder="1" applyAlignment="1">
      <alignment vertical="top" wrapText="1"/>
    </xf>
    <xf numFmtId="2" fontId="22" fillId="0" borderId="1" xfId="3" applyNumberFormat="1" applyFont="1" applyBorder="1" applyAlignment="1">
      <alignment vertical="top" wrapText="1"/>
    </xf>
    <xf numFmtId="0" fontId="22" fillId="7" borderId="7" xfId="3" applyFont="1" applyFill="1" applyBorder="1" applyAlignment="1" applyProtection="1">
      <alignment horizontal="center" vertical="top"/>
      <protection locked="0"/>
    </xf>
    <xf numFmtId="2" fontId="22" fillId="7" borderId="0" xfId="3" applyNumberFormat="1" applyFont="1" applyFill="1" applyAlignment="1">
      <alignment vertical="top"/>
    </xf>
    <xf numFmtId="0" fontId="22" fillId="7" borderId="94" xfId="3" applyFont="1" applyFill="1" applyBorder="1" applyAlignment="1" applyProtection="1">
      <alignment vertical="top"/>
      <protection locked="0"/>
    </xf>
    <xf numFmtId="0" fontId="22" fillId="7" borderId="93" xfId="3" applyFont="1" applyFill="1" applyBorder="1" applyAlignment="1" applyProtection="1">
      <alignment vertical="top"/>
      <protection locked="0"/>
    </xf>
    <xf numFmtId="2" fontId="22" fillId="7" borderId="38" xfId="3" applyNumberFormat="1" applyFont="1" applyFill="1" applyBorder="1" applyAlignment="1">
      <alignment vertical="top"/>
    </xf>
    <xf numFmtId="0" fontId="31" fillId="7" borderId="31" xfId="3" applyFont="1" applyFill="1" applyBorder="1" applyAlignment="1" applyProtection="1">
      <alignment horizontal="center" vertical="top"/>
      <protection locked="0"/>
    </xf>
    <xf numFmtId="0" fontId="31" fillId="7" borderId="23" xfId="3" applyFont="1" applyFill="1" applyBorder="1" applyAlignment="1" applyProtection="1">
      <alignment horizontal="center" vertical="top"/>
      <protection locked="0"/>
    </xf>
    <xf numFmtId="0" fontId="31" fillId="7" borderId="23" xfId="3" applyFont="1" applyFill="1" applyBorder="1" applyAlignment="1" applyProtection="1">
      <alignment horizontal="left" vertical="top"/>
      <protection locked="0"/>
    </xf>
    <xf numFmtId="0" fontId="31" fillId="7" borderId="23" xfId="3" applyFont="1" applyFill="1" applyBorder="1" applyAlignment="1" applyProtection="1">
      <alignment horizontal="right" vertical="top"/>
      <protection locked="0"/>
    </xf>
    <xf numFmtId="164" fontId="31" fillId="7" borderId="23" xfId="3" applyNumberFormat="1" applyFont="1" applyFill="1" applyBorder="1" applyAlignment="1" applyProtection="1">
      <alignment vertical="top"/>
      <protection locked="0"/>
    </xf>
    <xf numFmtId="164" fontId="31" fillId="7" borderId="23" xfId="3" applyNumberFormat="1" applyFont="1" applyFill="1" applyBorder="1" applyAlignment="1" applyProtection="1">
      <alignment horizontal="center" vertical="top"/>
      <protection locked="0"/>
    </xf>
    <xf numFmtId="2" fontId="31" fillId="7" borderId="50" xfId="3" applyNumberFormat="1" applyFont="1" applyFill="1" applyBorder="1" applyAlignment="1">
      <alignment vertical="top"/>
    </xf>
    <xf numFmtId="2" fontId="31" fillId="7" borderId="23" xfId="3" applyNumberFormat="1" applyFont="1" applyFill="1" applyBorder="1" applyAlignment="1">
      <alignment vertical="top"/>
    </xf>
    <xf numFmtId="2" fontId="31" fillId="7" borderId="51" xfId="3" applyNumberFormat="1" applyFont="1" applyFill="1" applyBorder="1" applyAlignment="1">
      <alignment vertical="top"/>
    </xf>
    <xf numFmtId="2" fontId="31" fillId="7" borderId="23" xfId="3" applyNumberFormat="1" applyFont="1" applyFill="1" applyBorder="1" applyAlignment="1" applyProtection="1">
      <alignment vertical="top"/>
      <protection locked="0"/>
    </xf>
    <xf numFmtId="2" fontId="31" fillId="13" borderId="48" xfId="3" applyNumberFormat="1" applyFont="1" applyFill="1" applyBorder="1" applyAlignment="1" applyProtection="1">
      <alignment vertical="top"/>
      <protection locked="0"/>
    </xf>
    <xf numFmtId="2" fontId="31" fillId="7" borderId="88" xfId="3" applyNumberFormat="1" applyFont="1" applyFill="1" applyBorder="1" applyAlignment="1">
      <alignment vertical="top"/>
    </xf>
    <xf numFmtId="0" fontId="23" fillId="5" borderId="0" xfId="3" applyFont="1" applyFill="1" applyAlignment="1" applyProtection="1">
      <alignment vertical="top"/>
      <protection locked="0"/>
    </xf>
    <xf numFmtId="0" fontId="25" fillId="8" borderId="28" xfId="3" applyFont="1" applyFill="1" applyBorder="1" applyAlignment="1" applyProtection="1">
      <alignment horizontal="center" vertical="top"/>
      <protection locked="0"/>
    </xf>
    <xf numFmtId="0" fontId="25" fillId="7" borderId="29" xfId="3" applyFont="1" applyFill="1" applyBorder="1" applyAlignment="1">
      <alignment horizontal="center" vertical="top"/>
    </xf>
    <xf numFmtId="0" fontId="31" fillId="7" borderId="16" xfId="3" applyFont="1" applyFill="1" applyBorder="1" applyAlignment="1" applyProtection="1">
      <alignment vertical="top"/>
      <protection locked="0"/>
    </xf>
    <xf numFmtId="0" fontId="25" fillId="7" borderId="19" xfId="3" applyFont="1" applyFill="1" applyBorder="1" applyAlignment="1" applyProtection="1">
      <alignment horizontal="center" vertical="top"/>
      <protection locked="0"/>
    </xf>
    <xf numFmtId="0" fontId="31" fillId="7" borderId="47" xfId="3" applyFont="1" applyFill="1" applyBorder="1" applyAlignment="1" applyProtection="1">
      <alignment vertical="top"/>
      <protection locked="0"/>
    </xf>
    <xf numFmtId="0" fontId="31" fillId="7" borderId="27" xfId="3" applyFont="1" applyFill="1" applyBorder="1" applyAlignment="1" applyProtection="1">
      <alignment vertical="top"/>
      <protection locked="0"/>
    </xf>
    <xf numFmtId="44" fontId="22" fillId="10" borderId="60" xfId="3" applyNumberFormat="1" applyFont="1" applyFill="1" applyBorder="1" applyAlignment="1">
      <alignment vertical="top"/>
    </xf>
    <xf numFmtId="9" fontId="27" fillId="6" borderId="10" xfId="3" applyNumberFormat="1" applyFont="1" applyFill="1" applyBorder="1" applyAlignment="1">
      <alignment horizontal="center" vertical="center" wrapText="1"/>
    </xf>
    <xf numFmtId="9" fontId="27" fillId="6" borderId="46" xfId="3" applyNumberFormat="1" applyFont="1" applyFill="1" applyBorder="1" applyAlignment="1">
      <alignment horizontal="center" vertical="center" wrapText="1"/>
    </xf>
    <xf numFmtId="2" fontId="27" fillId="6" borderId="83" xfId="3" applyNumberFormat="1" applyFont="1" applyFill="1" applyBorder="1" applyAlignment="1">
      <alignment horizontal="center" vertical="center" wrapText="1"/>
    </xf>
    <xf numFmtId="9" fontId="27" fillId="6" borderId="12" xfId="3" applyNumberFormat="1" applyFont="1" applyFill="1" applyBorder="1" applyAlignment="1">
      <alignment horizontal="center" vertical="center" wrapText="1"/>
    </xf>
    <xf numFmtId="166" fontId="22" fillId="0" borderId="96" xfId="3" applyNumberFormat="1" applyFont="1" applyBorder="1" applyAlignment="1">
      <alignment vertical="top" wrapText="1"/>
    </xf>
    <xf numFmtId="166" fontId="22" fillId="0" borderId="97" xfId="3" applyNumberFormat="1" applyFont="1" applyBorder="1" applyAlignment="1">
      <alignment vertical="top" wrapText="1"/>
    </xf>
    <xf numFmtId="166" fontId="22" fillId="0" borderId="98" xfId="3" applyNumberFormat="1" applyFont="1" applyBorder="1" applyAlignment="1">
      <alignment vertical="top" wrapText="1"/>
    </xf>
    <xf numFmtId="166" fontId="22" fillId="0" borderId="99" xfId="3" applyNumberFormat="1" applyFont="1" applyBorder="1" applyAlignment="1">
      <alignment vertical="top" wrapText="1"/>
    </xf>
    <xf numFmtId="0" fontId="22" fillId="0" borderId="40" xfId="3" applyFont="1" applyBorder="1" applyAlignment="1">
      <alignment horizontal="right" vertical="top" wrapText="1"/>
    </xf>
    <xf numFmtId="166" fontId="22" fillId="0" borderId="100" xfId="3" applyNumberFormat="1" applyFont="1" applyBorder="1" applyAlignment="1">
      <alignment vertical="top" wrapText="1"/>
    </xf>
    <xf numFmtId="166" fontId="22" fillId="0" borderId="101" xfId="3" applyNumberFormat="1" applyFont="1" applyBorder="1" applyAlignment="1">
      <alignment vertical="top" wrapText="1"/>
    </xf>
    <xf numFmtId="0" fontId="22" fillId="0" borderId="67" xfId="3" applyFont="1" applyBorder="1" applyAlignment="1" applyProtection="1">
      <alignment horizontal="center" vertical="top" wrapText="1"/>
      <protection locked="0"/>
    </xf>
    <xf numFmtId="0" fontId="22" fillId="0" borderId="2" xfId="3" applyFont="1" applyBorder="1" applyAlignment="1" applyProtection="1">
      <alignment horizontal="left" vertical="top" wrapText="1"/>
      <protection locked="0"/>
    </xf>
    <xf numFmtId="0" fontId="22" fillId="0" borderId="2" xfId="3" applyFont="1" applyBorder="1" applyAlignment="1" applyProtection="1">
      <alignment vertical="top" wrapText="1"/>
      <protection locked="0"/>
    </xf>
    <xf numFmtId="166" fontId="22" fillId="0" borderId="2" xfId="3" applyNumberFormat="1" applyFont="1" applyBorder="1" applyAlignment="1">
      <alignment vertical="top" wrapText="1"/>
    </xf>
    <xf numFmtId="166" fontId="22" fillId="0" borderId="65" xfId="3" applyNumberFormat="1" applyFont="1" applyBorder="1" applyAlignment="1">
      <alignment vertical="top" wrapText="1"/>
    </xf>
    <xf numFmtId="166" fontId="22" fillId="0" borderId="67" xfId="3" applyNumberFormat="1" applyFont="1" applyBorder="1" applyAlignment="1">
      <alignment vertical="top" wrapText="1"/>
    </xf>
    <xf numFmtId="166" fontId="22" fillId="0" borderId="64" xfId="3" applyNumberFormat="1" applyFont="1" applyBorder="1" applyAlignment="1">
      <alignment vertical="top" wrapText="1"/>
    </xf>
    <xf numFmtId="166" fontId="22" fillId="0" borderId="55" xfId="3" applyNumberFormat="1" applyFont="1" applyBorder="1" applyAlignment="1">
      <alignment vertical="top" wrapText="1"/>
    </xf>
    <xf numFmtId="166" fontId="22" fillId="0" borderId="47" xfId="3" applyNumberFormat="1" applyFont="1" applyBorder="1" applyAlignment="1">
      <alignment vertical="top" wrapText="1"/>
    </xf>
    <xf numFmtId="166" fontId="28" fillId="0" borderId="55" xfId="3" applyNumberFormat="1" applyFont="1" applyBorder="1" applyAlignment="1">
      <alignment vertical="top" wrapText="1"/>
    </xf>
    <xf numFmtId="166" fontId="28" fillId="0" borderId="47" xfId="3" applyNumberFormat="1" applyFont="1" applyBorder="1" applyAlignment="1">
      <alignment vertical="top" wrapText="1"/>
    </xf>
    <xf numFmtId="2" fontId="22" fillId="0" borderId="55" xfId="3" applyNumberFormat="1" applyFont="1" applyBorder="1" applyAlignment="1">
      <alignment vertical="top" wrapText="1"/>
    </xf>
    <xf numFmtId="2" fontId="22" fillId="0" borderId="47" xfId="3" applyNumberFormat="1" applyFont="1" applyBorder="1" applyAlignment="1">
      <alignment vertical="top" wrapText="1"/>
    </xf>
    <xf numFmtId="2" fontId="22" fillId="7" borderId="37" xfId="3" applyNumberFormat="1" applyFont="1" applyFill="1" applyBorder="1" applyAlignment="1">
      <alignment vertical="top"/>
    </xf>
    <xf numFmtId="0" fontId="22" fillId="7" borderId="37" xfId="3" applyFont="1" applyFill="1" applyBorder="1" applyAlignment="1" applyProtection="1">
      <alignment vertical="top"/>
      <protection locked="0"/>
    </xf>
    <xf numFmtId="0" fontId="22" fillId="7" borderId="7" xfId="3" applyFont="1" applyFill="1" applyBorder="1" applyAlignment="1" applyProtection="1">
      <alignment vertical="top"/>
      <protection locked="0"/>
    </xf>
    <xf numFmtId="2" fontId="22" fillId="7" borderId="55" xfId="3" applyNumberFormat="1" applyFont="1" applyFill="1" applyBorder="1" applyAlignment="1">
      <alignment vertical="top"/>
    </xf>
    <xf numFmtId="0" fontId="22" fillId="7" borderId="13" xfId="3" applyFont="1" applyFill="1" applyBorder="1" applyAlignment="1" applyProtection="1">
      <alignment vertical="top"/>
      <protection locked="0"/>
    </xf>
    <xf numFmtId="2" fontId="31" fillId="7" borderId="82" xfId="3" applyNumberFormat="1" applyFont="1" applyFill="1" applyBorder="1" applyAlignment="1">
      <alignment vertical="top"/>
    </xf>
    <xf numFmtId="2" fontId="31" fillId="7" borderId="57" xfId="3" applyNumberFormat="1" applyFont="1" applyFill="1" applyBorder="1" applyAlignment="1">
      <alignment vertical="top"/>
    </xf>
    <xf numFmtId="2" fontId="31" fillId="7" borderId="78" xfId="3" applyNumberFormat="1" applyFont="1" applyFill="1" applyBorder="1" applyAlignment="1">
      <alignment vertical="top"/>
    </xf>
    <xf numFmtId="17" fontId="44" fillId="7" borderId="60" xfId="0" applyNumberFormat="1" applyFont="1" applyFill="1" applyBorder="1" applyAlignment="1" applyProtection="1">
      <alignment horizontal="left" vertical="center" wrapText="1"/>
      <protection locked="0"/>
    </xf>
    <xf numFmtId="0" fontId="5" fillId="13" borderId="35" xfId="0" applyFont="1" applyFill="1" applyBorder="1" applyAlignment="1">
      <alignment horizontal="left" vertical="top" wrapText="1"/>
    </xf>
    <xf numFmtId="0" fontId="5" fillId="13" borderId="4" xfId="0" applyFont="1" applyFill="1" applyBorder="1" applyAlignment="1">
      <alignment horizontal="left" vertical="top" wrapText="1"/>
    </xf>
    <xf numFmtId="0" fontId="5" fillId="13" borderId="58" xfId="0" applyFont="1" applyFill="1" applyBorder="1" applyAlignment="1">
      <alignment horizontal="left" vertical="top" wrapText="1"/>
    </xf>
    <xf numFmtId="0" fontId="5" fillId="13" borderId="7" xfId="0" applyFont="1" applyFill="1" applyBorder="1" applyAlignment="1">
      <alignment horizontal="left" vertical="top" wrapText="1"/>
    </xf>
    <xf numFmtId="0" fontId="5" fillId="13" borderId="0" xfId="0" applyFont="1" applyFill="1" applyBorder="1" applyAlignment="1">
      <alignment horizontal="left" vertical="top" wrapText="1"/>
    </xf>
    <xf numFmtId="0" fontId="5" fillId="13" borderId="13" xfId="0" applyFont="1" applyFill="1" applyBorder="1" applyAlignment="1">
      <alignment horizontal="left" vertical="top" wrapText="1"/>
    </xf>
    <xf numFmtId="0" fontId="5" fillId="13" borderId="31" xfId="0" applyFont="1" applyFill="1" applyBorder="1" applyAlignment="1">
      <alignment horizontal="left" vertical="top" wrapText="1"/>
    </xf>
    <xf numFmtId="0" fontId="5" fillId="13" borderId="23" xfId="0" applyFont="1" applyFill="1" applyBorder="1" applyAlignment="1">
      <alignment horizontal="left" vertical="top" wrapText="1"/>
    </xf>
    <xf numFmtId="0" fontId="5" fillId="13" borderId="32" xfId="0" applyFont="1" applyFill="1" applyBorder="1" applyAlignment="1">
      <alignment horizontal="left" vertical="top" wrapText="1"/>
    </xf>
    <xf numFmtId="0" fontId="55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37" fillId="15" borderId="70" xfId="0" applyFont="1" applyFill="1" applyBorder="1" applyAlignment="1" applyProtection="1">
      <alignment horizontal="left" vertical="top"/>
      <protection locked="0"/>
    </xf>
    <xf numFmtId="0" fontId="37" fillId="15" borderId="71" xfId="0" applyFont="1" applyFill="1" applyBorder="1" applyAlignment="1" applyProtection="1">
      <alignment horizontal="left" vertical="top"/>
      <protection locked="0"/>
    </xf>
    <xf numFmtId="0" fontId="37" fillId="15" borderId="72" xfId="0" applyFont="1" applyFill="1" applyBorder="1" applyAlignment="1" applyProtection="1">
      <alignment horizontal="left" vertical="top"/>
      <protection locked="0"/>
    </xf>
    <xf numFmtId="0" fontId="37" fillId="16" borderId="35" xfId="0" applyFont="1" applyFill="1" applyBorder="1" applyAlignment="1" applyProtection="1">
      <alignment horizontal="center" vertical="top"/>
    </xf>
    <xf numFmtId="0" fontId="37" fillId="16" borderId="4" xfId="0" applyFont="1" applyFill="1" applyBorder="1" applyAlignment="1" applyProtection="1">
      <alignment horizontal="center" vertical="top"/>
    </xf>
    <xf numFmtId="0" fontId="37" fillId="16" borderId="58" xfId="0" applyFont="1" applyFill="1" applyBorder="1" applyAlignment="1" applyProtection="1">
      <alignment horizontal="center" vertical="top"/>
    </xf>
    <xf numFmtId="0" fontId="31" fillId="10" borderId="33" xfId="0" applyFont="1" applyFill="1" applyBorder="1" applyAlignment="1" applyProtection="1">
      <alignment vertical="top"/>
      <protection locked="0"/>
    </xf>
    <xf numFmtId="0" fontId="31" fillId="10" borderId="0" xfId="0" applyFont="1" applyFill="1" applyBorder="1" applyAlignment="1" applyProtection="1">
      <alignment vertical="top"/>
      <protection locked="0"/>
    </xf>
    <xf numFmtId="0" fontId="31" fillId="10" borderId="41" xfId="0" applyFont="1" applyFill="1" applyBorder="1" applyAlignment="1" applyProtection="1">
      <alignment vertical="top"/>
      <protection locked="0"/>
    </xf>
    <xf numFmtId="0" fontId="31" fillId="12" borderId="33" xfId="0" applyFont="1" applyFill="1" applyBorder="1" applyAlignment="1" applyProtection="1">
      <alignment vertical="top"/>
      <protection locked="0"/>
    </xf>
    <xf numFmtId="0" fontId="31" fillId="12" borderId="0" xfId="0" applyFont="1" applyFill="1" applyBorder="1" applyAlignment="1" applyProtection="1">
      <alignment vertical="top"/>
      <protection locked="0"/>
    </xf>
    <xf numFmtId="0" fontId="31" fillId="12" borderId="41" xfId="0" applyFont="1" applyFill="1" applyBorder="1" applyAlignment="1" applyProtection="1">
      <alignment vertical="top"/>
      <protection locked="0"/>
    </xf>
    <xf numFmtId="0" fontId="22" fillId="0" borderId="16" xfId="0" applyFont="1" applyBorder="1" applyAlignment="1" applyProtection="1">
      <alignment horizontal="left" vertical="top" wrapText="1"/>
      <protection locked="0"/>
    </xf>
    <xf numFmtId="0" fontId="22" fillId="0" borderId="42" xfId="0" applyFont="1" applyBorder="1" applyAlignment="1" applyProtection="1">
      <alignment horizontal="left" vertical="top" wrapText="1"/>
      <protection locked="0"/>
    </xf>
    <xf numFmtId="0" fontId="27" fillId="6" borderId="31" xfId="0" applyFont="1" applyFill="1" applyBorder="1" applyAlignment="1" applyProtection="1">
      <alignment horizontal="center" vertical="top"/>
    </xf>
    <xf numFmtId="0" fontId="27" fillId="6" borderId="32" xfId="0" applyFont="1" applyFill="1" applyBorder="1" applyAlignment="1" applyProtection="1">
      <alignment horizontal="center" vertical="top"/>
    </xf>
    <xf numFmtId="0" fontId="31" fillId="6" borderId="35" xfId="0" applyFont="1" applyFill="1" applyBorder="1" applyAlignment="1" applyProtection="1">
      <alignment horizontal="center" vertical="top" wrapText="1"/>
    </xf>
    <xf numFmtId="0" fontId="31" fillId="6" borderId="58" xfId="0" applyFont="1" applyFill="1" applyBorder="1" applyAlignment="1" applyProtection="1">
      <alignment horizontal="center" vertical="top" wrapText="1"/>
    </xf>
    <xf numFmtId="164" fontId="36" fillId="15" borderId="10" xfId="0" applyNumberFormat="1" applyFont="1" applyFill="1" applyBorder="1" applyAlignment="1" applyProtection="1">
      <alignment horizontal="center" vertical="top" wrapText="1"/>
    </xf>
    <xf numFmtId="164" fontId="36" fillId="15" borderId="12" xfId="0" applyNumberFormat="1" applyFont="1" applyFill="1" applyBorder="1" applyAlignment="1" applyProtection="1">
      <alignment horizontal="center" vertical="top" wrapText="1"/>
    </xf>
    <xf numFmtId="165" fontId="38" fillId="0" borderId="10" xfId="0" applyNumberFormat="1" applyFont="1" applyFill="1" applyBorder="1" applyAlignment="1" applyProtection="1">
      <alignment horizontal="center" vertical="top" wrapText="1"/>
    </xf>
    <xf numFmtId="165" fontId="38" fillId="0" borderId="12" xfId="0" applyNumberFormat="1" applyFont="1" applyFill="1" applyBorder="1" applyAlignment="1" applyProtection="1">
      <alignment horizontal="center" vertical="top" wrapText="1"/>
    </xf>
    <xf numFmtId="0" fontId="37" fillId="16" borderId="68" xfId="0" applyFont="1" applyFill="1" applyBorder="1" applyAlignment="1" applyProtection="1">
      <alignment horizontal="left" vertical="top"/>
      <protection locked="0"/>
    </xf>
    <xf numFmtId="0" fontId="37" fillId="16" borderId="23" xfId="0" applyFont="1" applyFill="1" applyBorder="1" applyAlignment="1" applyProtection="1">
      <alignment horizontal="left" vertical="top"/>
      <protection locked="0"/>
    </xf>
    <xf numFmtId="0" fontId="37" fillId="16" borderId="69" xfId="0" applyFont="1" applyFill="1" applyBorder="1" applyAlignment="1" applyProtection="1">
      <alignment horizontal="left" vertical="top"/>
      <protection locked="0"/>
    </xf>
    <xf numFmtId="0" fontId="31" fillId="13" borderId="33" xfId="0" applyFont="1" applyFill="1" applyBorder="1" applyAlignment="1" applyProtection="1">
      <alignment horizontal="left" vertical="top" wrapText="1"/>
      <protection locked="0"/>
    </xf>
    <xf numFmtId="0" fontId="31" fillId="13" borderId="0" xfId="0" applyFont="1" applyFill="1" applyBorder="1" applyAlignment="1" applyProtection="1">
      <alignment horizontal="left" vertical="top" wrapText="1"/>
      <protection locked="0"/>
    </xf>
    <xf numFmtId="0" fontId="31" fillId="13" borderId="41" xfId="0" applyFont="1" applyFill="1" applyBorder="1" applyAlignment="1" applyProtection="1">
      <alignment horizontal="left" vertical="top" wrapText="1"/>
      <protection locked="0"/>
    </xf>
    <xf numFmtId="0" fontId="31" fillId="13" borderId="68" xfId="0" applyFont="1" applyFill="1" applyBorder="1" applyAlignment="1" applyProtection="1">
      <alignment horizontal="left" vertical="top" wrapText="1"/>
      <protection locked="0"/>
    </xf>
    <xf numFmtId="0" fontId="31" fillId="13" borderId="23" xfId="0" applyFont="1" applyFill="1" applyBorder="1" applyAlignment="1" applyProtection="1">
      <alignment horizontal="left" vertical="top" wrapText="1"/>
      <protection locked="0"/>
    </xf>
    <xf numFmtId="0" fontId="31" fillId="13" borderId="69" xfId="0" applyFont="1" applyFill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 applyProtection="1">
      <alignment horizontal="left" vertical="top" wrapText="1"/>
      <protection locked="0"/>
    </xf>
    <xf numFmtId="0" fontId="22" fillId="0" borderId="66" xfId="0" applyFont="1" applyBorder="1" applyAlignment="1" applyProtection="1">
      <alignment horizontal="left" vertical="top" wrapText="1"/>
      <protection locked="0"/>
    </xf>
    <xf numFmtId="0" fontId="22" fillId="0" borderId="19" xfId="0" applyFont="1" applyBorder="1" applyAlignment="1" applyProtection="1">
      <alignment horizontal="left" vertical="top" wrapText="1"/>
      <protection locked="0"/>
    </xf>
    <xf numFmtId="0" fontId="22" fillId="0" borderId="55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6" xfId="0" applyFont="1" applyFill="1" applyBorder="1" applyAlignment="1" applyProtection="1">
      <alignment horizontal="left" vertical="top" wrapText="1"/>
      <protection locked="0"/>
    </xf>
    <xf numFmtId="0" fontId="22" fillId="0" borderId="19" xfId="0" applyFont="1" applyFill="1" applyBorder="1" applyAlignment="1" applyProtection="1">
      <alignment horizontal="left" vertical="top" wrapText="1"/>
      <protection locked="0"/>
    </xf>
    <xf numFmtId="0" fontId="22" fillId="0" borderId="55" xfId="0" applyFont="1" applyFill="1" applyBorder="1" applyAlignment="1" applyProtection="1">
      <alignment horizontal="left" vertical="top" wrapText="1"/>
      <protection locked="0"/>
    </xf>
    <xf numFmtId="0" fontId="22" fillId="0" borderId="42" xfId="0" applyFont="1" applyFill="1" applyBorder="1" applyAlignment="1" applyProtection="1">
      <alignment horizontal="left" vertical="top" wrapText="1"/>
      <protection locked="0"/>
    </xf>
    <xf numFmtId="0" fontId="28" fillId="0" borderId="16" xfId="0" applyFont="1" applyFill="1" applyBorder="1" applyAlignment="1" applyProtection="1">
      <alignment horizontal="right" vertical="top" wrapText="1"/>
      <protection locked="0"/>
    </xf>
    <xf numFmtId="0" fontId="0" fillId="0" borderId="19" xfId="0" applyBorder="1"/>
    <xf numFmtId="0" fontId="0" fillId="0" borderId="55" xfId="0" applyBorder="1"/>
    <xf numFmtId="0" fontId="22" fillId="0" borderId="16" xfId="0" applyFont="1" applyFill="1" applyBorder="1" applyAlignment="1" applyProtection="1">
      <alignment horizontal="left" vertical="top"/>
      <protection locked="0"/>
    </xf>
    <xf numFmtId="0" fontId="22" fillId="0" borderId="19" xfId="0" applyFont="1" applyFill="1" applyBorder="1" applyAlignment="1" applyProtection="1">
      <alignment horizontal="left" vertical="top"/>
      <protection locked="0"/>
    </xf>
    <xf numFmtId="0" fontId="22" fillId="0" borderId="55" xfId="0" applyFont="1" applyFill="1" applyBorder="1" applyAlignment="1" applyProtection="1">
      <alignment horizontal="left" vertical="top"/>
      <protection locked="0"/>
    </xf>
    <xf numFmtId="0" fontId="22" fillId="0" borderId="16" xfId="0" applyFont="1" applyBorder="1" applyAlignment="1" applyProtection="1">
      <alignment horizontal="left" vertical="top"/>
      <protection locked="0"/>
    </xf>
    <xf numFmtId="0" fontId="22" fillId="0" borderId="19" xfId="0" applyFont="1" applyBorder="1" applyAlignment="1" applyProtection="1">
      <alignment horizontal="left" vertical="top"/>
      <protection locked="0"/>
    </xf>
    <xf numFmtId="0" fontId="22" fillId="0" borderId="55" xfId="0" applyFont="1" applyBorder="1" applyAlignment="1" applyProtection="1">
      <alignment horizontal="left" vertical="top"/>
      <protection locked="0"/>
    </xf>
    <xf numFmtId="0" fontId="22" fillId="0" borderId="3" xfId="0" applyFont="1" applyBorder="1" applyAlignment="1" applyProtection="1">
      <alignment horizontal="left" vertical="top" wrapText="1"/>
      <protection locked="0"/>
    </xf>
    <xf numFmtId="0" fontId="31" fillId="7" borderId="57" xfId="0" applyFont="1" applyFill="1" applyBorder="1" applyAlignment="1" applyProtection="1">
      <alignment horizontal="right" vertical="top"/>
      <protection locked="0"/>
    </xf>
    <xf numFmtId="0" fontId="31" fillId="7" borderId="50" xfId="0" applyFont="1" applyFill="1" applyBorder="1" applyAlignment="1" applyProtection="1">
      <alignment horizontal="right" vertical="top"/>
      <protection locked="0"/>
    </xf>
    <xf numFmtId="0" fontId="31" fillId="7" borderId="53" xfId="0" applyFont="1" applyFill="1" applyBorder="1" applyAlignment="1" applyProtection="1">
      <alignment horizontal="right" vertical="top"/>
      <protection locked="0"/>
    </xf>
    <xf numFmtId="0" fontId="31" fillId="7" borderId="40" xfId="0" applyFont="1" applyFill="1" applyBorder="1" applyAlignment="1" applyProtection="1">
      <alignment horizontal="right" vertical="top"/>
      <protection locked="0"/>
    </xf>
    <xf numFmtId="0" fontId="31" fillId="7" borderId="44" xfId="0" applyFont="1" applyFill="1" applyBorder="1" applyAlignment="1" applyProtection="1">
      <alignment horizontal="right" vertical="top"/>
      <protection locked="0"/>
    </xf>
    <xf numFmtId="0" fontId="31" fillId="7" borderId="1" xfId="0" applyFont="1" applyFill="1" applyBorder="1" applyAlignment="1" applyProtection="1">
      <alignment horizontal="right" vertical="top"/>
      <protection locked="0"/>
    </xf>
    <xf numFmtId="0" fontId="31" fillId="7" borderId="44" xfId="0" applyFont="1" applyFill="1" applyBorder="1" applyAlignment="1" applyProtection="1">
      <alignment horizontal="left" vertical="top"/>
      <protection locked="0"/>
    </xf>
    <xf numFmtId="0" fontId="31" fillId="7" borderId="1" xfId="0" applyFont="1" applyFill="1" applyBorder="1" applyAlignment="1" applyProtection="1">
      <alignment horizontal="left" vertical="top"/>
      <protection locked="0"/>
    </xf>
    <xf numFmtId="0" fontId="31" fillId="7" borderId="55" xfId="0" applyFont="1" applyFill="1" applyBorder="1" applyAlignment="1" applyProtection="1">
      <alignment horizontal="right" vertical="top"/>
      <protection locked="0"/>
    </xf>
    <xf numFmtId="9" fontId="24" fillId="13" borderId="34" xfId="0" applyNumberFormat="1" applyFont="1" applyFill="1" applyBorder="1" applyAlignment="1" applyProtection="1">
      <alignment horizontal="center" vertical="top" wrapText="1"/>
      <protection locked="0"/>
    </xf>
    <xf numFmtId="9" fontId="24" fillId="13" borderId="58" xfId="0" applyNumberFormat="1" applyFont="1" applyFill="1" applyBorder="1" applyAlignment="1" applyProtection="1">
      <alignment horizontal="center" vertical="top" wrapText="1"/>
      <protection locked="0"/>
    </xf>
    <xf numFmtId="14" fontId="25" fillId="9" borderId="16" xfId="0" applyNumberFormat="1" applyFont="1" applyFill="1" applyBorder="1" applyAlignment="1" applyProtection="1">
      <alignment horizontal="left" vertical="top"/>
      <protection locked="0"/>
    </xf>
    <xf numFmtId="0" fontId="25" fillId="9" borderId="47" xfId="0" applyFont="1" applyFill="1" applyBorder="1" applyAlignment="1" applyProtection="1">
      <alignment horizontal="left" vertical="top"/>
      <protection locked="0"/>
    </xf>
    <xf numFmtId="0" fontId="31" fillId="7" borderId="2" xfId="0" applyFont="1" applyFill="1" applyBorder="1" applyAlignment="1" applyProtection="1">
      <alignment horizontal="left" vertical="top"/>
      <protection locked="0"/>
    </xf>
    <xf numFmtId="0" fontId="31" fillId="7" borderId="34" xfId="0" applyFont="1" applyFill="1" applyBorder="1" applyAlignment="1" applyProtection="1">
      <alignment horizontal="right" vertical="top"/>
      <protection locked="0"/>
    </xf>
    <xf numFmtId="0" fontId="31" fillId="7" borderId="30" xfId="0" applyFont="1" applyFill="1" applyBorder="1" applyAlignment="1" applyProtection="1">
      <alignment horizontal="right" vertical="top"/>
      <protection locked="0"/>
    </xf>
    <xf numFmtId="0" fontId="25" fillId="9" borderId="16" xfId="0" applyFont="1" applyFill="1" applyBorder="1" applyAlignment="1" applyProtection="1">
      <alignment horizontal="left" vertical="top"/>
      <protection locked="0"/>
    </xf>
    <xf numFmtId="0" fontId="25" fillId="9" borderId="55" xfId="0" applyFont="1" applyFill="1" applyBorder="1" applyAlignment="1" applyProtection="1">
      <alignment horizontal="left" vertical="top"/>
      <protection locked="0"/>
    </xf>
    <xf numFmtId="0" fontId="25" fillId="9" borderId="49" xfId="0" applyFont="1" applyFill="1" applyBorder="1" applyAlignment="1" applyProtection="1">
      <alignment horizontal="left" vertical="top"/>
      <protection locked="0"/>
    </xf>
    <xf numFmtId="0" fontId="25" fillId="9" borderId="20" xfId="0" applyFont="1" applyFill="1" applyBorder="1" applyAlignment="1" applyProtection="1">
      <alignment horizontal="left" vertical="top"/>
      <protection locked="0"/>
    </xf>
    <xf numFmtId="0" fontId="25" fillId="9" borderId="43" xfId="0" applyFont="1" applyFill="1" applyBorder="1" applyAlignment="1" applyProtection="1">
      <alignment horizontal="left" vertical="top"/>
      <protection locked="0"/>
    </xf>
    <xf numFmtId="0" fontId="25" fillId="9" borderId="65" xfId="0" applyFont="1" applyFill="1" applyBorder="1" applyAlignment="1" applyProtection="1">
      <alignment horizontal="left" vertical="top"/>
      <protection locked="0"/>
    </xf>
    <xf numFmtId="0" fontId="44" fillId="4" borderId="30" xfId="0" applyFont="1" applyFill="1" applyBorder="1" applyAlignment="1" applyProtection="1">
      <alignment horizontal="left" vertical="top"/>
      <protection locked="0"/>
    </xf>
    <xf numFmtId="0" fontId="44" fillId="4" borderId="60" xfId="0" applyFont="1" applyFill="1" applyBorder="1" applyAlignment="1" applyProtection="1">
      <alignment horizontal="left" vertical="top"/>
      <protection locked="0"/>
    </xf>
    <xf numFmtId="0" fontId="44" fillId="0" borderId="34" xfId="0" applyFont="1" applyBorder="1" applyAlignment="1" applyProtection="1">
      <alignment horizontal="right" vertical="top"/>
      <protection locked="0"/>
    </xf>
    <xf numFmtId="0" fontId="44" fillId="0" borderId="30" xfId="0" applyFont="1" applyBorder="1" applyAlignment="1" applyProtection="1">
      <alignment horizontal="right" vertical="top"/>
      <protection locked="0"/>
    </xf>
    <xf numFmtId="9" fontId="25" fillId="7" borderId="54" xfId="0" applyNumberFormat="1" applyFont="1" applyFill="1" applyBorder="1" applyAlignment="1" applyProtection="1">
      <alignment horizontal="left" vertical="top" wrapText="1"/>
    </xf>
    <xf numFmtId="9" fontId="25" fillId="7" borderId="52" xfId="0" applyNumberFormat="1" applyFont="1" applyFill="1" applyBorder="1" applyAlignment="1" applyProtection="1">
      <alignment horizontal="left" vertical="top" wrapText="1"/>
    </xf>
    <xf numFmtId="9" fontId="25" fillId="7" borderId="16" xfId="4" applyFont="1" applyFill="1" applyBorder="1" applyAlignment="1" applyProtection="1">
      <alignment horizontal="left" vertical="top"/>
      <protection locked="0"/>
    </xf>
    <xf numFmtId="9" fontId="25" fillId="7" borderId="47" xfId="4" applyFont="1" applyFill="1" applyBorder="1" applyAlignment="1" applyProtection="1">
      <alignment horizontal="left" vertical="top"/>
      <protection locked="0"/>
    </xf>
    <xf numFmtId="0" fontId="25" fillId="9" borderId="15" xfId="0" applyFont="1" applyFill="1" applyBorder="1" applyAlignment="1" applyProtection="1">
      <alignment horizontal="left" vertical="top"/>
      <protection locked="0"/>
    </xf>
    <xf numFmtId="0" fontId="25" fillId="9" borderId="63" xfId="0" applyFont="1" applyFill="1" applyBorder="1" applyAlignment="1" applyProtection="1">
      <alignment horizontal="left" vertical="top"/>
      <protection locked="0"/>
    </xf>
    <xf numFmtId="0" fontId="31" fillId="7" borderId="3" xfId="0" applyFont="1" applyFill="1" applyBorder="1" applyAlignment="1" applyProtection="1">
      <alignment horizontal="left" vertical="top"/>
      <protection locked="0"/>
    </xf>
    <xf numFmtId="0" fontId="31" fillId="7" borderId="65" xfId="0" applyFont="1" applyFill="1" applyBorder="1" applyAlignment="1" applyProtection="1">
      <alignment horizontal="left" vertical="top"/>
      <protection locked="0"/>
    </xf>
    <xf numFmtId="0" fontId="31" fillId="7" borderId="67" xfId="0" applyFont="1" applyFill="1" applyBorder="1" applyAlignment="1" applyProtection="1">
      <alignment horizontal="left" vertical="top"/>
      <protection locked="0"/>
    </xf>
    <xf numFmtId="0" fontId="25" fillId="7" borderId="43" xfId="0" applyFont="1" applyFill="1" applyBorder="1" applyAlignment="1" applyProtection="1">
      <alignment horizontal="left" vertical="top"/>
    </xf>
    <xf numFmtId="0" fontId="25" fillId="7" borderId="64" xfId="0" applyFont="1" applyFill="1" applyBorder="1" applyAlignment="1" applyProtection="1">
      <alignment horizontal="left" vertical="top"/>
    </xf>
    <xf numFmtId="0" fontId="24" fillId="6" borderId="34" xfId="0" applyFont="1" applyFill="1" applyBorder="1" applyAlignment="1" applyProtection="1">
      <alignment horizontal="center" vertical="top"/>
      <protection locked="0"/>
    </xf>
    <xf numFmtId="0" fontId="24" fillId="6" borderId="30" xfId="0" applyFont="1" applyFill="1" applyBorder="1" applyAlignment="1" applyProtection="1">
      <alignment horizontal="center" vertical="top"/>
      <protection locked="0"/>
    </xf>
    <xf numFmtId="0" fontId="24" fillId="6" borderId="60" xfId="0" applyFont="1" applyFill="1" applyBorder="1" applyAlignment="1" applyProtection="1">
      <alignment horizontal="center" vertical="top"/>
      <protection locked="0"/>
    </xf>
    <xf numFmtId="0" fontId="24" fillId="6" borderId="73" xfId="0" applyFont="1" applyFill="1" applyBorder="1" applyAlignment="1" applyProtection="1">
      <alignment horizontal="left" vertical="top"/>
      <protection locked="0"/>
    </xf>
    <xf numFmtId="0" fontId="24" fillId="6" borderId="74" xfId="0" applyFont="1" applyFill="1" applyBorder="1" applyAlignment="1" applyProtection="1">
      <alignment horizontal="left" vertical="top"/>
      <protection locked="0"/>
    </xf>
    <xf numFmtId="0" fontId="24" fillId="6" borderId="75" xfId="0" applyFont="1" applyFill="1" applyBorder="1" applyAlignment="1" applyProtection="1">
      <alignment horizontal="left" vertical="top"/>
      <protection locked="0"/>
    </xf>
    <xf numFmtId="0" fontId="31" fillId="9" borderId="76" xfId="0" applyFont="1" applyFill="1" applyBorder="1" applyAlignment="1" applyProtection="1">
      <alignment vertical="top"/>
      <protection locked="0"/>
    </xf>
    <xf numFmtId="0" fontId="31" fillId="9" borderId="4" xfId="0" applyFont="1" applyFill="1" applyBorder="1" applyAlignment="1" applyProtection="1">
      <alignment vertical="top"/>
      <protection locked="0"/>
    </xf>
    <xf numFmtId="0" fontId="31" fillId="9" borderId="77" xfId="0" applyFont="1" applyFill="1" applyBorder="1" applyAlignment="1" applyProtection="1">
      <alignment vertical="top"/>
      <protection locked="0"/>
    </xf>
    <xf numFmtId="0" fontId="31" fillId="8" borderId="33" xfId="0" applyFont="1" applyFill="1" applyBorder="1" applyAlignment="1" applyProtection="1">
      <alignment vertical="top"/>
      <protection locked="0"/>
    </xf>
    <xf numFmtId="0" fontId="31" fillId="8" borderId="0" xfId="0" applyFont="1" applyFill="1" applyBorder="1" applyAlignment="1" applyProtection="1">
      <alignment vertical="top"/>
      <protection locked="0"/>
    </xf>
    <xf numFmtId="0" fontId="31" fillId="8" borderId="41" xfId="0" applyFont="1" applyFill="1" applyBorder="1" applyAlignment="1" applyProtection="1">
      <alignment vertical="top"/>
      <protection locked="0"/>
    </xf>
    <xf numFmtId="0" fontId="31" fillId="7" borderId="63" xfId="0" applyFont="1" applyFill="1" applyBorder="1" applyAlignment="1" applyProtection="1">
      <alignment horizontal="left" vertical="top"/>
      <protection locked="0"/>
    </xf>
    <xf numFmtId="0" fontId="36" fillId="15" borderId="0" xfId="0" applyFont="1" applyFill="1" applyBorder="1" applyAlignment="1" applyProtection="1">
      <alignment horizontal="left" vertical="top"/>
      <protection locked="0"/>
    </xf>
    <xf numFmtId="0" fontId="33" fillId="7" borderId="1" xfId="0" applyFont="1" applyFill="1" applyBorder="1" applyAlignment="1" applyProtection="1">
      <alignment horizontal="left" vertical="top"/>
      <protection locked="0"/>
    </xf>
    <xf numFmtId="0" fontId="24" fillId="7" borderId="50" xfId="0" applyFont="1" applyFill="1" applyBorder="1" applyAlignment="1" applyProtection="1">
      <alignment horizontal="center" vertical="center" wrapText="1"/>
    </xf>
    <xf numFmtId="0" fontId="24" fillId="7" borderId="51" xfId="0" applyFont="1" applyFill="1" applyBorder="1" applyAlignment="1" applyProtection="1">
      <alignment horizontal="center" vertical="center" wrapText="1"/>
    </xf>
    <xf numFmtId="7" fontId="24" fillId="7" borderId="1" xfId="1" applyNumberFormat="1" applyFont="1" applyFill="1" applyBorder="1" applyAlignment="1" applyProtection="1">
      <alignment horizontal="center" vertical="center" wrapText="1"/>
    </xf>
    <xf numFmtId="7" fontId="24" fillId="7" borderId="6" xfId="1" applyNumberFormat="1" applyFont="1" applyFill="1" applyBorder="1" applyAlignment="1" applyProtection="1">
      <alignment horizontal="center" vertical="center" wrapText="1"/>
    </xf>
    <xf numFmtId="0" fontId="31" fillId="7" borderId="48" xfId="0" applyFont="1" applyFill="1" applyBorder="1" applyAlignment="1" applyProtection="1">
      <alignment horizontal="left" vertical="center" wrapText="1"/>
    </xf>
    <xf numFmtId="0" fontId="31" fillId="7" borderId="50" xfId="0" applyFont="1" applyFill="1" applyBorder="1" applyAlignment="1" applyProtection="1">
      <alignment horizontal="left" vertical="center" wrapText="1"/>
    </xf>
    <xf numFmtId="0" fontId="31" fillId="7" borderId="44" xfId="0" applyFont="1" applyFill="1" applyBorder="1" applyAlignment="1" applyProtection="1">
      <alignment horizontal="left" vertical="center" wrapText="1"/>
    </xf>
    <xf numFmtId="0" fontId="31" fillId="7" borderId="1" xfId="0" applyFont="1" applyFill="1" applyBorder="1" applyAlignment="1" applyProtection="1">
      <alignment horizontal="left" vertical="center" wrapText="1"/>
    </xf>
    <xf numFmtId="0" fontId="23" fillId="0" borderId="40" xfId="0" applyFont="1" applyFill="1" applyBorder="1" applyAlignment="1" applyProtection="1">
      <alignment horizontal="center" vertical="top" wrapText="1"/>
      <protection locked="0"/>
    </xf>
    <xf numFmtId="0" fontId="23" fillId="0" borderId="3" xfId="0" applyFont="1" applyFill="1" applyBorder="1" applyAlignment="1" applyProtection="1">
      <alignment horizontal="center" vertical="top" wrapText="1"/>
      <protection locked="0"/>
    </xf>
    <xf numFmtId="9" fontId="31" fillId="6" borderId="35" xfId="0" applyNumberFormat="1" applyFont="1" applyFill="1" applyBorder="1" applyAlignment="1" applyProtection="1">
      <alignment horizontal="center" vertical="top" wrapText="1"/>
    </xf>
    <xf numFmtId="9" fontId="31" fillId="6" borderId="4" xfId="0" applyNumberFormat="1" applyFont="1" applyFill="1" applyBorder="1" applyAlignment="1" applyProtection="1">
      <alignment horizontal="center" vertical="top" wrapText="1"/>
    </xf>
    <xf numFmtId="9" fontId="31" fillId="6" borderId="58" xfId="0" applyNumberFormat="1" applyFont="1" applyFill="1" applyBorder="1" applyAlignment="1" applyProtection="1">
      <alignment horizontal="center" vertical="top" wrapText="1"/>
    </xf>
    <xf numFmtId="9" fontId="31" fillId="6" borderId="31" xfId="0" applyNumberFormat="1" applyFont="1" applyFill="1" applyBorder="1" applyAlignment="1" applyProtection="1">
      <alignment horizontal="center" vertical="top" wrapText="1"/>
    </xf>
    <xf numFmtId="9" fontId="31" fillId="6" borderId="23" xfId="0" applyNumberFormat="1" applyFont="1" applyFill="1" applyBorder="1" applyAlignment="1" applyProtection="1">
      <alignment horizontal="center" vertical="top" wrapText="1"/>
    </xf>
    <xf numFmtId="9" fontId="31" fillId="6" borderId="32" xfId="0" applyNumberFormat="1" applyFont="1" applyFill="1" applyBorder="1" applyAlignment="1" applyProtection="1">
      <alignment horizontal="center" vertical="top" wrapText="1"/>
    </xf>
    <xf numFmtId="0" fontId="23" fillId="0" borderId="54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 wrapText="1"/>
    </xf>
    <xf numFmtId="0" fontId="23" fillId="0" borderId="59" xfId="0" applyFont="1" applyBorder="1" applyAlignment="1" applyProtection="1">
      <alignment horizontal="center" vertical="center" wrapText="1"/>
    </xf>
    <xf numFmtId="0" fontId="23" fillId="0" borderId="37" xfId="0" applyFont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center" vertical="center" wrapText="1"/>
    </xf>
    <xf numFmtId="0" fontId="23" fillId="0" borderId="63" xfId="0" applyFont="1" applyBorder="1" applyAlignment="1" applyProtection="1">
      <alignment horizontal="center" vertical="center" wrapText="1"/>
    </xf>
    <xf numFmtId="0" fontId="37" fillId="14" borderId="34" xfId="0" applyFont="1" applyFill="1" applyBorder="1" applyAlignment="1" applyProtection="1">
      <alignment horizontal="center" vertical="top" wrapText="1"/>
    </xf>
    <xf numFmtId="0" fontId="37" fillId="14" borderId="30" xfId="0" applyFont="1" applyFill="1" applyBorder="1" applyAlignment="1" applyProtection="1">
      <alignment horizontal="center" vertical="top" wrapText="1"/>
    </xf>
    <xf numFmtId="0" fontId="37" fillId="14" borderId="60" xfId="0" applyFont="1" applyFill="1" applyBorder="1" applyAlignment="1" applyProtection="1">
      <alignment horizontal="center" vertical="top" wrapText="1"/>
    </xf>
    <xf numFmtId="0" fontId="22" fillId="0" borderId="38" xfId="0" applyFont="1" applyBorder="1" applyAlignment="1" applyProtection="1">
      <alignment horizontal="center" vertical="center" textRotation="90" wrapText="1"/>
      <protection locked="0"/>
    </xf>
    <xf numFmtId="0" fontId="22" fillId="0" borderId="3" xfId="0" applyFont="1" applyBorder="1" applyAlignment="1" applyProtection="1">
      <alignment horizontal="center" vertical="center" textRotation="90" wrapText="1"/>
      <protection locked="0"/>
    </xf>
    <xf numFmtId="0" fontId="31" fillId="7" borderId="35" xfId="0" applyFont="1" applyFill="1" applyBorder="1" applyAlignment="1" applyProtection="1">
      <alignment horizontal="right" vertical="top"/>
      <protection locked="0"/>
    </xf>
    <xf numFmtId="0" fontId="31" fillId="7" borderId="4" xfId="0" applyFont="1" applyFill="1" applyBorder="1" applyAlignment="1" applyProtection="1">
      <alignment horizontal="right" vertical="top"/>
      <protection locked="0"/>
    </xf>
    <xf numFmtId="0" fontId="22" fillId="0" borderId="54" xfId="0" applyFont="1" applyFill="1" applyBorder="1" applyAlignment="1" applyProtection="1">
      <alignment horizontal="left" vertical="top" wrapText="1"/>
      <protection locked="0"/>
    </xf>
    <xf numFmtId="0" fontId="22" fillId="0" borderId="26" xfId="0" applyFont="1" applyFill="1" applyBorder="1" applyAlignment="1" applyProtection="1">
      <alignment horizontal="left" vertical="top" wrapText="1"/>
      <protection locked="0"/>
    </xf>
    <xf numFmtId="0" fontId="22" fillId="0" borderId="56" xfId="0" applyFont="1" applyFill="1" applyBorder="1" applyAlignment="1" applyProtection="1">
      <alignment horizontal="left" vertical="top" wrapText="1"/>
      <protection locked="0"/>
    </xf>
    <xf numFmtId="0" fontId="37" fillId="15" borderId="0" xfId="0" applyFont="1" applyFill="1" applyBorder="1" applyAlignment="1" applyProtection="1">
      <alignment horizontal="left" vertical="top"/>
      <protection locked="0"/>
    </xf>
    <xf numFmtId="0" fontId="41" fillId="7" borderId="1" xfId="0" applyFont="1" applyFill="1" applyBorder="1" applyAlignment="1" applyProtection="1">
      <alignment horizontal="left" vertical="top"/>
      <protection locked="0"/>
    </xf>
    <xf numFmtId="2" fontId="27" fillId="6" borderId="10" xfId="0" applyNumberFormat="1" applyFont="1" applyFill="1" applyBorder="1" applyAlignment="1" applyProtection="1">
      <alignment horizontal="center" vertical="top" wrapText="1"/>
    </xf>
    <xf numFmtId="2" fontId="27" fillId="6" borderId="12" xfId="0" applyNumberFormat="1" applyFont="1" applyFill="1" applyBorder="1" applyAlignment="1" applyProtection="1">
      <alignment horizontal="center" vertical="top" wrapText="1"/>
    </xf>
    <xf numFmtId="0" fontId="31" fillId="0" borderId="34" xfId="0" applyFont="1" applyFill="1" applyBorder="1" applyAlignment="1" applyProtection="1">
      <alignment horizontal="center" vertical="top"/>
    </xf>
    <xf numFmtId="0" fontId="31" fillId="0" borderId="30" xfId="0" applyFont="1" applyFill="1" applyBorder="1" applyAlignment="1" applyProtection="1">
      <alignment horizontal="center" vertical="top"/>
    </xf>
    <xf numFmtId="0" fontId="25" fillId="0" borderId="34" xfId="0" applyFont="1" applyFill="1" applyBorder="1" applyAlignment="1" applyProtection="1">
      <alignment horizontal="center" vertical="top"/>
      <protection locked="0"/>
    </xf>
    <xf numFmtId="0" fontId="25" fillId="0" borderId="84" xfId="0" applyFont="1" applyFill="1" applyBorder="1" applyAlignment="1" applyProtection="1">
      <alignment horizontal="center" vertical="top"/>
      <protection locked="0"/>
    </xf>
    <xf numFmtId="0" fontId="23" fillId="18" borderId="54" xfId="0" applyFont="1" applyFill="1" applyBorder="1" applyAlignment="1" applyProtection="1">
      <alignment horizontal="center" vertical="center" wrapText="1"/>
    </xf>
    <xf numFmtId="0" fontId="23" fillId="18" borderId="56" xfId="0" applyFont="1" applyFill="1" applyBorder="1" applyAlignment="1" applyProtection="1">
      <alignment horizontal="center" vertical="center" wrapText="1"/>
    </xf>
    <xf numFmtId="0" fontId="23" fillId="18" borderId="59" xfId="0" applyFont="1" applyFill="1" applyBorder="1" applyAlignment="1" applyProtection="1">
      <alignment horizontal="center" vertical="center" wrapText="1"/>
    </xf>
    <xf numFmtId="0" fontId="23" fillId="18" borderId="37" xfId="0" applyFont="1" applyFill="1" applyBorder="1" applyAlignment="1" applyProtection="1">
      <alignment horizontal="center" vertical="center" wrapText="1"/>
    </xf>
    <xf numFmtId="0" fontId="23" fillId="18" borderId="15" xfId="0" applyFont="1" applyFill="1" applyBorder="1" applyAlignment="1" applyProtection="1">
      <alignment horizontal="center" vertical="center" wrapText="1"/>
    </xf>
    <xf numFmtId="0" fontId="23" fillId="18" borderId="63" xfId="0" applyFont="1" applyFill="1" applyBorder="1" applyAlignment="1" applyProtection="1">
      <alignment horizontal="center" vertical="center" wrapText="1"/>
    </xf>
    <xf numFmtId="0" fontId="40" fillId="0" borderId="40" xfId="0" applyFont="1" applyBorder="1" applyAlignment="1" applyProtection="1">
      <alignment horizontal="center" vertical="center" textRotation="90" wrapText="1"/>
      <protection locked="0"/>
    </xf>
    <xf numFmtId="0" fontId="40" fillId="0" borderId="3" xfId="0" applyFont="1" applyBorder="1" applyAlignment="1" applyProtection="1">
      <alignment horizontal="center" vertical="center" textRotation="90" wrapText="1"/>
      <protection locked="0"/>
    </xf>
    <xf numFmtId="0" fontId="37" fillId="15" borderId="34" xfId="0" applyFont="1" applyFill="1" applyBorder="1" applyAlignment="1" applyProtection="1">
      <alignment horizontal="left" vertical="top"/>
      <protection locked="0"/>
    </xf>
    <xf numFmtId="0" fontId="37" fillId="15" borderId="30" xfId="0" applyFont="1" applyFill="1" applyBorder="1" applyAlignment="1" applyProtection="1">
      <alignment horizontal="left" vertical="top"/>
      <protection locked="0"/>
    </xf>
    <xf numFmtId="0" fontId="37" fillId="15" borderId="60" xfId="0" applyFont="1" applyFill="1" applyBorder="1" applyAlignment="1" applyProtection="1">
      <alignment horizontal="left" vertical="top"/>
      <protection locked="0"/>
    </xf>
    <xf numFmtId="9" fontId="31" fillId="6" borderId="10" xfId="0" applyNumberFormat="1" applyFont="1" applyFill="1" applyBorder="1" applyAlignment="1" applyProtection="1">
      <alignment horizontal="center" vertical="top" wrapText="1"/>
    </xf>
    <xf numFmtId="9" fontId="31" fillId="6" borderId="12" xfId="0" applyNumberFormat="1" applyFont="1" applyFill="1" applyBorder="1" applyAlignment="1" applyProtection="1">
      <alignment horizontal="center" vertical="top" wrapText="1"/>
    </xf>
    <xf numFmtId="164" fontId="36" fillId="15" borderId="10" xfId="0" applyNumberFormat="1" applyFont="1" applyFill="1" applyBorder="1" applyAlignment="1" applyProtection="1">
      <alignment horizontal="center" vertical="top" textRotation="90" wrapText="1"/>
    </xf>
    <xf numFmtId="164" fontId="36" fillId="15" borderId="22" xfId="0" applyNumberFormat="1" applyFont="1" applyFill="1" applyBorder="1" applyAlignment="1" applyProtection="1">
      <alignment horizontal="center" vertical="top" textRotation="90" wrapText="1"/>
    </xf>
    <xf numFmtId="164" fontId="31" fillId="0" borderId="83" xfId="0" applyNumberFormat="1" applyFont="1" applyFill="1" applyBorder="1" applyAlignment="1" applyProtection="1">
      <alignment horizontal="center" vertical="top" wrapText="1"/>
    </xf>
    <xf numFmtId="164" fontId="31" fillId="0" borderId="12" xfId="0" applyNumberFormat="1" applyFont="1" applyFill="1" applyBorder="1" applyAlignment="1" applyProtection="1">
      <alignment horizontal="center" vertical="top" wrapText="1"/>
    </xf>
    <xf numFmtId="0" fontId="39" fillId="14" borderId="34" xfId="0" applyFont="1" applyFill="1" applyBorder="1" applyAlignment="1" applyProtection="1">
      <alignment horizontal="center" vertical="top" wrapText="1"/>
    </xf>
    <xf numFmtId="0" fontId="39" fillId="14" borderId="30" xfId="0" applyFont="1" applyFill="1" applyBorder="1" applyAlignment="1" applyProtection="1">
      <alignment horizontal="center" vertical="top" wrapText="1"/>
    </xf>
    <xf numFmtId="0" fontId="39" fillId="14" borderId="60" xfId="0" applyFont="1" applyFill="1" applyBorder="1" applyAlignment="1" applyProtection="1">
      <alignment horizontal="center" vertical="top" wrapText="1"/>
    </xf>
    <xf numFmtId="0" fontId="31" fillId="13" borderId="7" xfId="0" applyFont="1" applyFill="1" applyBorder="1" applyAlignment="1" applyProtection="1">
      <alignment horizontal="left" vertical="top" wrapText="1"/>
      <protection locked="0"/>
    </xf>
    <xf numFmtId="0" fontId="31" fillId="13" borderId="13" xfId="0" applyFont="1" applyFill="1" applyBorder="1" applyAlignment="1" applyProtection="1">
      <alignment horizontal="left" vertical="top" wrapText="1"/>
      <protection locked="0"/>
    </xf>
    <xf numFmtId="0" fontId="31" fillId="13" borderId="31" xfId="0" applyFont="1" applyFill="1" applyBorder="1" applyAlignment="1" applyProtection="1">
      <alignment horizontal="left" vertical="top" wrapText="1"/>
      <protection locked="0"/>
    </xf>
    <xf numFmtId="0" fontId="31" fillId="13" borderId="32" xfId="0" applyFont="1" applyFill="1" applyBorder="1" applyAlignment="1" applyProtection="1">
      <alignment horizontal="left" vertical="top" wrapText="1"/>
      <protection locked="0"/>
    </xf>
    <xf numFmtId="0" fontId="49" fillId="7" borderId="53" xfId="0" applyFont="1" applyFill="1" applyBorder="1" applyAlignment="1" applyProtection="1">
      <alignment horizontal="right" vertical="top"/>
      <protection locked="0"/>
    </xf>
    <xf numFmtId="0" fontId="49" fillId="7" borderId="40" xfId="0" applyFont="1" applyFill="1" applyBorder="1" applyAlignment="1" applyProtection="1">
      <alignment horizontal="right" vertical="top"/>
      <protection locked="0"/>
    </xf>
    <xf numFmtId="0" fontId="31" fillId="7" borderId="19" xfId="0" applyFont="1" applyFill="1" applyBorder="1" applyAlignment="1" applyProtection="1">
      <alignment horizontal="right" vertical="top"/>
      <protection locked="0"/>
    </xf>
    <xf numFmtId="0" fontId="31" fillId="7" borderId="80" xfId="0" applyFont="1" applyFill="1" applyBorder="1" applyAlignment="1" applyProtection="1">
      <alignment horizontal="right" vertical="top"/>
      <protection locked="0"/>
    </xf>
    <xf numFmtId="0" fontId="31" fillId="7" borderId="81" xfId="0" applyFont="1" applyFill="1" applyBorder="1" applyAlignment="1" applyProtection="1">
      <alignment horizontal="left" vertical="top"/>
      <protection locked="0"/>
    </xf>
    <xf numFmtId="0" fontId="39" fillId="16" borderId="35" xfId="0" applyFont="1" applyFill="1" applyBorder="1" applyAlignment="1" applyProtection="1">
      <alignment horizontal="center" vertical="top"/>
    </xf>
    <xf numFmtId="0" fontId="39" fillId="16" borderId="4" xfId="0" applyFont="1" applyFill="1" applyBorder="1" applyAlignment="1" applyProtection="1">
      <alignment horizontal="center" vertical="top"/>
    </xf>
    <xf numFmtId="0" fontId="39" fillId="16" borderId="58" xfId="0" applyFont="1" applyFill="1" applyBorder="1" applyAlignment="1" applyProtection="1">
      <alignment horizontal="center" vertical="top"/>
    </xf>
    <xf numFmtId="0" fontId="39" fillId="14" borderId="34" xfId="0" applyFont="1" applyFill="1" applyBorder="1" applyAlignment="1" applyProtection="1">
      <alignment horizontal="center" vertical="top"/>
    </xf>
    <xf numFmtId="0" fontId="39" fillId="14" borderId="30" xfId="0" applyFont="1" applyFill="1" applyBorder="1" applyAlignment="1" applyProtection="1">
      <alignment horizontal="center" vertical="top"/>
    </xf>
    <xf numFmtId="0" fontId="39" fillId="14" borderId="60" xfId="0" applyFont="1" applyFill="1" applyBorder="1" applyAlignment="1" applyProtection="1">
      <alignment horizontal="center" vertical="top"/>
    </xf>
    <xf numFmtId="0" fontId="31" fillId="7" borderId="79" xfId="0" applyFont="1" applyFill="1" applyBorder="1" applyAlignment="1" applyProtection="1">
      <alignment horizontal="right" vertical="top"/>
      <protection locked="0"/>
    </xf>
    <xf numFmtId="0" fontId="31" fillId="12" borderId="7" xfId="0" applyFont="1" applyFill="1" applyBorder="1" applyAlignment="1" applyProtection="1">
      <alignment horizontal="left" vertical="top"/>
      <protection locked="0"/>
    </xf>
    <xf numFmtId="0" fontId="31" fillId="12" borderId="0" xfId="0" applyFont="1" applyFill="1" applyBorder="1" applyAlignment="1" applyProtection="1">
      <alignment horizontal="left" vertical="top"/>
      <protection locked="0"/>
    </xf>
    <xf numFmtId="0" fontId="31" fillId="12" borderId="13" xfId="0" applyFont="1" applyFill="1" applyBorder="1" applyAlignment="1" applyProtection="1">
      <alignment horizontal="left" vertical="top"/>
      <protection locked="0"/>
    </xf>
    <xf numFmtId="0" fontId="49" fillId="7" borderId="44" xfId="0" applyFont="1" applyFill="1" applyBorder="1" applyAlignment="1" applyProtection="1">
      <alignment horizontal="right" vertical="top"/>
      <protection locked="0"/>
    </xf>
    <xf numFmtId="0" fontId="49" fillId="7" borderId="1" xfId="0" applyFont="1" applyFill="1" applyBorder="1" applyAlignment="1" applyProtection="1">
      <alignment horizontal="right" vertical="top"/>
      <protection locked="0"/>
    </xf>
    <xf numFmtId="9" fontId="25" fillId="9" borderId="16" xfId="4" applyFont="1" applyFill="1" applyBorder="1" applyAlignment="1" applyProtection="1">
      <alignment horizontal="left" vertical="top"/>
      <protection locked="0"/>
    </xf>
    <xf numFmtId="9" fontId="25" fillId="9" borderId="47" xfId="4" applyFont="1" applyFill="1" applyBorder="1" applyAlignment="1" applyProtection="1">
      <alignment horizontal="left" vertical="top"/>
      <protection locked="0"/>
    </xf>
    <xf numFmtId="0" fontId="31" fillId="7" borderId="21" xfId="0" applyFont="1" applyFill="1" applyBorder="1" applyAlignment="1" applyProtection="1">
      <alignment horizontal="left" vertical="top"/>
      <protection locked="0"/>
    </xf>
    <xf numFmtId="0" fontId="31" fillId="9" borderId="19" xfId="0" applyFont="1" applyFill="1" applyBorder="1" applyAlignment="1" applyProtection="1">
      <alignment horizontal="left" vertical="top"/>
      <protection locked="0"/>
    </xf>
    <xf numFmtId="0" fontId="31" fillId="9" borderId="55" xfId="0" applyFont="1" applyFill="1" applyBorder="1" applyAlignment="1" applyProtection="1">
      <alignment horizontal="left" vertical="top"/>
      <protection locked="0"/>
    </xf>
    <xf numFmtId="0" fontId="31" fillId="9" borderId="21" xfId="0" applyFont="1" applyFill="1" applyBorder="1" applyAlignment="1" applyProtection="1">
      <alignment horizontal="left" vertical="top"/>
      <protection locked="0"/>
    </xf>
    <xf numFmtId="0" fontId="31" fillId="9" borderId="65" xfId="0" applyFont="1" applyFill="1" applyBorder="1" applyAlignment="1" applyProtection="1">
      <alignment horizontal="left" vertical="top"/>
      <protection locked="0"/>
    </xf>
    <xf numFmtId="0" fontId="31" fillId="7" borderId="26" xfId="0" applyFont="1" applyFill="1" applyBorder="1" applyAlignment="1" applyProtection="1">
      <alignment horizontal="right" vertical="top"/>
      <protection locked="0"/>
    </xf>
    <xf numFmtId="0" fontId="37" fillId="16" borderId="34" xfId="0" applyFont="1" applyFill="1" applyBorder="1" applyAlignment="1" applyProtection="1">
      <alignment horizontal="left" vertical="top"/>
      <protection locked="0"/>
    </xf>
    <xf numFmtId="0" fontId="37" fillId="16" borderId="30" xfId="0" applyFont="1" applyFill="1" applyBorder="1" applyAlignment="1" applyProtection="1">
      <alignment horizontal="left" vertical="top"/>
      <protection locked="0"/>
    </xf>
    <xf numFmtId="0" fontId="37" fillId="16" borderId="60" xfId="0" applyFont="1" applyFill="1" applyBorder="1" applyAlignment="1" applyProtection="1">
      <alignment horizontal="left" vertical="top"/>
      <protection locked="0"/>
    </xf>
    <xf numFmtId="0" fontId="31" fillId="9" borderId="20" xfId="0" applyFont="1" applyFill="1" applyBorder="1" applyAlignment="1" applyProtection="1">
      <alignment horizontal="left" vertical="top"/>
      <protection locked="0"/>
    </xf>
    <xf numFmtId="0" fontId="31" fillId="9" borderId="78" xfId="0" applyFont="1" applyFill="1" applyBorder="1" applyAlignment="1" applyProtection="1">
      <alignment horizontal="left" vertical="top"/>
      <protection locked="0"/>
    </xf>
    <xf numFmtId="0" fontId="44" fillId="0" borderId="30" xfId="0" applyFont="1" applyFill="1" applyBorder="1" applyAlignment="1" applyProtection="1">
      <alignment horizontal="left" vertical="top"/>
      <protection locked="0"/>
    </xf>
    <xf numFmtId="0" fontId="24" fillId="6" borderId="34" xfId="0" applyFont="1" applyFill="1" applyBorder="1" applyAlignment="1" applyProtection="1">
      <alignment horizontal="left" vertical="top"/>
      <protection locked="0"/>
    </xf>
    <xf numFmtId="0" fontId="24" fillId="6" borderId="30" xfId="0" applyFont="1" applyFill="1" applyBorder="1" applyAlignment="1" applyProtection="1">
      <alignment horizontal="left" vertical="top"/>
      <protection locked="0"/>
    </xf>
    <xf numFmtId="0" fontId="24" fillId="6" borderId="60" xfId="0" applyFont="1" applyFill="1" applyBorder="1" applyAlignment="1" applyProtection="1">
      <alignment horizontal="left" vertical="top"/>
      <protection locked="0"/>
    </xf>
    <xf numFmtId="0" fontId="31" fillId="7" borderId="27" xfId="0" applyFont="1" applyFill="1" applyBorder="1" applyAlignment="1" applyProtection="1">
      <alignment horizontal="left" vertical="top"/>
      <protection locked="0"/>
    </xf>
    <xf numFmtId="0" fontId="31" fillId="9" borderId="35" xfId="0" applyFont="1" applyFill="1" applyBorder="1" applyAlignment="1" applyProtection="1">
      <alignment horizontal="left" vertical="top"/>
      <protection locked="0"/>
    </xf>
    <xf numFmtId="0" fontId="31" fillId="9" borderId="4" xfId="0" applyFont="1" applyFill="1" applyBorder="1" applyAlignment="1" applyProtection="1">
      <alignment horizontal="left" vertical="top"/>
      <protection locked="0"/>
    </xf>
    <xf numFmtId="0" fontId="31" fillId="9" borderId="58" xfId="0" applyFont="1" applyFill="1" applyBorder="1" applyAlignment="1" applyProtection="1">
      <alignment horizontal="left" vertical="top"/>
      <protection locked="0"/>
    </xf>
    <xf numFmtId="14" fontId="25" fillId="9" borderId="47" xfId="0" applyNumberFormat="1" applyFont="1" applyFill="1" applyBorder="1" applyAlignment="1" applyProtection="1">
      <alignment horizontal="left" vertical="top"/>
      <protection locked="0"/>
    </xf>
    <xf numFmtId="0" fontId="31" fillId="10" borderId="7" xfId="0" applyFont="1" applyFill="1" applyBorder="1" applyAlignment="1" applyProtection="1">
      <alignment horizontal="left" vertical="top"/>
      <protection locked="0"/>
    </xf>
    <xf numFmtId="0" fontId="31" fillId="10" borderId="0" xfId="0" applyFont="1" applyFill="1" applyBorder="1" applyAlignment="1" applyProtection="1">
      <alignment horizontal="left" vertical="top"/>
      <protection locked="0"/>
    </xf>
    <xf numFmtId="0" fontId="31" fillId="10" borderId="13" xfId="0" applyFont="1" applyFill="1" applyBorder="1" applyAlignment="1" applyProtection="1">
      <alignment horizontal="left" vertical="top"/>
      <protection locked="0"/>
    </xf>
    <xf numFmtId="0" fontId="31" fillId="8" borderId="7" xfId="0" applyFont="1" applyFill="1" applyBorder="1" applyAlignment="1" applyProtection="1">
      <alignment horizontal="left" vertical="top"/>
      <protection locked="0"/>
    </xf>
    <xf numFmtId="0" fontId="31" fillId="8" borderId="0" xfId="0" applyFont="1" applyFill="1" applyBorder="1" applyAlignment="1" applyProtection="1">
      <alignment horizontal="left" vertical="top"/>
      <protection locked="0"/>
    </xf>
    <xf numFmtId="0" fontId="31" fillId="8" borderId="13" xfId="0" applyFont="1" applyFill="1" applyBorder="1" applyAlignment="1" applyProtection="1">
      <alignment horizontal="left" vertical="top"/>
      <protection locked="0"/>
    </xf>
    <xf numFmtId="0" fontId="44" fillId="0" borderId="34" xfId="3" applyFont="1" applyBorder="1" applyAlignment="1" applyProtection="1">
      <alignment horizontal="center" vertical="top" wrapText="1"/>
      <protection locked="0"/>
    </xf>
    <xf numFmtId="0" fontId="5" fillId="0" borderId="30" xfId="3" applyBorder="1" applyAlignment="1">
      <alignment horizontal="center" vertical="top" wrapText="1"/>
    </xf>
    <xf numFmtId="0" fontId="5" fillId="0" borderId="60" xfId="3" applyBorder="1" applyAlignment="1">
      <alignment horizontal="center" vertical="top" wrapText="1"/>
    </xf>
    <xf numFmtId="0" fontId="24" fillId="6" borderId="34" xfId="3" applyFont="1" applyFill="1" applyBorder="1" applyAlignment="1" applyProtection="1">
      <alignment horizontal="center" vertical="top"/>
      <protection locked="0"/>
    </xf>
    <xf numFmtId="0" fontId="24" fillId="6" borderId="30" xfId="3" applyFont="1" applyFill="1" applyBorder="1" applyAlignment="1" applyProtection="1">
      <alignment horizontal="center" vertical="top"/>
      <protection locked="0"/>
    </xf>
    <xf numFmtId="0" fontId="24" fillId="6" borderId="4" xfId="3" applyFont="1" applyFill="1" applyBorder="1" applyAlignment="1" applyProtection="1">
      <alignment horizontal="center" vertical="top"/>
      <protection locked="0"/>
    </xf>
    <xf numFmtId="0" fontId="24" fillId="6" borderId="58" xfId="3" applyFont="1" applyFill="1" applyBorder="1" applyAlignment="1" applyProtection="1">
      <alignment horizontal="center" vertical="top"/>
      <protection locked="0"/>
    </xf>
    <xf numFmtId="0" fontId="31" fillId="7" borderId="67" xfId="3" applyFont="1" applyFill="1" applyBorder="1" applyAlignment="1" applyProtection="1">
      <alignment horizontal="left" vertical="top"/>
      <protection locked="0"/>
    </xf>
    <xf numFmtId="0" fontId="31" fillId="7" borderId="2" xfId="3" applyFont="1" applyFill="1" applyBorder="1" applyAlignment="1" applyProtection="1">
      <alignment horizontal="left" vertical="top"/>
      <protection locked="0"/>
    </xf>
    <xf numFmtId="0" fontId="25" fillId="7" borderId="43" xfId="3" applyFont="1" applyFill="1" applyBorder="1" applyAlignment="1">
      <alignment horizontal="left" vertical="top"/>
    </xf>
    <xf numFmtId="0" fontId="25" fillId="7" borderId="64" xfId="3" applyFont="1" applyFill="1" applyBorder="1" applyAlignment="1">
      <alignment horizontal="left" vertical="top"/>
    </xf>
    <xf numFmtId="0" fontId="31" fillId="7" borderId="81" xfId="3" applyFont="1" applyFill="1" applyBorder="1" applyAlignment="1" applyProtection="1">
      <alignment horizontal="left" vertical="top"/>
      <protection locked="0"/>
    </xf>
    <xf numFmtId="0" fontId="31" fillId="7" borderId="65" xfId="3" applyFont="1" applyFill="1" applyBorder="1" applyAlignment="1" applyProtection="1">
      <alignment horizontal="left" vertical="top"/>
      <protection locked="0"/>
    </xf>
    <xf numFmtId="0" fontId="31" fillId="7" borderId="44" xfId="3" applyFont="1" applyFill="1" applyBorder="1" applyAlignment="1" applyProtection="1">
      <alignment horizontal="left" vertical="top"/>
      <protection locked="0"/>
    </xf>
    <xf numFmtId="0" fontId="31" fillId="7" borderId="1" xfId="3" applyFont="1" applyFill="1" applyBorder="1" applyAlignment="1" applyProtection="1">
      <alignment horizontal="left" vertical="top"/>
      <protection locked="0"/>
    </xf>
    <xf numFmtId="0" fontId="31" fillId="7" borderId="80" xfId="3" applyFont="1" applyFill="1" applyBorder="1" applyAlignment="1" applyProtection="1">
      <alignment horizontal="right" vertical="top"/>
      <protection locked="0"/>
    </xf>
    <xf numFmtId="0" fontId="31" fillId="7" borderId="55" xfId="3" applyFont="1" applyFill="1" applyBorder="1" applyAlignment="1" applyProtection="1">
      <alignment horizontal="right" vertical="top"/>
      <protection locked="0"/>
    </xf>
    <xf numFmtId="0" fontId="31" fillId="7" borderId="1" xfId="3" applyFont="1" applyFill="1" applyBorder="1" applyAlignment="1" applyProtection="1">
      <alignment horizontal="right" vertical="top"/>
      <protection locked="0"/>
    </xf>
    <xf numFmtId="0" fontId="49" fillId="7" borderId="44" xfId="3" applyFont="1" applyFill="1" applyBorder="1" applyAlignment="1" applyProtection="1">
      <alignment horizontal="right" vertical="top"/>
      <protection locked="0"/>
    </xf>
    <xf numFmtId="0" fontId="49" fillId="7" borderId="1" xfId="3" applyFont="1" applyFill="1" applyBorder="1" applyAlignment="1" applyProtection="1">
      <alignment horizontal="right" vertical="top"/>
      <protection locked="0"/>
    </xf>
    <xf numFmtId="9" fontId="25" fillId="9" borderId="16" xfId="5" applyFont="1" applyFill="1" applyBorder="1" applyAlignment="1" applyProtection="1">
      <alignment horizontal="left" vertical="top"/>
      <protection locked="0"/>
    </xf>
    <xf numFmtId="9" fontId="25" fillId="9" borderId="47" xfId="5" applyFont="1" applyFill="1" applyBorder="1" applyAlignment="1" applyProtection="1">
      <alignment horizontal="left" vertical="top"/>
      <protection locked="0"/>
    </xf>
    <xf numFmtId="0" fontId="31" fillId="7" borderId="80" xfId="3" applyFont="1" applyFill="1" applyBorder="1" applyAlignment="1" applyProtection="1">
      <alignment horizontal="left" vertical="top"/>
      <protection locked="0"/>
    </xf>
    <xf numFmtId="0" fontId="31" fillId="7" borderId="55" xfId="3" applyFont="1" applyFill="1" applyBorder="1" applyAlignment="1" applyProtection="1">
      <alignment horizontal="left" vertical="top"/>
      <protection locked="0"/>
    </xf>
    <xf numFmtId="0" fontId="31" fillId="9" borderId="19" xfId="3" applyFont="1" applyFill="1" applyBorder="1" applyAlignment="1" applyProtection="1">
      <alignment horizontal="left" vertical="top"/>
      <protection locked="0"/>
    </xf>
    <xf numFmtId="0" fontId="31" fillId="9" borderId="55" xfId="3" applyFont="1" applyFill="1" applyBorder="1" applyAlignment="1" applyProtection="1">
      <alignment horizontal="left" vertical="top"/>
      <protection locked="0"/>
    </xf>
    <xf numFmtId="0" fontId="31" fillId="7" borderId="19" xfId="3" applyFont="1" applyFill="1" applyBorder="1" applyAlignment="1" applyProtection="1">
      <alignment horizontal="left" vertical="top"/>
      <protection locked="0"/>
    </xf>
    <xf numFmtId="0" fontId="31" fillId="7" borderId="53" xfId="3" applyFont="1" applyFill="1" applyBorder="1" applyAlignment="1" applyProtection="1">
      <alignment horizontal="left" vertical="top"/>
      <protection locked="0"/>
    </xf>
    <xf numFmtId="0" fontId="31" fillId="7" borderId="40" xfId="3" applyFont="1" applyFill="1" applyBorder="1" applyAlignment="1" applyProtection="1">
      <alignment horizontal="left" vertical="top"/>
      <protection locked="0"/>
    </xf>
    <xf numFmtId="0" fontId="31" fillId="7" borderId="46" xfId="3" applyFont="1" applyFill="1" applyBorder="1" applyAlignment="1" applyProtection="1">
      <alignment horizontal="right" vertical="top"/>
      <protection locked="0"/>
    </xf>
    <xf numFmtId="0" fontId="31" fillId="7" borderId="56" xfId="3" applyFont="1" applyFill="1" applyBorder="1" applyAlignment="1" applyProtection="1">
      <alignment horizontal="right" vertical="top"/>
      <protection locked="0"/>
    </xf>
    <xf numFmtId="0" fontId="31" fillId="7" borderId="40" xfId="3" applyFont="1" applyFill="1" applyBorder="1" applyAlignment="1" applyProtection="1">
      <alignment horizontal="right" vertical="top"/>
      <protection locked="0"/>
    </xf>
    <xf numFmtId="0" fontId="39" fillId="14" borderId="35" xfId="3" applyFont="1" applyFill="1" applyBorder="1" applyAlignment="1">
      <alignment horizontal="center" vertical="top" wrapText="1"/>
    </xf>
    <xf numFmtId="0" fontId="39" fillId="14" borderId="4" xfId="3" applyFont="1" applyFill="1" applyBorder="1" applyAlignment="1">
      <alignment horizontal="center" vertical="top" wrapText="1"/>
    </xf>
    <xf numFmtId="0" fontId="39" fillId="14" borderId="58" xfId="3" applyFont="1" applyFill="1" applyBorder="1" applyAlignment="1">
      <alignment horizontal="center" vertical="top" wrapText="1"/>
    </xf>
    <xf numFmtId="0" fontId="39" fillId="14" borderId="35" xfId="3" applyFont="1" applyFill="1" applyBorder="1" applyAlignment="1">
      <alignment horizontal="center" vertical="top"/>
    </xf>
    <xf numFmtId="0" fontId="39" fillId="14" borderId="4" xfId="3" applyFont="1" applyFill="1" applyBorder="1" applyAlignment="1">
      <alignment horizontal="center" vertical="top"/>
    </xf>
    <xf numFmtId="0" fontId="39" fillId="14" borderId="58" xfId="3" applyFont="1" applyFill="1" applyBorder="1" applyAlignment="1">
      <alignment horizontal="center" vertical="top"/>
    </xf>
    <xf numFmtId="0" fontId="49" fillId="7" borderId="53" xfId="3" applyFont="1" applyFill="1" applyBorder="1" applyAlignment="1" applyProtection="1">
      <alignment horizontal="right" vertical="top"/>
      <protection locked="0"/>
    </xf>
    <xf numFmtId="0" fontId="49" fillId="7" borderId="40" xfId="3" applyFont="1" applyFill="1" applyBorder="1" applyAlignment="1" applyProtection="1">
      <alignment horizontal="right" vertical="top"/>
      <protection locked="0"/>
    </xf>
    <xf numFmtId="9" fontId="25" fillId="7" borderId="54" xfId="3" applyNumberFormat="1" applyFont="1" applyFill="1" applyBorder="1" applyAlignment="1">
      <alignment horizontal="left" vertical="top" wrapText="1"/>
    </xf>
    <xf numFmtId="9" fontId="25" fillId="7" borderId="52" xfId="3" applyNumberFormat="1" applyFont="1" applyFill="1" applyBorder="1" applyAlignment="1">
      <alignment horizontal="left" vertical="top" wrapText="1"/>
    </xf>
    <xf numFmtId="0" fontId="31" fillId="7" borderId="19" xfId="3" applyFont="1" applyFill="1" applyBorder="1" applyAlignment="1" applyProtection="1">
      <alignment horizontal="right" vertical="top"/>
      <protection locked="0"/>
    </xf>
    <xf numFmtId="0" fontId="31" fillId="7" borderId="44" xfId="3" applyFont="1" applyFill="1" applyBorder="1" applyAlignment="1">
      <alignment horizontal="left" vertical="center" wrapText="1"/>
    </xf>
    <xf numFmtId="0" fontId="31" fillId="7" borderId="1" xfId="3" applyFont="1" applyFill="1" applyBorder="1" applyAlignment="1">
      <alignment horizontal="left" vertical="center" wrapText="1"/>
    </xf>
    <xf numFmtId="7" fontId="24" fillId="7" borderId="1" xfId="2" applyNumberFormat="1" applyFont="1" applyFill="1" applyBorder="1" applyAlignment="1" applyProtection="1">
      <alignment horizontal="center" vertical="center" wrapText="1"/>
    </xf>
    <xf numFmtId="7" fontId="24" fillId="7" borderId="6" xfId="2" applyNumberFormat="1" applyFont="1" applyFill="1" applyBorder="1" applyAlignment="1" applyProtection="1">
      <alignment horizontal="center" vertical="center" wrapText="1"/>
    </xf>
    <xf numFmtId="0" fontId="31" fillId="7" borderId="80" xfId="3" applyFont="1" applyFill="1" applyBorder="1" applyAlignment="1" applyProtection="1">
      <alignment horizontal="center" vertical="center"/>
      <protection locked="0"/>
    </xf>
    <xf numFmtId="0" fontId="31" fillId="7" borderId="55" xfId="3" applyFont="1" applyFill="1" applyBorder="1" applyAlignment="1" applyProtection="1">
      <alignment horizontal="center" vertical="center"/>
      <protection locked="0"/>
    </xf>
    <xf numFmtId="0" fontId="31" fillId="9" borderId="19" xfId="3" applyFont="1" applyFill="1" applyBorder="1" applyAlignment="1" applyProtection="1">
      <alignment horizontal="center" vertical="center"/>
      <protection locked="0"/>
    </xf>
    <xf numFmtId="0" fontId="31" fillId="9" borderId="55" xfId="3" applyFont="1" applyFill="1" applyBorder="1" applyAlignment="1" applyProtection="1">
      <alignment horizontal="center" vertical="center"/>
      <protection locked="0"/>
    </xf>
    <xf numFmtId="0" fontId="31" fillId="7" borderId="26" xfId="3" applyFont="1" applyFill="1" applyBorder="1" applyAlignment="1" applyProtection="1">
      <alignment horizontal="center" vertical="center"/>
      <protection locked="0"/>
    </xf>
    <xf numFmtId="0" fontId="31" fillId="7" borderId="48" xfId="3" applyFont="1" applyFill="1" applyBorder="1" applyAlignment="1">
      <alignment horizontal="left" vertical="center" wrapText="1"/>
    </xf>
    <xf numFmtId="0" fontId="31" fillId="7" borderId="50" xfId="3" applyFont="1" applyFill="1" applyBorder="1" applyAlignment="1">
      <alignment horizontal="left" vertical="center" wrapText="1"/>
    </xf>
    <xf numFmtId="0" fontId="24" fillId="7" borderId="50" xfId="3" applyFont="1" applyFill="1" applyBorder="1" applyAlignment="1">
      <alignment horizontal="center" vertical="center" wrapText="1"/>
    </xf>
    <xf numFmtId="0" fontId="24" fillId="7" borderId="51" xfId="3" applyFont="1" applyFill="1" applyBorder="1" applyAlignment="1">
      <alignment horizontal="center" vertical="center" wrapText="1"/>
    </xf>
    <xf numFmtId="0" fontId="31" fillId="7" borderId="79" xfId="3" applyFont="1" applyFill="1" applyBorder="1" applyAlignment="1" applyProtection="1">
      <alignment horizontal="right" vertical="top"/>
      <protection locked="0"/>
    </xf>
    <xf numFmtId="0" fontId="31" fillId="7" borderId="57" xfId="3" applyFont="1" applyFill="1" applyBorder="1" applyAlignment="1" applyProtection="1">
      <alignment horizontal="right" vertical="top"/>
      <protection locked="0"/>
    </xf>
    <xf numFmtId="0" fontId="31" fillId="9" borderId="20" xfId="3" applyFont="1" applyFill="1" applyBorder="1" applyAlignment="1" applyProtection="1">
      <alignment horizontal="left" vertical="top"/>
      <protection locked="0"/>
    </xf>
    <xf numFmtId="0" fontId="25" fillId="0" borderId="50" xfId="3" applyFont="1" applyBorder="1" applyAlignment="1" applyProtection="1">
      <alignment horizontal="center" vertical="top"/>
      <protection locked="0"/>
    </xf>
    <xf numFmtId="0" fontId="22" fillId="0" borderId="16" xfId="3" applyFont="1" applyBorder="1" applyAlignment="1" applyProtection="1">
      <alignment horizontal="left" vertical="top" wrapText="1"/>
      <protection locked="0"/>
    </xf>
    <xf numFmtId="0" fontId="22" fillId="0" borderId="19" xfId="3" applyFont="1" applyBorder="1" applyAlignment="1" applyProtection="1">
      <alignment horizontal="left" vertical="top" wrapText="1"/>
      <protection locked="0"/>
    </xf>
    <xf numFmtId="0" fontId="22" fillId="0" borderId="55" xfId="3" applyFont="1" applyBorder="1" applyAlignment="1" applyProtection="1">
      <alignment horizontal="left" vertical="top" wrapText="1"/>
      <protection locked="0"/>
    </xf>
    <xf numFmtId="9" fontId="31" fillId="6" borderId="40" xfId="3" applyNumberFormat="1" applyFont="1" applyFill="1" applyBorder="1" applyAlignment="1">
      <alignment horizontal="center" vertical="center" wrapText="1"/>
    </xf>
    <xf numFmtId="9" fontId="31" fillId="6" borderId="88" xfId="3" applyNumberFormat="1" applyFont="1" applyFill="1" applyBorder="1" applyAlignment="1">
      <alignment horizontal="center" vertical="center" wrapText="1"/>
    </xf>
    <xf numFmtId="2" fontId="27" fillId="6" borderId="40" xfId="3" applyNumberFormat="1" applyFont="1" applyFill="1" applyBorder="1" applyAlignment="1">
      <alignment horizontal="center" vertical="center" wrapText="1"/>
    </xf>
    <xf numFmtId="2" fontId="27" fillId="6" borderId="88" xfId="3" applyNumberFormat="1" applyFont="1" applyFill="1" applyBorder="1" applyAlignment="1">
      <alignment horizontal="center" vertical="center" wrapText="1"/>
    </xf>
    <xf numFmtId="0" fontId="22" fillId="0" borderId="43" xfId="3" applyFont="1" applyBorder="1" applyAlignment="1" applyProtection="1">
      <alignment horizontal="left" vertical="top" wrapText="1"/>
      <protection locked="0"/>
    </xf>
    <xf numFmtId="0" fontId="22" fillId="0" borderId="21" xfId="3" applyFont="1" applyBorder="1" applyAlignment="1" applyProtection="1">
      <alignment horizontal="left" vertical="top" wrapText="1"/>
      <protection locked="0"/>
    </xf>
    <xf numFmtId="0" fontId="22" fillId="0" borderId="65" xfId="3" applyFont="1" applyBorder="1" applyAlignment="1" applyProtection="1">
      <alignment horizontal="left" vertical="top" wrapText="1"/>
      <protection locked="0"/>
    </xf>
    <xf numFmtId="0" fontId="40" fillId="0" borderId="40" xfId="3" applyFont="1" applyBorder="1" applyAlignment="1" applyProtection="1">
      <alignment horizontal="center" vertical="center" textRotation="90" wrapText="1"/>
      <protection locked="0"/>
    </xf>
    <xf numFmtId="0" fontId="40" fillId="0" borderId="3" xfId="3" applyFont="1" applyBorder="1" applyAlignment="1" applyProtection="1">
      <alignment horizontal="center" vertical="center" textRotation="90" wrapText="1"/>
      <protection locked="0"/>
    </xf>
    <xf numFmtId="0" fontId="22" fillId="0" borderId="1" xfId="3" applyFont="1" applyBorder="1" applyAlignment="1" applyProtection="1">
      <alignment horizontal="left" vertical="top" wrapText="1"/>
      <protection locked="0"/>
    </xf>
    <xf numFmtId="0" fontId="10" fillId="0" borderId="16" xfId="3" applyFont="1" applyBorder="1" applyAlignment="1" applyProtection="1">
      <alignment vertical="center" wrapText="1"/>
      <protection locked="0"/>
    </xf>
    <xf numFmtId="0" fontId="10" fillId="0" borderId="19" xfId="3" applyFont="1" applyBorder="1" applyAlignment="1" applyProtection="1">
      <alignment vertical="center" wrapText="1"/>
      <protection locked="0"/>
    </xf>
    <xf numFmtId="0" fontId="10" fillId="0" borderId="55" xfId="3" applyFont="1" applyBorder="1" applyAlignment="1" applyProtection="1">
      <alignment vertical="center" wrapText="1"/>
      <protection locked="0"/>
    </xf>
    <xf numFmtId="0" fontId="23" fillId="18" borderId="54" xfId="3" applyFont="1" applyFill="1" applyBorder="1" applyAlignment="1">
      <alignment horizontal="center" vertical="center" wrapText="1"/>
    </xf>
    <xf numFmtId="0" fontId="23" fillId="18" borderId="56" xfId="3" applyFont="1" applyFill="1" applyBorder="1" applyAlignment="1">
      <alignment horizontal="center" vertical="center" wrapText="1"/>
    </xf>
    <xf numFmtId="0" fontId="23" fillId="18" borderId="59" xfId="3" applyFont="1" applyFill="1" applyBorder="1" applyAlignment="1">
      <alignment horizontal="center" vertical="center" wrapText="1"/>
    </xf>
    <xf numFmtId="0" fontId="23" fillId="18" borderId="37" xfId="3" applyFont="1" applyFill="1" applyBorder="1" applyAlignment="1">
      <alignment horizontal="center" vertical="center" wrapText="1"/>
    </xf>
    <xf numFmtId="0" fontId="23" fillId="18" borderId="15" xfId="3" applyFont="1" applyFill="1" applyBorder="1" applyAlignment="1">
      <alignment horizontal="center" vertical="center" wrapText="1"/>
    </xf>
    <xf numFmtId="0" fontId="23" fillId="18" borderId="63" xfId="3" applyFont="1" applyFill="1" applyBorder="1" applyAlignment="1">
      <alignment horizontal="center" vertical="center" wrapText="1"/>
    </xf>
    <xf numFmtId="0" fontId="28" fillId="0" borderId="16" xfId="3" applyFont="1" applyBorder="1" applyAlignment="1" applyProtection="1">
      <alignment horizontal="right" vertical="top" wrapText="1"/>
      <protection locked="0"/>
    </xf>
    <xf numFmtId="0" fontId="5" fillId="0" borderId="19" xfId="3" applyBorder="1"/>
    <xf numFmtId="0" fontId="5" fillId="0" borderId="55" xfId="3" applyBorder="1"/>
    <xf numFmtId="0" fontId="22" fillId="0" borderId="16" xfId="3" applyFont="1" applyBorder="1" applyAlignment="1" applyProtection="1">
      <alignment horizontal="left" vertical="top"/>
      <protection locked="0"/>
    </xf>
    <xf numFmtId="0" fontId="22" fillId="0" borderId="19" xfId="3" applyFont="1" applyBorder="1" applyAlignment="1" applyProtection="1">
      <alignment horizontal="left" vertical="top"/>
      <protection locked="0"/>
    </xf>
    <xf numFmtId="0" fontId="22" fillId="0" borderId="55" xfId="3" applyFont="1" applyBorder="1" applyAlignment="1" applyProtection="1">
      <alignment horizontal="left" vertical="top"/>
      <protection locked="0"/>
    </xf>
    <xf numFmtId="0" fontId="24" fillId="6" borderId="60" xfId="3" applyFont="1" applyFill="1" applyBorder="1" applyAlignment="1" applyProtection="1">
      <alignment horizontal="center" vertical="top"/>
      <protection locked="0"/>
    </xf>
    <xf numFmtId="0" fontId="31" fillId="7" borderId="43" xfId="3" applyFont="1" applyFill="1" applyBorder="1" applyAlignment="1" applyProtection="1">
      <alignment horizontal="left" vertical="top"/>
      <protection locked="0"/>
    </xf>
    <xf numFmtId="0" fontId="31" fillId="7" borderId="16" xfId="3" applyFont="1" applyFill="1" applyBorder="1" applyAlignment="1" applyProtection="1">
      <alignment horizontal="right" vertical="top"/>
      <protection locked="0"/>
    </xf>
    <xf numFmtId="9" fontId="25" fillId="9" borderId="15" xfId="5" applyFont="1" applyFill="1" applyBorder="1" applyAlignment="1" applyProtection="1">
      <alignment horizontal="left" vertical="top"/>
      <protection locked="0"/>
    </xf>
    <xf numFmtId="9" fontId="25" fillId="9" borderId="62" xfId="5" applyFont="1" applyFill="1" applyBorder="1" applyAlignment="1" applyProtection="1">
      <alignment horizontal="left" vertical="top"/>
      <protection locked="0"/>
    </xf>
    <xf numFmtId="0" fontId="31" fillId="7" borderId="61" xfId="3" applyFont="1" applyFill="1" applyBorder="1" applyAlignment="1" applyProtection="1">
      <alignment horizontal="left" vertical="top"/>
      <protection locked="0"/>
    </xf>
    <xf numFmtId="0" fontId="31" fillId="7" borderId="63" xfId="3" applyFont="1" applyFill="1" applyBorder="1" applyAlignment="1" applyProtection="1">
      <alignment horizontal="left" vertical="top"/>
      <protection locked="0"/>
    </xf>
    <xf numFmtId="0" fontId="31" fillId="9" borderId="27" xfId="3" applyFont="1" applyFill="1" applyBorder="1" applyAlignment="1" applyProtection="1">
      <alignment horizontal="left" vertical="top"/>
      <protection locked="0"/>
    </xf>
    <xf numFmtId="0" fontId="31" fillId="7" borderId="16" xfId="3" applyFont="1" applyFill="1" applyBorder="1" applyAlignment="1" applyProtection="1">
      <alignment horizontal="left" vertical="top"/>
      <protection locked="0"/>
    </xf>
    <xf numFmtId="0" fontId="27" fillId="6" borderId="40" xfId="3" applyFont="1" applyFill="1" applyBorder="1" applyAlignment="1">
      <alignment horizontal="center" vertical="center" wrapText="1"/>
    </xf>
    <xf numFmtId="0" fontId="5" fillId="0" borderId="88" xfId="3" applyBorder="1" applyAlignment="1">
      <alignment horizontal="center" vertical="center" wrapText="1"/>
    </xf>
    <xf numFmtId="0" fontId="31" fillId="6" borderId="56" xfId="3" applyFont="1" applyFill="1" applyBorder="1" applyAlignment="1">
      <alignment horizontal="center" vertical="center" wrapText="1"/>
    </xf>
    <xf numFmtId="0" fontId="5" fillId="0" borderId="95" xfId="3" applyBorder="1" applyAlignment="1">
      <alignment horizontal="center" vertical="center" wrapText="1"/>
    </xf>
    <xf numFmtId="9" fontId="31" fillId="6" borderId="83" xfId="3" applyNumberFormat="1" applyFont="1" applyFill="1" applyBorder="1" applyAlignment="1">
      <alignment horizontal="center" vertical="center" wrapText="1"/>
    </xf>
    <xf numFmtId="9" fontId="31" fillId="6" borderId="12" xfId="3" applyNumberFormat="1" applyFont="1" applyFill="1" applyBorder="1" applyAlignment="1">
      <alignment horizontal="center" vertical="center" wrapText="1"/>
    </xf>
    <xf numFmtId="0" fontId="31" fillId="6" borderId="83" xfId="3" applyFont="1" applyFill="1" applyBorder="1" applyAlignment="1">
      <alignment horizontal="center" vertical="center" wrapText="1"/>
    </xf>
    <xf numFmtId="0" fontId="5" fillId="0" borderId="36" xfId="3" applyBorder="1" applyAlignment="1">
      <alignment horizontal="center" vertical="center" wrapText="1"/>
    </xf>
    <xf numFmtId="0" fontId="22" fillId="0" borderId="3" xfId="3" applyFont="1" applyBorder="1" applyAlignment="1" applyProtection="1">
      <alignment horizontal="left" vertical="top" wrapText="1"/>
      <protection locked="0"/>
    </xf>
    <xf numFmtId="0" fontId="22" fillId="0" borderId="38" xfId="3" applyFont="1" applyBorder="1" applyAlignment="1" applyProtection="1">
      <alignment horizontal="left" vertical="top" wrapText="1"/>
      <protection locked="0"/>
    </xf>
    <xf numFmtId="0" fontId="40" fillId="0" borderId="24" xfId="3" applyFont="1" applyBorder="1" applyAlignment="1" applyProtection="1">
      <alignment horizontal="center" vertical="center" textRotation="90" wrapText="1"/>
      <protection locked="0"/>
    </xf>
    <xf numFmtId="0" fontId="22" fillId="0" borderId="2" xfId="3" applyFont="1" applyBorder="1" applyAlignment="1" applyProtection="1">
      <alignment horizontal="left" vertical="top" wrapText="1"/>
      <protection locked="0"/>
    </xf>
    <xf numFmtId="0" fontId="25" fillId="9" borderId="1" xfId="0" applyFont="1" applyFill="1" applyBorder="1" applyAlignment="1" applyProtection="1">
      <alignment horizontal="left" vertical="top"/>
      <protection locked="0"/>
    </xf>
    <xf numFmtId="0" fontId="31" fillId="7" borderId="81" xfId="0" applyFont="1" applyFill="1" applyBorder="1" applyAlignment="1" applyProtection="1">
      <alignment horizontal="right" vertical="top"/>
      <protection locked="0"/>
    </xf>
    <xf numFmtId="0" fontId="31" fillId="7" borderId="65" xfId="0" applyFont="1" applyFill="1" applyBorder="1" applyAlignment="1" applyProtection="1">
      <alignment horizontal="right" vertical="top"/>
      <protection locked="0"/>
    </xf>
    <xf numFmtId="0" fontId="25" fillId="9" borderId="3" xfId="0" applyFont="1" applyFill="1" applyBorder="1" applyAlignment="1" applyProtection="1">
      <alignment horizontal="left" vertical="top"/>
      <protection locked="0"/>
    </xf>
    <xf numFmtId="0" fontId="25" fillId="9" borderId="40" xfId="0" applyFont="1" applyFill="1" applyBorder="1" applyAlignment="1" applyProtection="1">
      <alignment horizontal="left" vertical="top"/>
      <protection locked="0"/>
    </xf>
    <xf numFmtId="0" fontId="25" fillId="9" borderId="54" xfId="0" applyFont="1" applyFill="1" applyBorder="1" applyAlignment="1" applyProtection="1">
      <alignment horizontal="left" vertical="top"/>
      <protection locked="0"/>
    </xf>
    <xf numFmtId="9" fontId="25" fillId="9" borderId="19" xfId="4" applyFont="1" applyFill="1" applyBorder="1" applyAlignment="1" applyProtection="1">
      <alignment horizontal="left" vertical="top"/>
      <protection locked="0"/>
    </xf>
    <xf numFmtId="0" fontId="31" fillId="7" borderId="67" xfId="0" applyFont="1" applyFill="1" applyBorder="1" applyAlignment="1" applyProtection="1">
      <alignment horizontal="right" vertical="top"/>
      <protection locked="0"/>
    </xf>
    <xf numFmtId="0" fontId="31" fillId="7" borderId="2" xfId="0" applyFont="1" applyFill="1" applyBorder="1" applyAlignment="1" applyProtection="1">
      <alignment horizontal="right" vertical="top"/>
      <protection locked="0"/>
    </xf>
    <xf numFmtId="0" fontId="25" fillId="9" borderId="2" xfId="0" applyFont="1" applyFill="1" applyBorder="1" applyAlignment="1" applyProtection="1">
      <alignment horizontal="left" vertical="top"/>
      <protection locked="0"/>
    </xf>
    <xf numFmtId="7" fontId="24" fillId="7" borderId="16" xfId="1" applyNumberFormat="1" applyFont="1" applyFill="1" applyBorder="1" applyAlignment="1" applyProtection="1">
      <alignment horizontal="center" vertical="center" wrapText="1"/>
    </xf>
    <xf numFmtId="9" fontId="25" fillId="7" borderId="26" xfId="0" applyNumberFormat="1" applyFont="1" applyFill="1" applyBorder="1" applyAlignment="1" applyProtection="1">
      <alignment horizontal="left" vertical="top" wrapText="1"/>
    </xf>
    <xf numFmtId="164" fontId="36" fillId="15" borderId="12" xfId="0" applyNumberFormat="1" applyFont="1" applyFill="1" applyBorder="1" applyAlignment="1" applyProtection="1">
      <alignment horizontal="center" vertical="top" textRotation="90" wrapText="1"/>
    </xf>
    <xf numFmtId="164" fontId="31" fillId="0" borderId="10" xfId="0" applyNumberFormat="1" applyFont="1" applyFill="1" applyBorder="1" applyAlignment="1" applyProtection="1">
      <alignment horizontal="center" vertical="top" wrapText="1"/>
    </xf>
    <xf numFmtId="0" fontId="24" fillId="7" borderId="49" xfId="0" applyFont="1" applyFill="1" applyBorder="1" applyAlignment="1" applyProtection="1">
      <alignment horizontal="center" vertical="center" wrapText="1"/>
    </xf>
    <xf numFmtId="0" fontId="31" fillId="7" borderId="48" xfId="0" applyFont="1" applyFill="1" applyBorder="1" applyAlignment="1" applyProtection="1">
      <alignment horizontal="right" vertical="top"/>
      <protection locked="0"/>
    </xf>
    <xf numFmtId="0" fontId="25" fillId="9" borderId="50" xfId="0" applyFont="1" applyFill="1" applyBorder="1" applyAlignment="1" applyProtection="1">
      <alignment horizontal="left" vertical="top"/>
      <protection locked="0"/>
    </xf>
    <xf numFmtId="0" fontId="31" fillId="0" borderId="50" xfId="0" applyFont="1" applyFill="1" applyBorder="1" applyAlignment="1" applyProtection="1">
      <alignment horizontal="center" vertical="top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22" fillId="0" borderId="54" xfId="0" applyFont="1" applyBorder="1" applyAlignment="1" applyProtection="1">
      <alignment horizontal="left" vertical="top" wrapText="1"/>
      <protection locked="0"/>
    </xf>
    <xf numFmtId="0" fontId="22" fillId="0" borderId="87" xfId="0" applyFont="1" applyBorder="1" applyAlignment="1" applyProtection="1">
      <alignment horizontal="left" vertical="top" wrapText="1"/>
      <protection locked="0"/>
    </xf>
    <xf numFmtId="0" fontId="42" fillId="7" borderId="16" xfId="0" applyFont="1" applyFill="1" applyBorder="1" applyAlignment="1" applyProtection="1">
      <alignment horizontal="left" vertical="top"/>
      <protection locked="0"/>
    </xf>
    <xf numFmtId="0" fontId="42" fillId="7" borderId="19" xfId="0" applyFont="1" applyFill="1" applyBorder="1" applyAlignment="1" applyProtection="1">
      <alignment horizontal="left" vertical="top"/>
      <protection locked="0"/>
    </xf>
    <xf numFmtId="0" fontId="42" fillId="7" borderId="55" xfId="0" applyFont="1" applyFill="1" applyBorder="1" applyAlignment="1" applyProtection="1">
      <alignment horizontal="left" vertical="top"/>
      <protection locked="0"/>
    </xf>
  </cellXfs>
  <cellStyles count="7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4000000}"/>
    <cellStyle name="Normal 3" xfId="6" xr:uid="{00000000-0005-0000-0000-000005000000}"/>
    <cellStyle name="Percent" xfId="4" builtinId="5"/>
    <cellStyle name="Percent 2" xfId="5" xr:uid="{00000000-0005-0000-0000-000007000000}"/>
  </cellStyles>
  <dxfs count="42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color rgb="FFFF0000"/>
      </font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indexed="42"/>
        </patternFill>
      </fill>
    </dxf>
    <dxf>
      <font>
        <color rgb="FFFF0000"/>
      </font>
    </dxf>
    <dxf>
      <fill>
        <patternFill>
          <bgColor indexed="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indexed="42"/>
        </patternFill>
      </fill>
    </dxf>
    <dxf>
      <font>
        <color rgb="FFFF0000"/>
      </font>
    </dxf>
    <dxf>
      <fill>
        <patternFill>
          <bgColor indexed="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color rgb="FFFF0000"/>
      </font>
    </dxf>
    <dxf>
      <fill>
        <patternFill>
          <bgColor indexed="41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F9F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0</xdr:row>
          <xdr:rowOff>0</xdr:rowOff>
        </xdr:from>
        <xdr:to>
          <xdr:col>2</xdr:col>
          <xdr:colOff>965200</xdr:colOff>
          <xdr:row>1</xdr:row>
          <xdr:rowOff>31750</xdr:rowOff>
        </xdr:to>
        <xdr:sp macro="" textlink="">
          <xdr:nvSpPr>
            <xdr:cNvPr id="28678" name="Button 6" hidden="1">
              <a:extLst>
                <a:ext uri="{63B3BB69-23CF-44E3-9099-C40C66FF867C}">
                  <a14:compatExt spid="_x0000_s28678"/>
                </a:ext>
                <a:ext uri="{FF2B5EF4-FFF2-40B4-BE49-F238E27FC236}">
                  <a16:creationId xmlns:a16="http://schemas.microsoft.com/office/drawing/2014/main" id="{00000000-0008-0000-0700-00000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 ISSUE SUMMARY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13</xdr:row>
          <xdr:rowOff>527050</xdr:rowOff>
        </xdr:from>
        <xdr:to>
          <xdr:col>0</xdr:col>
          <xdr:colOff>279400</xdr:colOff>
          <xdr:row>14</xdr:row>
          <xdr:rowOff>209550</xdr:rowOff>
        </xdr:to>
        <xdr:sp macro="" textlink="">
          <xdr:nvSpPr>
            <xdr:cNvPr id="28695" name="Button 23" hidden="1">
              <a:extLst>
                <a:ext uri="{63B3BB69-23CF-44E3-9099-C40C66FF867C}">
                  <a14:compatExt spid="_x0000_s28695"/>
                </a:ext>
                <a:ext uri="{FF2B5EF4-FFF2-40B4-BE49-F238E27FC236}">
                  <a16:creationId xmlns:a16="http://schemas.microsoft.com/office/drawing/2014/main" id="{00000000-0008-0000-0700-00001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222250</xdr:rowOff>
        </xdr:from>
        <xdr:to>
          <xdr:col>0</xdr:col>
          <xdr:colOff>260350</xdr:colOff>
          <xdr:row>13</xdr:row>
          <xdr:rowOff>546100</xdr:rowOff>
        </xdr:to>
        <xdr:sp macro="" textlink="">
          <xdr:nvSpPr>
            <xdr:cNvPr id="28696" name="Button 24" hidden="1">
              <a:extLst>
                <a:ext uri="{63B3BB69-23CF-44E3-9099-C40C66FF867C}">
                  <a14:compatExt spid="_x0000_s28696"/>
                </a:ext>
                <a:ext uri="{FF2B5EF4-FFF2-40B4-BE49-F238E27FC236}">
                  <a16:creationId xmlns:a16="http://schemas.microsoft.com/office/drawing/2014/main" id="{00000000-0008-0000-0700-00001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 - DEF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13</xdr:row>
          <xdr:rowOff>527050</xdr:rowOff>
        </xdr:from>
        <xdr:to>
          <xdr:col>0</xdr:col>
          <xdr:colOff>279400</xdr:colOff>
          <xdr:row>14</xdr:row>
          <xdr:rowOff>222250</xdr:rowOff>
        </xdr:to>
        <xdr:sp macro="" textlink="">
          <xdr:nvSpPr>
            <xdr:cNvPr id="176130" name="Button 2" hidden="1">
              <a:extLst>
                <a:ext uri="{63B3BB69-23CF-44E3-9099-C40C66FF867C}">
                  <a14:compatExt spid="_x0000_s176130"/>
                </a:ext>
                <a:ext uri="{FF2B5EF4-FFF2-40B4-BE49-F238E27FC236}">
                  <a16:creationId xmlns:a16="http://schemas.microsoft.com/office/drawing/2014/main" id="{00000000-0008-0000-0800-000002B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222250</xdr:rowOff>
        </xdr:from>
        <xdr:to>
          <xdr:col>0</xdr:col>
          <xdr:colOff>266700</xdr:colOff>
          <xdr:row>13</xdr:row>
          <xdr:rowOff>552450</xdr:rowOff>
        </xdr:to>
        <xdr:sp macro="" textlink="">
          <xdr:nvSpPr>
            <xdr:cNvPr id="176131" name="Button 3" hidden="1">
              <a:extLst>
                <a:ext uri="{63B3BB69-23CF-44E3-9099-C40C66FF867C}">
                  <a14:compatExt spid="_x0000_s176131"/>
                </a:ext>
                <a:ext uri="{FF2B5EF4-FFF2-40B4-BE49-F238E27FC236}">
                  <a16:creationId xmlns:a16="http://schemas.microsoft.com/office/drawing/2014/main" id="{00000000-0008-0000-0800-000003B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 - Def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13</xdr:row>
          <xdr:rowOff>527050</xdr:rowOff>
        </xdr:from>
        <xdr:to>
          <xdr:col>0</xdr:col>
          <xdr:colOff>279400</xdr:colOff>
          <xdr:row>14</xdr:row>
          <xdr:rowOff>228600</xdr:rowOff>
        </xdr:to>
        <xdr:sp macro="" textlink="">
          <xdr:nvSpPr>
            <xdr:cNvPr id="367618" name="Button 2" hidden="1">
              <a:extLst>
                <a:ext uri="{63B3BB69-23CF-44E3-9099-C40C66FF867C}">
                  <a14:compatExt spid="_x0000_s367618"/>
                </a:ext>
                <a:ext uri="{FF2B5EF4-FFF2-40B4-BE49-F238E27FC236}">
                  <a16:creationId xmlns:a16="http://schemas.microsoft.com/office/drawing/2014/main" id="{00000000-0008-0000-0900-0000029C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222250</xdr:rowOff>
        </xdr:from>
        <xdr:to>
          <xdr:col>0</xdr:col>
          <xdr:colOff>266700</xdr:colOff>
          <xdr:row>14</xdr:row>
          <xdr:rowOff>0</xdr:rowOff>
        </xdr:to>
        <xdr:sp macro="" textlink="">
          <xdr:nvSpPr>
            <xdr:cNvPr id="367619" name="Button 3" hidden="1">
              <a:extLst>
                <a:ext uri="{63B3BB69-23CF-44E3-9099-C40C66FF867C}">
                  <a14:compatExt spid="_x0000_s367619"/>
                </a:ext>
                <a:ext uri="{FF2B5EF4-FFF2-40B4-BE49-F238E27FC236}">
                  <a16:creationId xmlns:a16="http://schemas.microsoft.com/office/drawing/2014/main" id="{00000000-0008-0000-0900-0000039C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 - Def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13</xdr:row>
          <xdr:rowOff>527050</xdr:rowOff>
        </xdr:from>
        <xdr:to>
          <xdr:col>0</xdr:col>
          <xdr:colOff>266700</xdr:colOff>
          <xdr:row>20</xdr:row>
          <xdr:rowOff>38100</xdr:rowOff>
        </xdr:to>
        <xdr:sp macro="" textlink="">
          <xdr:nvSpPr>
            <xdr:cNvPr id="370689" name="Button 1" hidden="1">
              <a:extLst>
                <a:ext uri="{63B3BB69-23CF-44E3-9099-C40C66FF867C}">
                  <a14:compatExt spid="_x0000_s370689"/>
                </a:ext>
                <a:ext uri="{FF2B5EF4-FFF2-40B4-BE49-F238E27FC236}">
                  <a16:creationId xmlns:a16="http://schemas.microsoft.com/office/drawing/2014/main" id="{00000000-0008-0000-0A00-000001A8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222250</xdr:rowOff>
        </xdr:from>
        <xdr:to>
          <xdr:col>0</xdr:col>
          <xdr:colOff>266700</xdr:colOff>
          <xdr:row>21</xdr:row>
          <xdr:rowOff>12700</xdr:rowOff>
        </xdr:to>
        <xdr:sp macro="" textlink="">
          <xdr:nvSpPr>
            <xdr:cNvPr id="370690" name="Button 2" hidden="1">
              <a:extLst>
                <a:ext uri="{63B3BB69-23CF-44E3-9099-C40C66FF867C}">
                  <a14:compatExt spid="_x0000_s370690"/>
                </a:ext>
                <a:ext uri="{FF2B5EF4-FFF2-40B4-BE49-F238E27FC236}">
                  <a16:creationId xmlns:a16="http://schemas.microsoft.com/office/drawing/2014/main" id="{00000000-0008-0000-0A00-000002A8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 - Def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13</xdr:row>
          <xdr:rowOff>527050</xdr:rowOff>
        </xdr:from>
        <xdr:to>
          <xdr:col>0</xdr:col>
          <xdr:colOff>266700</xdr:colOff>
          <xdr:row>19</xdr:row>
          <xdr:rowOff>57150</xdr:rowOff>
        </xdr:to>
        <xdr:sp macro="" textlink="">
          <xdr:nvSpPr>
            <xdr:cNvPr id="371713" name="Button 1" hidden="1">
              <a:extLst>
                <a:ext uri="{63B3BB69-23CF-44E3-9099-C40C66FF867C}">
                  <a14:compatExt spid="_x0000_s371713"/>
                </a:ext>
                <a:ext uri="{FF2B5EF4-FFF2-40B4-BE49-F238E27FC236}">
                  <a16:creationId xmlns:a16="http://schemas.microsoft.com/office/drawing/2014/main" id="{00000000-0008-0000-0B00-000001AC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222250</xdr:rowOff>
        </xdr:from>
        <xdr:to>
          <xdr:col>0</xdr:col>
          <xdr:colOff>266700</xdr:colOff>
          <xdr:row>20</xdr:row>
          <xdr:rowOff>69850</xdr:rowOff>
        </xdr:to>
        <xdr:sp macro="" textlink="">
          <xdr:nvSpPr>
            <xdr:cNvPr id="371714" name="Button 2" hidden="1">
              <a:extLst>
                <a:ext uri="{63B3BB69-23CF-44E3-9099-C40C66FF867C}">
                  <a14:compatExt spid="_x0000_s371714"/>
                </a:ext>
                <a:ext uri="{FF2B5EF4-FFF2-40B4-BE49-F238E27FC236}">
                  <a16:creationId xmlns:a16="http://schemas.microsoft.com/office/drawing/2014/main" id="{00000000-0008-0000-0B00-000002AC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 - Def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13</xdr:row>
          <xdr:rowOff>527050</xdr:rowOff>
        </xdr:from>
        <xdr:to>
          <xdr:col>0</xdr:col>
          <xdr:colOff>266700</xdr:colOff>
          <xdr:row>19</xdr:row>
          <xdr:rowOff>57150</xdr:rowOff>
        </xdr:to>
        <xdr:sp macro="" textlink="">
          <xdr:nvSpPr>
            <xdr:cNvPr id="371715" name="Button 3" hidden="1">
              <a:extLst>
                <a:ext uri="{63B3BB69-23CF-44E3-9099-C40C66FF867C}">
                  <a14:compatExt spid="_x0000_s371715"/>
                </a:ext>
                <a:ext uri="{FF2B5EF4-FFF2-40B4-BE49-F238E27FC236}">
                  <a16:creationId xmlns:a16="http://schemas.microsoft.com/office/drawing/2014/main" id="{00000000-0008-0000-0B00-000003AC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222250</xdr:rowOff>
        </xdr:from>
        <xdr:to>
          <xdr:col>0</xdr:col>
          <xdr:colOff>266700</xdr:colOff>
          <xdr:row>20</xdr:row>
          <xdr:rowOff>69850</xdr:rowOff>
        </xdr:to>
        <xdr:sp macro="" textlink="">
          <xdr:nvSpPr>
            <xdr:cNvPr id="371716" name="Button 4" hidden="1">
              <a:extLst>
                <a:ext uri="{63B3BB69-23CF-44E3-9099-C40C66FF867C}">
                  <a14:compatExt spid="_x0000_s371716"/>
                </a:ext>
                <a:ext uri="{FF2B5EF4-FFF2-40B4-BE49-F238E27FC236}">
                  <a16:creationId xmlns:a16="http://schemas.microsoft.com/office/drawing/2014/main" id="{00000000-0008-0000-0B00-000004AC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 - Def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13</xdr:row>
          <xdr:rowOff>527050</xdr:rowOff>
        </xdr:from>
        <xdr:to>
          <xdr:col>0</xdr:col>
          <xdr:colOff>279400</xdr:colOff>
          <xdr:row>14</xdr:row>
          <xdr:rowOff>222250</xdr:rowOff>
        </xdr:to>
        <xdr:sp macro="" textlink="">
          <xdr:nvSpPr>
            <xdr:cNvPr id="335874" name="Button 2" hidden="1">
              <a:extLst>
                <a:ext uri="{63B3BB69-23CF-44E3-9099-C40C66FF867C}">
                  <a14:compatExt spid="_x0000_s335874"/>
                </a:ext>
                <a:ext uri="{FF2B5EF4-FFF2-40B4-BE49-F238E27FC236}">
                  <a16:creationId xmlns:a16="http://schemas.microsoft.com/office/drawing/2014/main" id="{00000000-0008-0000-0C00-00000220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222250</xdr:rowOff>
        </xdr:from>
        <xdr:to>
          <xdr:col>0</xdr:col>
          <xdr:colOff>266700</xdr:colOff>
          <xdr:row>13</xdr:row>
          <xdr:rowOff>552450</xdr:rowOff>
        </xdr:to>
        <xdr:sp macro="" textlink="">
          <xdr:nvSpPr>
            <xdr:cNvPr id="335875" name="Button 3" hidden="1">
              <a:extLst>
                <a:ext uri="{63B3BB69-23CF-44E3-9099-C40C66FF867C}">
                  <a14:compatExt spid="_x0000_s335875"/>
                </a:ext>
                <a:ext uri="{FF2B5EF4-FFF2-40B4-BE49-F238E27FC236}">
                  <a16:creationId xmlns:a16="http://schemas.microsoft.com/office/drawing/2014/main" id="{00000000-0008-0000-0C00-00000320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 - Def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Services/Training%20Documents%20and%20Procedures/Revenue%20Distribution%20Training/Revenue%20Distribution%20-%20April%202020/Breakout%20Session%202A/Distribution%20Worksheets%20Session%20A%20Comple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ira\Documents\DistributionWorksheets%202018%20Training%20W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ira\AppData\Local\Microsoft\Windows\Temporary%20Internet%20Files\Content.Outlook\NULFBU2Z\Top%20Down%20Worksheets%20for%20May%202015%20Train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Services/Training%20Documents%20and%20Procedures/Revenue%20Distribution%20Training/Revenue%20Distribution%20-%20May%202019/Breakout%20Session%20B/Distribution%20Worksheets%20for%20Session%20B%202019%20Posting%203.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-Down List"/>
      <sheetName val="2009 UPDATE"/>
      <sheetName val="Cover Page"/>
      <sheetName val="Worksheets Included"/>
      <sheetName val="2014 UPDATE"/>
      <sheetName val="2013 UPDATE"/>
      <sheetName val="2012 UPDATE"/>
      <sheetName val="2011 UPDATE"/>
      <sheetName val="2010 UPDATE"/>
      <sheetName val="Local Penalties"/>
      <sheetName val="Case 1 Speeding "/>
      <sheetName val="Case 1.2 Speeding w Prior"/>
      <sheetName val="Case Study 2 DUI"/>
      <sheetName val="Top Down Method 1"/>
      <sheetName val="Top Down Method 2"/>
      <sheetName val="TEST SUMMARY"/>
      <sheetName val="Sheet1"/>
      <sheetName val="Section"/>
      <sheetName val="Acct Mapping"/>
      <sheetName val="Pmt Plan Tmpl"/>
      <sheetName val="1-DUI (ALT)"/>
      <sheetName val="1-DUI (Reduce Base)"/>
      <sheetName val="3-RD (Reduce Base)"/>
      <sheetName val="4-RRBF"/>
      <sheetName val="5-RRTS (BF &amp; No 2%)"/>
      <sheetName val="Sheet2"/>
      <sheetName val="7-RLTS"/>
      <sheetName val="8-RLBF (No 30%)"/>
      <sheetName val="9-SpBF"/>
      <sheetName val="11-CSBF"/>
      <sheetName val="12-CSTS (BF &amp; 2%)"/>
      <sheetName val="13-UC"/>
      <sheetName val="14-POC"/>
      <sheetName val="15-POI (Base Reduce)"/>
      <sheetName val="16-DV"/>
      <sheetName val="17-HS (Enhance Base)"/>
      <sheetName val="18-HS (Enh-Red Base)"/>
      <sheetName val="19-FG"/>
    </sheetNames>
    <sheetDataSet>
      <sheetData sheetId="0">
        <row r="1">
          <cell r="A1" t="str">
            <v>TOP-DOWN   (B-C)</v>
          </cell>
        </row>
        <row r="2">
          <cell r="A2" t="str">
            <v>BASE-UP   (B-A)</v>
          </cell>
        </row>
        <row r="4">
          <cell r="A4" t="str">
            <v>Yes</v>
          </cell>
        </row>
        <row r="5">
          <cell r="A5" t="str">
            <v>No</v>
          </cell>
        </row>
        <row r="6">
          <cell r="A6" t="str">
            <v>NA-County Arrest</v>
          </cell>
        </row>
        <row r="8">
          <cell r="A8" t="str">
            <v>Yes</v>
          </cell>
        </row>
        <row r="9">
          <cell r="A9" t="str">
            <v>No</v>
          </cell>
        </row>
        <row r="10">
          <cell r="A10" t="str">
            <v>NA-City Arrest</v>
          </cell>
        </row>
        <row r="12">
          <cell r="A12" t="str">
            <v>Yes</v>
          </cell>
        </row>
        <row r="13">
          <cell r="A13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B8">
            <v>7</v>
          </cell>
        </row>
        <row r="12">
          <cell r="A12" t="str">
            <v>Alameda</v>
          </cell>
        </row>
        <row r="13">
          <cell r="A13" t="str">
            <v>Alpine</v>
          </cell>
        </row>
        <row r="14">
          <cell r="A14" t="str">
            <v>Amador</v>
          </cell>
        </row>
        <row r="15">
          <cell r="A15" t="str">
            <v>Butte</v>
          </cell>
        </row>
        <row r="16">
          <cell r="A16" t="str">
            <v>Calaveras</v>
          </cell>
        </row>
        <row r="17">
          <cell r="A17" t="str">
            <v>Colusa</v>
          </cell>
        </row>
        <row r="18">
          <cell r="A18" t="str">
            <v>Contra Costa</v>
          </cell>
        </row>
        <row r="19">
          <cell r="A19" t="str">
            <v>Del Norte</v>
          </cell>
        </row>
        <row r="20">
          <cell r="A20" t="str">
            <v>El Dorado</v>
          </cell>
        </row>
        <row r="21">
          <cell r="A21" t="str">
            <v>Fresno</v>
          </cell>
        </row>
        <row r="22">
          <cell r="A22" t="str">
            <v>Glenn</v>
          </cell>
        </row>
        <row r="23">
          <cell r="A23" t="str">
            <v>Humboldt</v>
          </cell>
        </row>
        <row r="24">
          <cell r="A24" t="str">
            <v>Imperial</v>
          </cell>
        </row>
        <row r="25">
          <cell r="A25" t="str">
            <v>Inyo</v>
          </cell>
        </row>
        <row r="26">
          <cell r="A26" t="str">
            <v>Kern</v>
          </cell>
        </row>
        <row r="27">
          <cell r="A27" t="str">
            <v>Kings</v>
          </cell>
        </row>
        <row r="28">
          <cell r="A28" t="str">
            <v>Lake</v>
          </cell>
        </row>
        <row r="29">
          <cell r="A29" t="str">
            <v>Lassen</v>
          </cell>
        </row>
        <row r="30">
          <cell r="A30" t="str">
            <v>Los Angeles</v>
          </cell>
        </row>
        <row r="31">
          <cell r="A31" t="str">
            <v>Madera</v>
          </cell>
        </row>
        <row r="32">
          <cell r="A32" t="str">
            <v>Marin</v>
          </cell>
        </row>
        <row r="33">
          <cell r="A33" t="str">
            <v>Mariposa</v>
          </cell>
        </row>
        <row r="34">
          <cell r="A34" t="str">
            <v>Mendocino</v>
          </cell>
        </row>
        <row r="35">
          <cell r="A35" t="str">
            <v>Merced</v>
          </cell>
        </row>
        <row r="36">
          <cell r="A36" t="str">
            <v>Modoc</v>
          </cell>
        </row>
        <row r="37">
          <cell r="A37" t="str">
            <v>Mono</v>
          </cell>
        </row>
        <row r="38">
          <cell r="A38" t="str">
            <v>Monterey</v>
          </cell>
        </row>
        <row r="39">
          <cell r="A39" t="str">
            <v>Napa</v>
          </cell>
        </row>
        <row r="40">
          <cell r="A40" t="str">
            <v>Nevada</v>
          </cell>
        </row>
        <row r="41">
          <cell r="A41" t="str">
            <v>Orange</v>
          </cell>
        </row>
        <row r="42">
          <cell r="A42" t="str">
            <v>Placer</v>
          </cell>
        </row>
        <row r="43">
          <cell r="A43" t="str">
            <v>Plumas</v>
          </cell>
        </row>
        <row r="44">
          <cell r="A44" t="str">
            <v>Riverside</v>
          </cell>
        </row>
        <row r="45">
          <cell r="A45" t="str">
            <v>Sacramento</v>
          </cell>
        </row>
        <row r="46">
          <cell r="A46" t="str">
            <v>San Benito</v>
          </cell>
        </row>
        <row r="47">
          <cell r="A47" t="str">
            <v>San Bernardino</v>
          </cell>
        </row>
        <row r="48">
          <cell r="A48" t="str">
            <v>San Diego</v>
          </cell>
        </row>
        <row r="49">
          <cell r="A49" t="str">
            <v>San Francisco</v>
          </cell>
        </row>
        <row r="50">
          <cell r="A50" t="str">
            <v>San Joaquin</v>
          </cell>
        </row>
        <row r="51">
          <cell r="A51" t="str">
            <v>San Luis Obispo</v>
          </cell>
        </row>
        <row r="52">
          <cell r="A52" t="str">
            <v>San Mateo</v>
          </cell>
        </row>
        <row r="53">
          <cell r="A53" t="str">
            <v>Santa Barbara</v>
          </cell>
        </row>
        <row r="54">
          <cell r="A54" t="str">
            <v>Santa Clara</v>
          </cell>
        </row>
        <row r="55">
          <cell r="A55" t="str">
            <v>Santa Cruz</v>
          </cell>
        </row>
        <row r="56">
          <cell r="A56" t="str">
            <v>Shasta</v>
          </cell>
        </row>
        <row r="57">
          <cell r="A57" t="str">
            <v>Sierra</v>
          </cell>
        </row>
        <row r="58">
          <cell r="A58" t="str">
            <v>Siskiyou</v>
          </cell>
        </row>
        <row r="59">
          <cell r="A59" t="str">
            <v>Solano</v>
          </cell>
        </row>
        <row r="60">
          <cell r="A60" t="str">
            <v>Sonoma</v>
          </cell>
        </row>
        <row r="61">
          <cell r="A61" t="str">
            <v>Stanislaus</v>
          </cell>
        </row>
        <row r="62">
          <cell r="A62" t="str">
            <v>Sutter</v>
          </cell>
        </row>
        <row r="63">
          <cell r="A63" t="str">
            <v>Tehama</v>
          </cell>
        </row>
        <row r="64">
          <cell r="A64" t="str">
            <v>Trinity</v>
          </cell>
        </row>
        <row r="65">
          <cell r="A65" t="str">
            <v>Tulare</v>
          </cell>
        </row>
        <row r="66">
          <cell r="A66" t="str">
            <v>Tuolumne</v>
          </cell>
        </row>
        <row r="67">
          <cell r="A67" t="str">
            <v>Ventura</v>
          </cell>
        </row>
        <row r="68">
          <cell r="A68" t="str">
            <v>Yolo</v>
          </cell>
        </row>
        <row r="69">
          <cell r="A69" t="str">
            <v>Yuba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">
          <cell r="D1" t="str">
            <v>SELECT COURT NAME</v>
          </cell>
        </row>
        <row r="2">
          <cell r="D2" t="str">
            <v>Superior Court of Alameda County</v>
          </cell>
        </row>
        <row r="3">
          <cell r="D3" t="str">
            <v>Superior Court of Alpine County</v>
          </cell>
        </row>
        <row r="4">
          <cell r="D4" t="str">
            <v>Superior Court of Amador County</v>
          </cell>
        </row>
        <row r="5">
          <cell r="D5" t="str">
            <v>Superior Court of Butte County</v>
          </cell>
        </row>
        <row r="6">
          <cell r="D6" t="str">
            <v>Superior Court of Claveras County</v>
          </cell>
        </row>
        <row r="7">
          <cell r="D7" t="str">
            <v>Superior Court of Colusa County</v>
          </cell>
        </row>
        <row r="8">
          <cell r="D8" t="str">
            <v>Superior Court of Contra Costa County</v>
          </cell>
        </row>
        <row r="9">
          <cell r="D9" t="str">
            <v>Superior Court of Del Norte County</v>
          </cell>
        </row>
        <row r="10">
          <cell r="D10" t="str">
            <v>Superior Court of El Dorado County</v>
          </cell>
        </row>
        <row r="11">
          <cell r="D11" t="str">
            <v>Superior Court of Fresno County</v>
          </cell>
        </row>
        <row r="12">
          <cell r="D12" t="str">
            <v>Superior Court of Glenn County</v>
          </cell>
        </row>
        <row r="13">
          <cell r="D13" t="str">
            <v>Superior Court of Humboldt County</v>
          </cell>
        </row>
        <row r="14">
          <cell r="D14" t="str">
            <v>Superior Court of Imperial County</v>
          </cell>
        </row>
        <row r="15">
          <cell r="D15" t="str">
            <v>Superior Court of Inyo County</v>
          </cell>
        </row>
        <row r="16">
          <cell r="D16" t="str">
            <v>Superior Court of Kern County</v>
          </cell>
        </row>
        <row r="17">
          <cell r="D17" t="str">
            <v>Superior Court of Kings County</v>
          </cell>
        </row>
        <row r="18">
          <cell r="D18" t="str">
            <v>Superior Court of Lake County</v>
          </cell>
        </row>
        <row r="19">
          <cell r="D19" t="str">
            <v>Superior Court of Lassen County</v>
          </cell>
        </row>
        <row r="20">
          <cell r="D20" t="str">
            <v>Superior Court of Los Angeles County</v>
          </cell>
        </row>
        <row r="21">
          <cell r="D21" t="str">
            <v>Superior Court of Madera County</v>
          </cell>
        </row>
        <row r="22">
          <cell r="D22" t="str">
            <v>Superior Court of Marin County</v>
          </cell>
        </row>
        <row r="23">
          <cell r="D23" t="str">
            <v>Superior Court of Mariposa County</v>
          </cell>
        </row>
        <row r="24">
          <cell r="D24" t="str">
            <v>Superior Court of Mendocino County</v>
          </cell>
        </row>
        <row r="25">
          <cell r="D25" t="str">
            <v>Superior Court of Merced County</v>
          </cell>
        </row>
        <row r="26">
          <cell r="D26" t="str">
            <v>Superior Court of Modoc County</v>
          </cell>
        </row>
        <row r="27">
          <cell r="D27" t="str">
            <v>Superior Court of Mono County</v>
          </cell>
        </row>
        <row r="28">
          <cell r="D28" t="str">
            <v>Superior Court of Monterey County</v>
          </cell>
        </row>
        <row r="29">
          <cell r="D29" t="str">
            <v>Superior Court of Napa County</v>
          </cell>
        </row>
        <row r="30">
          <cell r="D30" t="str">
            <v>Superior Court of Nevada County</v>
          </cell>
        </row>
        <row r="31">
          <cell r="D31" t="str">
            <v>Superior Court of Orange County</v>
          </cell>
        </row>
        <row r="32">
          <cell r="D32" t="str">
            <v>Superior Court of Plumas County</v>
          </cell>
        </row>
        <row r="33">
          <cell r="D33" t="str">
            <v>Superior Court of Placer County</v>
          </cell>
        </row>
        <row r="34">
          <cell r="D34" t="str">
            <v>Superior Court of Riverside County</v>
          </cell>
        </row>
        <row r="35">
          <cell r="D35" t="str">
            <v>Superior Court of Sacramento County</v>
          </cell>
        </row>
        <row r="36">
          <cell r="D36" t="str">
            <v>Superior Court of San Benito County</v>
          </cell>
        </row>
        <row r="37">
          <cell r="D37" t="str">
            <v>Superior Court of San Bernardino County</v>
          </cell>
        </row>
        <row r="38">
          <cell r="D38" t="str">
            <v>Superior Court of San Diego County</v>
          </cell>
        </row>
        <row r="39">
          <cell r="D39" t="str">
            <v>Superior Court of San Francisco County</v>
          </cell>
        </row>
        <row r="40">
          <cell r="D40" t="str">
            <v>Superior Court of San Joaquin County</v>
          </cell>
        </row>
        <row r="41">
          <cell r="D41" t="str">
            <v>Superior Court of San Luis Obispo County</v>
          </cell>
        </row>
        <row r="42">
          <cell r="D42" t="str">
            <v>Superior Court of San Mateo County</v>
          </cell>
        </row>
        <row r="43">
          <cell r="D43" t="str">
            <v>Superior Court of Santa Barbara County</v>
          </cell>
        </row>
        <row r="44">
          <cell r="D44" t="str">
            <v>Superior Court of Santa Clara County</v>
          </cell>
        </row>
        <row r="45">
          <cell r="D45" t="str">
            <v>Superior Court of Santa Cruz County</v>
          </cell>
        </row>
        <row r="46">
          <cell r="D46" t="str">
            <v>Superior Court of Shasta County</v>
          </cell>
        </row>
        <row r="47">
          <cell r="D47" t="str">
            <v>Superior Court of Sierra County</v>
          </cell>
        </row>
        <row r="48">
          <cell r="D48" t="str">
            <v>Superior Court of Siskiyou County</v>
          </cell>
        </row>
        <row r="49">
          <cell r="D49" t="str">
            <v>Superior Court of Solano County</v>
          </cell>
        </row>
        <row r="50">
          <cell r="D50" t="str">
            <v>Superior Court of Sonoma County</v>
          </cell>
        </row>
        <row r="51">
          <cell r="D51" t="str">
            <v>Superior Court of Stanislaus County</v>
          </cell>
        </row>
        <row r="52">
          <cell r="D52" t="str">
            <v>Superior Court of Sutter County</v>
          </cell>
        </row>
        <row r="53">
          <cell r="D53" t="str">
            <v>Superior Court of Tehama County</v>
          </cell>
        </row>
        <row r="54">
          <cell r="D54" t="str">
            <v>Superior Court of Trinity County</v>
          </cell>
        </row>
        <row r="55">
          <cell r="D55" t="str">
            <v>Superior Court of Tulare County</v>
          </cell>
        </row>
        <row r="56">
          <cell r="D56" t="str">
            <v>Superior Court of Tuolumne County</v>
          </cell>
        </row>
        <row r="57">
          <cell r="D57" t="str">
            <v>Superior Court of Ventura County</v>
          </cell>
        </row>
        <row r="58">
          <cell r="D58" t="str">
            <v>Superior Court of Yolo County</v>
          </cell>
        </row>
        <row r="59">
          <cell r="D59" t="str">
            <v>Superior Court of Yuba County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-Down List"/>
      <sheetName val="2009 UPDATE"/>
      <sheetName val="Cover Page"/>
      <sheetName val="Worksheets Included"/>
      <sheetName val="2014 UPDATE"/>
      <sheetName val="2013 UPDATE"/>
      <sheetName val="2012 UPDATE"/>
      <sheetName val="2011 UPDATE"/>
      <sheetName val="2010 UPDATE"/>
      <sheetName val="Local Penalties"/>
      <sheetName val="TEST SUMMARY"/>
      <sheetName val="Sheet1"/>
      <sheetName val="Section"/>
      <sheetName val="Acct Mapping"/>
      <sheetName val="Pmt Plan Tmpl"/>
      <sheetName val="1-DUI (ALT)"/>
      <sheetName val="1-DUI (Reduce Base)"/>
      <sheetName val="3-RD (Reduce Base)"/>
      <sheetName val="4-RRBF"/>
      <sheetName val="5-RRTS (BF &amp; No 2%)"/>
      <sheetName val="7-RLTS"/>
      <sheetName val="8-RLBF (No 30%)"/>
      <sheetName val="9-SpBF"/>
      <sheetName val="Speeding BF"/>
      <sheetName val="Reckless Driving "/>
      <sheetName val="DUI"/>
      <sheetName val="POI"/>
      <sheetName val="H&amp;S"/>
      <sheetName val="Juvenile MV"/>
      <sheetName val="Speeding TS"/>
      <sheetName val="Red Light BF"/>
      <sheetName val="Red Light BF (No 30%)"/>
      <sheetName val="Red Light TS"/>
      <sheetName val="RailRoad TS"/>
      <sheetName val="Child Seat TS"/>
      <sheetName val="H&amp;S PC1463.23"/>
      <sheetName val="11-CSBF"/>
      <sheetName val="12-CSTS (BF &amp; 2%)"/>
      <sheetName val="13-UC"/>
      <sheetName val="14-POC"/>
      <sheetName val="15-POI (Base Reduce)"/>
      <sheetName val="16-DV"/>
      <sheetName val="17-HS (Enhance Base)"/>
      <sheetName val="18-HS (Enh-Red Base)"/>
      <sheetName val="19-FG"/>
    </sheetNames>
    <sheetDataSet>
      <sheetData sheetId="0">
        <row r="12">
          <cell r="A12" t="str">
            <v>Yes</v>
          </cell>
        </row>
        <row r="13">
          <cell r="A13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9-SpBF (TOP DOWN)"/>
      <sheetName val="9-SpBF (TOP DOWN) (2)"/>
      <sheetName val="Top Down Worksheets for May 201"/>
    </sheetNames>
    <definedNames>
      <definedName name="mcrDisableTwoPercentUnprotect"/>
      <definedName name="mcrEnableTwoPercentUnprotect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-Down List"/>
      <sheetName val="2009 UPDATE"/>
      <sheetName val="Cover Page"/>
      <sheetName val="Worksheets Included"/>
      <sheetName val="2014 UPDATE"/>
      <sheetName val="2013 UPDATE"/>
      <sheetName val="2012 UPDATE"/>
      <sheetName val="2011 UPDATE"/>
      <sheetName val="2010 UPDATE"/>
      <sheetName val="Local Penalties"/>
      <sheetName val="1 Driving Under Influence Alcoh"/>
      <sheetName val="1 DUI with Added Violation "/>
      <sheetName val="2 Base Enhancement H&amp;S"/>
      <sheetName val="3 TVS Red Light  "/>
      <sheetName val="4 Proof of Insurance "/>
      <sheetName val="TEST SUMMARY"/>
      <sheetName val="Sheet1"/>
      <sheetName val="Section"/>
      <sheetName val="Acct Mapping"/>
      <sheetName val="Pmt Plan Tmpl"/>
      <sheetName val="1-DUI (ALT)"/>
      <sheetName val="1-DUI (Reduce Base)"/>
      <sheetName val="3-RD (Reduce Base)"/>
      <sheetName val="4-RRBF"/>
      <sheetName val="5-RRTS (BF &amp; No 2%)"/>
      <sheetName val="4 Proof of Insurance with Prior"/>
      <sheetName val="Top Down Method 1"/>
      <sheetName val="Top Down Method 2"/>
      <sheetName val="Sheet2"/>
      <sheetName val="7-RLTS"/>
      <sheetName val="8-RLBF (No 30%)"/>
      <sheetName val="9-SpBF"/>
      <sheetName val="11-CSBF"/>
      <sheetName val="12-CSTS (BF &amp; 2%)"/>
      <sheetName val="13-UC"/>
      <sheetName val="14-POC"/>
      <sheetName val="15-POI (Base Reduce)"/>
      <sheetName val="16-DV"/>
      <sheetName val="17-HS (Enhance Base)"/>
      <sheetName val="18-HS (Enh-Red Base)"/>
      <sheetName val="19-F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8">
          <cell r="B8">
            <v>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3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4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Relationship Id="rId6" Type="http://schemas.openxmlformats.org/officeDocument/2006/relationships/comments" Target="../comments6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2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13"/>
  <sheetViews>
    <sheetView workbookViewId="0">
      <selection activeCell="A12" sqref="A12:A13"/>
    </sheetView>
  </sheetViews>
  <sheetFormatPr defaultRowHeight="12.5" x14ac:dyDescent="0.25"/>
  <cols>
    <col min="1" max="1" width="18.453125" customWidth="1"/>
  </cols>
  <sheetData>
    <row r="1" spans="1:1" x14ac:dyDescent="0.25">
      <c r="A1" s="222" t="s">
        <v>241</v>
      </c>
    </row>
    <row r="2" spans="1:1" x14ac:dyDescent="0.25">
      <c r="A2" s="222" t="s">
        <v>240</v>
      </c>
    </row>
    <row r="4" spans="1:1" x14ac:dyDescent="0.25">
      <c r="A4" s="38" t="s">
        <v>262</v>
      </c>
    </row>
    <row r="5" spans="1:1" x14ac:dyDescent="0.25">
      <c r="A5" s="38" t="s">
        <v>263</v>
      </c>
    </row>
    <row r="6" spans="1:1" x14ac:dyDescent="0.25">
      <c r="A6" s="38" t="s">
        <v>264</v>
      </c>
    </row>
    <row r="8" spans="1:1" x14ac:dyDescent="0.25">
      <c r="A8" s="38" t="s">
        <v>262</v>
      </c>
    </row>
    <row r="9" spans="1:1" x14ac:dyDescent="0.25">
      <c r="A9" s="38" t="s">
        <v>263</v>
      </c>
    </row>
    <row r="10" spans="1:1" x14ac:dyDescent="0.25">
      <c r="A10" s="38" t="s">
        <v>265</v>
      </c>
    </row>
    <row r="12" spans="1:1" x14ac:dyDescent="0.25">
      <c r="A12" s="38" t="s">
        <v>262</v>
      </c>
    </row>
    <row r="13" spans="1:1" x14ac:dyDescent="0.25">
      <c r="A13" s="38" t="s">
        <v>263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93843-AAF4-40C1-8B40-A3D5955EBC81}">
  <sheetPr>
    <tabColor theme="6"/>
    <pageSetUpPr fitToPage="1"/>
  </sheetPr>
  <dimension ref="A1:AB49"/>
  <sheetViews>
    <sheetView zoomScale="50" zoomScaleNormal="50" workbookViewId="0">
      <pane ySplit="1" topLeftCell="A5" activePane="bottomLeft" state="frozen"/>
      <selection pane="bottomLeft" activeCell="W37" sqref="V36:W37"/>
    </sheetView>
  </sheetViews>
  <sheetFormatPr defaultColWidth="9.1796875" defaultRowHeight="18.5" x14ac:dyDescent="0.25"/>
  <cols>
    <col min="1" max="1" width="4.26953125" style="98" customWidth="1"/>
    <col min="2" max="2" width="4.7265625" style="98" customWidth="1"/>
    <col min="3" max="3" width="13.54296875" style="98" customWidth="1"/>
    <col min="4" max="4" width="12" style="98" customWidth="1"/>
    <col min="5" max="5" width="11.26953125" style="99" customWidth="1"/>
    <col min="6" max="6" width="18" style="133" customWidth="1"/>
    <col min="7" max="7" width="9.1796875" style="50" customWidth="1"/>
    <col min="8" max="8" width="29.453125" style="50" hidden="1" customWidth="1"/>
    <col min="9" max="9" width="8.81640625" style="50" customWidth="1"/>
    <col min="10" max="10" width="6" style="50" customWidth="1"/>
    <col min="11" max="11" width="11.1796875" style="103" customWidth="1"/>
    <col min="12" max="12" width="1.7265625" style="100" customWidth="1"/>
    <col min="13" max="13" width="15.26953125" style="50" customWidth="1"/>
    <col min="14" max="14" width="1.54296875" style="50" customWidth="1"/>
    <col min="15" max="15" width="11" style="50" customWidth="1"/>
    <col min="16" max="16" width="1.81640625" style="100" customWidth="1"/>
    <col min="17" max="17" width="10.81640625" style="100" customWidth="1"/>
    <col min="18" max="18" width="5.7265625" style="100" customWidth="1"/>
    <col min="19" max="19" width="10.7265625" style="100" customWidth="1"/>
    <col min="20" max="20" width="1.81640625" style="137" customWidth="1"/>
    <col min="21" max="21" width="12.453125" style="101" customWidth="1"/>
    <col min="22" max="22" width="6.26953125" style="101" customWidth="1"/>
    <col min="23" max="23" width="18.7265625" style="102" customWidth="1"/>
    <col min="24" max="24" width="2.1796875" style="54" customWidth="1"/>
    <col min="25" max="25" width="11.26953125" style="54" customWidth="1"/>
    <col min="26" max="26" width="11.1796875" style="54" customWidth="1"/>
    <col min="27" max="28" width="9.1796875" style="54"/>
    <col min="29" max="16384" width="9.1796875" style="50"/>
  </cols>
  <sheetData>
    <row r="1" spans="1:28" ht="28" customHeight="1" thickBot="1" x14ac:dyDescent="0.3">
      <c r="A1" s="594" t="s">
        <v>317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304" t="s">
        <v>271</v>
      </c>
      <c r="W1" s="508">
        <v>44378</v>
      </c>
    </row>
    <row r="2" spans="1:28" s="54" customFormat="1" ht="6" customHeight="1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3"/>
      <c r="P2" s="53"/>
      <c r="Q2" s="53"/>
      <c r="R2" s="53"/>
      <c r="S2" s="53"/>
      <c r="T2" s="53"/>
      <c r="U2" s="53"/>
      <c r="V2" s="53"/>
      <c r="W2" s="53"/>
    </row>
    <row r="3" spans="1:28" s="54" customFormat="1" ht="19" thickBot="1" x14ac:dyDescent="0.3">
      <c r="A3" s="310" t="s">
        <v>191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658"/>
      <c r="N3" s="659"/>
      <c r="O3" s="316"/>
      <c r="P3" s="216"/>
      <c r="Q3" s="717" t="s">
        <v>218</v>
      </c>
      <c r="R3" s="718"/>
      <c r="S3" s="718"/>
      <c r="T3" s="718"/>
      <c r="U3" s="718"/>
      <c r="V3" s="718"/>
      <c r="W3" s="719"/>
      <c r="Y3" s="174" t="s">
        <v>207</v>
      </c>
      <c r="Z3" s="132"/>
    </row>
    <row r="4" spans="1:28" s="57" customFormat="1" ht="15.5" x14ac:dyDescent="0.25">
      <c r="A4" s="604" t="s">
        <v>188</v>
      </c>
      <c r="B4" s="583"/>
      <c r="C4" s="583"/>
      <c r="D4" s="605">
        <f>L1</f>
        <v>0</v>
      </c>
      <c r="E4" s="606"/>
      <c r="F4" s="690" t="s">
        <v>22</v>
      </c>
      <c r="G4" s="603"/>
      <c r="H4" s="187"/>
      <c r="I4" s="708" t="s">
        <v>327</v>
      </c>
      <c r="J4" s="708"/>
      <c r="K4" s="708"/>
      <c r="L4" s="709"/>
      <c r="M4" s="720" t="s">
        <v>214</v>
      </c>
      <c r="N4" s="720"/>
      <c r="O4" s="201">
        <v>0</v>
      </c>
      <c r="P4" s="217"/>
      <c r="Q4" s="721" t="s">
        <v>193</v>
      </c>
      <c r="R4" s="722"/>
      <c r="S4" s="722"/>
      <c r="T4" s="722"/>
      <c r="U4" s="722"/>
      <c r="V4" s="722"/>
      <c r="W4" s="723"/>
      <c r="Y4" s="229" t="s">
        <v>244</v>
      </c>
      <c r="Z4" s="227" t="s">
        <v>245</v>
      </c>
      <c r="AA4" s="227" t="s">
        <v>246</v>
      </c>
    </row>
    <row r="5" spans="1:28" s="57" customFormat="1" ht="15.5" x14ac:dyDescent="0.25">
      <c r="A5" s="576" t="s">
        <v>3</v>
      </c>
      <c r="B5" s="577"/>
      <c r="C5" s="577"/>
      <c r="D5" s="581" t="s">
        <v>327</v>
      </c>
      <c r="E5" s="582"/>
      <c r="F5" s="689" t="s">
        <v>201</v>
      </c>
      <c r="G5" s="578"/>
      <c r="H5" s="185"/>
      <c r="I5" s="706" t="s">
        <v>327</v>
      </c>
      <c r="J5" s="706"/>
      <c r="K5" s="706"/>
      <c r="L5" s="707"/>
      <c r="M5" s="688" t="s">
        <v>17</v>
      </c>
      <c r="N5" s="688"/>
      <c r="O5" s="58">
        <v>0</v>
      </c>
      <c r="P5" s="217"/>
      <c r="Q5" s="728" t="s">
        <v>242</v>
      </c>
      <c r="R5" s="729"/>
      <c r="S5" s="729"/>
      <c r="T5" s="729"/>
      <c r="U5" s="729"/>
      <c r="V5" s="729"/>
      <c r="W5" s="730"/>
      <c r="Y5" s="172" t="s">
        <v>25</v>
      </c>
      <c r="Z5" s="176">
        <f>SUMIF($G$16:$G$41,"STATE",$K$16:$K$41)</f>
        <v>0</v>
      </c>
      <c r="AA5" s="176">
        <f>SUMIF($G$16:$G$41,"STATE",$S$16:$S$41)</f>
        <v>0</v>
      </c>
    </row>
    <row r="6" spans="1:28" s="57" customFormat="1" ht="16" thickBot="1" x14ac:dyDescent="0.3">
      <c r="A6" s="576" t="s">
        <v>10</v>
      </c>
      <c r="B6" s="577"/>
      <c r="C6" s="577"/>
      <c r="D6" s="581" t="s">
        <v>327</v>
      </c>
      <c r="E6" s="724"/>
      <c r="F6" s="689" t="s">
        <v>15</v>
      </c>
      <c r="G6" s="578"/>
      <c r="H6" s="185"/>
      <c r="I6" s="706" t="s">
        <v>327</v>
      </c>
      <c r="J6" s="706"/>
      <c r="K6" s="706"/>
      <c r="L6" s="707"/>
      <c r="M6" s="710" t="s">
        <v>190</v>
      </c>
      <c r="N6" s="710"/>
      <c r="O6" s="204">
        <f>O4+O5*10</f>
        <v>0</v>
      </c>
      <c r="P6" s="217"/>
      <c r="Q6" s="725" t="s">
        <v>313</v>
      </c>
      <c r="R6" s="726"/>
      <c r="S6" s="726"/>
      <c r="T6" s="726"/>
      <c r="U6" s="726"/>
      <c r="V6" s="726"/>
      <c r="W6" s="727"/>
      <c r="Y6" s="172" t="s">
        <v>26</v>
      </c>
      <c r="Z6" s="176">
        <f>SUMIF($G$16:$G$41,"COUNTY",$K$16:$K$41)</f>
        <v>0</v>
      </c>
      <c r="AA6" s="176">
        <f>SUMIF($G$16:$G$41,"COUNTY",$S$16:$S$41)</f>
        <v>0</v>
      </c>
    </row>
    <row r="7" spans="1:28" s="57" customFormat="1" ht="16" thickBot="1" x14ac:dyDescent="0.3">
      <c r="A7" s="576" t="s">
        <v>4</v>
      </c>
      <c r="B7" s="577"/>
      <c r="C7" s="577"/>
      <c r="D7" s="586" t="s">
        <v>327</v>
      </c>
      <c r="E7" s="582"/>
      <c r="F7" s="697" t="s">
        <v>16</v>
      </c>
      <c r="G7" s="570"/>
      <c r="H7" s="186"/>
      <c r="I7" s="714" t="s">
        <v>327</v>
      </c>
      <c r="J7" s="714"/>
      <c r="K7" s="714"/>
      <c r="L7" s="715"/>
      <c r="M7" s="214"/>
      <c r="N7" s="221"/>
      <c r="O7" s="215"/>
      <c r="P7" s="217"/>
      <c r="Q7" s="698" t="s">
        <v>192</v>
      </c>
      <c r="R7" s="699"/>
      <c r="S7" s="699"/>
      <c r="T7" s="699"/>
      <c r="U7" s="699"/>
      <c r="V7" s="699"/>
      <c r="W7" s="700"/>
      <c r="Y7" s="172" t="s">
        <v>45</v>
      </c>
      <c r="Z7" s="176">
        <f>SUMIF($G$16:$G$41,"CITY",$K$16:$K$41)</f>
        <v>0</v>
      </c>
      <c r="AA7" s="176">
        <f>SUMIF($G$16:$G$41,"CITY",$S$16:$S$41)</f>
        <v>0</v>
      </c>
    </row>
    <row r="8" spans="1:28" s="57" customFormat="1" ht="15.75" customHeight="1" x14ac:dyDescent="0.25">
      <c r="A8" s="701" t="s">
        <v>47</v>
      </c>
      <c r="B8" s="702"/>
      <c r="C8" s="702"/>
      <c r="D8" s="703">
        <v>1</v>
      </c>
      <c r="E8" s="704"/>
      <c r="F8" s="690" t="s">
        <v>210</v>
      </c>
      <c r="G8" s="603"/>
      <c r="H8" s="187"/>
      <c r="I8" s="708"/>
      <c r="J8" s="708"/>
      <c r="K8" s="708"/>
      <c r="L8" s="709"/>
      <c r="M8" s="705" t="s">
        <v>214</v>
      </c>
      <c r="N8" s="705"/>
      <c r="O8" s="55">
        <v>0</v>
      </c>
      <c r="P8" s="218"/>
      <c r="Q8" s="682" t="s">
        <v>243</v>
      </c>
      <c r="R8" s="546"/>
      <c r="S8" s="546"/>
      <c r="T8" s="546"/>
      <c r="U8" s="546"/>
      <c r="V8" s="546"/>
      <c r="W8" s="683"/>
      <c r="Y8" s="172" t="s">
        <v>187</v>
      </c>
      <c r="Z8" s="176">
        <f>SUMIF($G$16:$G$41,"COURT",$K$16:$K$41)</f>
        <v>0</v>
      </c>
      <c r="AA8" s="176">
        <f>SUMIF($G$16:$G$41,"COURT",$S$16:$S$41)</f>
        <v>0</v>
      </c>
    </row>
    <row r="9" spans="1:28" s="57" customFormat="1" ht="18" customHeight="1" thickBot="1" x14ac:dyDescent="0.3">
      <c r="A9" s="686" t="s">
        <v>46</v>
      </c>
      <c r="B9" s="687"/>
      <c r="C9" s="687"/>
      <c r="D9" s="596">
        <f>100%-D8</f>
        <v>0</v>
      </c>
      <c r="E9" s="597"/>
      <c r="F9" s="689" t="s">
        <v>201</v>
      </c>
      <c r="G9" s="578"/>
      <c r="H9" s="185"/>
      <c r="I9" s="706"/>
      <c r="J9" s="706"/>
      <c r="K9" s="706"/>
      <c r="L9" s="707"/>
      <c r="M9" s="688" t="s">
        <v>17</v>
      </c>
      <c r="N9" s="688"/>
      <c r="O9" s="58"/>
      <c r="P9" s="218"/>
      <c r="Q9" s="684"/>
      <c r="R9" s="549"/>
      <c r="S9" s="549"/>
      <c r="T9" s="549"/>
      <c r="U9" s="549"/>
      <c r="V9" s="549"/>
      <c r="W9" s="685"/>
      <c r="Y9" s="153" t="s">
        <v>267</v>
      </c>
      <c r="Z9" s="176">
        <f>SUMIF($G$16:$G$41,"CNTY or CTY",$K$16:$K$41)</f>
        <v>0</v>
      </c>
      <c r="AA9" s="176">
        <f>SUMIF($G$16:$G$41,"CNTY or CTY",$S$16:$S$41)</f>
        <v>0</v>
      </c>
    </row>
    <row r="10" spans="1:28" s="57" customFormat="1" ht="16.5" customHeight="1" thickBot="1" x14ac:dyDescent="0.3">
      <c r="A10" s="628" t="s">
        <v>224</v>
      </c>
      <c r="B10" s="629"/>
      <c r="C10" s="629"/>
      <c r="D10" s="624">
        <f>O6+O10</f>
        <v>0</v>
      </c>
      <c r="E10" s="625"/>
      <c r="F10" s="689" t="s">
        <v>15</v>
      </c>
      <c r="G10" s="578"/>
      <c r="H10" s="185"/>
      <c r="I10" s="706"/>
      <c r="J10" s="706"/>
      <c r="K10" s="706"/>
      <c r="L10" s="707"/>
      <c r="M10" s="710" t="s">
        <v>190</v>
      </c>
      <c r="N10" s="710"/>
      <c r="O10" s="204">
        <f>O8+O9*10</f>
        <v>0</v>
      </c>
      <c r="P10" s="219"/>
      <c r="Q10" s="711" t="s">
        <v>196</v>
      </c>
      <c r="R10" s="712"/>
      <c r="S10" s="712"/>
      <c r="T10" s="712"/>
      <c r="U10" s="712"/>
      <c r="V10" s="712"/>
      <c r="W10" s="713"/>
      <c r="Y10" s="355" t="s">
        <v>203</v>
      </c>
      <c r="Z10" s="148">
        <f>SUM(Z5:Z9)</f>
        <v>0</v>
      </c>
      <c r="AA10" s="148">
        <f>SUM(AA5:AA9)</f>
        <v>0</v>
      </c>
    </row>
    <row r="11" spans="1:28" s="57" customFormat="1" ht="16.5" customHeight="1" thickBot="1" x14ac:dyDescent="0.3">
      <c r="A11" s="626" t="s">
        <v>225</v>
      </c>
      <c r="B11" s="627"/>
      <c r="C11" s="627"/>
      <c r="D11" s="622">
        <f>ROUNDUP(D10/10,0)</f>
        <v>0</v>
      </c>
      <c r="E11" s="623"/>
      <c r="F11" s="697" t="s">
        <v>16</v>
      </c>
      <c r="G11" s="570"/>
      <c r="H11" s="186"/>
      <c r="I11" s="714"/>
      <c r="J11" s="714"/>
      <c r="K11" s="714"/>
      <c r="L11" s="715"/>
      <c r="M11" s="660" t="s">
        <v>304</v>
      </c>
      <c r="N11" s="661"/>
      <c r="O11" s="312">
        <f>'Case Study #2 -DUI'!P11</f>
        <v>7</v>
      </c>
      <c r="P11" s="219"/>
      <c r="Q11" s="670" t="s">
        <v>261</v>
      </c>
      <c r="R11" s="671"/>
      <c r="S11" s="671"/>
      <c r="T11" s="671"/>
      <c r="U11" s="671"/>
      <c r="V11" s="671"/>
      <c r="W11" s="672"/>
      <c r="Z11" s="228">
        <f>Z10-K43</f>
        <v>0</v>
      </c>
      <c r="AA11" s="228">
        <f>AA10-S43</f>
        <v>0</v>
      </c>
    </row>
    <row r="12" spans="1:28" s="57" customFormat="1" ht="15.75" customHeight="1" thickBot="1" x14ac:dyDescent="0.3">
      <c r="A12" s="203"/>
      <c r="B12" s="203"/>
      <c r="C12" s="191"/>
      <c r="D12" s="191"/>
      <c r="E12" s="191"/>
      <c r="F12" s="66"/>
      <c r="G12" s="59"/>
      <c r="H12" s="60"/>
      <c r="I12" s="61"/>
      <c r="J12" s="61"/>
      <c r="K12" s="61"/>
      <c r="L12" s="61"/>
      <c r="O12" s="62"/>
      <c r="P12" s="56"/>
      <c r="Q12" s="56"/>
      <c r="R12" s="56"/>
      <c r="S12" s="56"/>
      <c r="T12" s="56"/>
      <c r="U12" s="63"/>
      <c r="V12" s="63"/>
      <c r="W12" s="64"/>
      <c r="AA12" s="65"/>
    </row>
    <row r="13" spans="1:28" s="109" customFormat="1" ht="18.75" customHeight="1" thickBot="1" x14ac:dyDescent="0.3">
      <c r="A13" s="192"/>
      <c r="B13" s="192"/>
      <c r="C13" s="192"/>
      <c r="D13" s="192"/>
      <c r="E13" s="192"/>
      <c r="F13" s="107"/>
      <c r="G13" s="108"/>
      <c r="I13" s="679" t="s">
        <v>237</v>
      </c>
      <c r="J13" s="680"/>
      <c r="K13" s="681"/>
      <c r="L13" s="110"/>
      <c r="M13" s="691" t="s">
        <v>186</v>
      </c>
      <c r="N13" s="692"/>
      <c r="O13" s="693"/>
      <c r="P13" s="111"/>
      <c r="Q13" s="694" t="s">
        <v>236</v>
      </c>
      <c r="R13" s="695"/>
      <c r="S13" s="696"/>
      <c r="T13" s="207"/>
      <c r="U13" s="158"/>
      <c r="V13" s="158"/>
      <c r="W13" s="159"/>
      <c r="X13" s="108"/>
      <c r="Y13" s="108"/>
      <c r="Z13" s="108"/>
      <c r="AA13" s="108"/>
      <c r="AB13" s="108"/>
    </row>
    <row r="14" spans="1:28" ht="44.25" customHeight="1" thickBot="1" x14ac:dyDescent="0.3">
      <c r="A14" s="357">
        <v>0.02</v>
      </c>
      <c r="B14" s="357" t="s">
        <v>51</v>
      </c>
      <c r="C14" s="632" t="s">
        <v>183</v>
      </c>
      <c r="D14" s="633"/>
      <c r="E14" s="633"/>
      <c r="F14" s="634"/>
      <c r="G14" s="359" t="s">
        <v>206</v>
      </c>
      <c r="H14" s="114" t="s">
        <v>0</v>
      </c>
      <c r="I14" s="656" t="s">
        <v>238</v>
      </c>
      <c r="J14" s="673" t="s">
        <v>5</v>
      </c>
      <c r="K14" s="362" t="s">
        <v>239</v>
      </c>
      <c r="L14" s="67"/>
      <c r="M14" s="536" t="s">
        <v>217</v>
      </c>
      <c r="N14" s="537"/>
      <c r="O14" s="363" t="s">
        <v>205</v>
      </c>
      <c r="P14" s="121"/>
      <c r="Q14" s="361" t="s">
        <v>260</v>
      </c>
      <c r="R14" s="673" t="s">
        <v>5</v>
      </c>
      <c r="S14" s="362" t="s">
        <v>239</v>
      </c>
      <c r="T14" s="208"/>
      <c r="U14" s="356" t="s">
        <v>213</v>
      </c>
      <c r="V14" s="675" t="s">
        <v>54</v>
      </c>
      <c r="W14" s="677" t="s">
        <v>252</v>
      </c>
    </row>
    <row r="15" spans="1:28" ht="30.75" customHeight="1" thickBot="1" x14ac:dyDescent="0.3">
      <c r="A15" s="358"/>
      <c r="B15" s="358"/>
      <c r="C15" s="635"/>
      <c r="D15" s="636"/>
      <c r="E15" s="636"/>
      <c r="F15" s="637"/>
      <c r="G15" s="360"/>
      <c r="H15" s="360"/>
      <c r="I15" s="657"/>
      <c r="J15" s="674"/>
      <c r="K15" s="223" t="s">
        <v>35</v>
      </c>
      <c r="L15" s="68"/>
      <c r="M15" s="534"/>
      <c r="N15" s="535"/>
      <c r="O15" s="240" t="s">
        <v>36</v>
      </c>
      <c r="P15" s="121"/>
      <c r="Q15" s="225" t="e">
        <f>(Q35-Q32)/(I35-I32)</f>
        <v>#DIV/0!</v>
      </c>
      <c r="R15" s="674"/>
      <c r="S15" s="223" t="s">
        <v>37</v>
      </c>
      <c r="T15" s="208"/>
      <c r="U15" s="241" t="s">
        <v>241</v>
      </c>
      <c r="V15" s="676"/>
      <c r="W15" s="678"/>
    </row>
    <row r="16" spans="1:28" s="74" customFormat="1" ht="15.75" hidden="1" customHeight="1" thickTop="1" x14ac:dyDescent="0.25">
      <c r="A16" s="69" t="s">
        <v>7</v>
      </c>
      <c r="B16" s="195"/>
      <c r="C16" s="569"/>
      <c r="D16" s="569"/>
      <c r="E16" s="569"/>
      <c r="F16" s="569"/>
      <c r="G16" s="70"/>
      <c r="H16" s="71"/>
      <c r="I16" s="154"/>
      <c r="J16" s="162"/>
      <c r="K16" s="196"/>
      <c r="L16" s="164"/>
      <c r="M16" s="551"/>
      <c r="N16" s="552"/>
      <c r="O16" s="190"/>
      <c r="P16" s="72"/>
      <c r="Q16" s="160"/>
      <c r="R16" s="162"/>
      <c r="S16" s="166"/>
      <c r="T16" s="209"/>
      <c r="U16" s="181"/>
      <c r="V16" s="181"/>
      <c r="W16" s="105"/>
      <c r="X16" s="125"/>
      <c r="Y16" s="125"/>
      <c r="Z16" s="125"/>
      <c r="AA16" s="125"/>
      <c r="AB16" s="125"/>
    </row>
    <row r="17" spans="1:28" s="74" customFormat="1" ht="15.75" hidden="1" customHeight="1" x14ac:dyDescent="0.25">
      <c r="A17" s="69" t="s">
        <v>7</v>
      </c>
      <c r="B17" s="226"/>
      <c r="C17" s="532"/>
      <c r="D17" s="553"/>
      <c r="E17" s="553"/>
      <c r="F17" s="554"/>
      <c r="G17" s="76"/>
      <c r="H17" s="77"/>
      <c r="I17" s="156"/>
      <c r="J17" s="162"/>
      <c r="K17" s="167"/>
      <c r="L17" s="164"/>
      <c r="M17" s="532"/>
      <c r="N17" s="533"/>
      <c r="O17" s="233"/>
      <c r="P17" s="72"/>
      <c r="Q17" s="160"/>
      <c r="R17" s="162"/>
      <c r="S17" s="167"/>
      <c r="T17" s="209"/>
      <c r="U17" s="181"/>
      <c r="V17" s="181"/>
      <c r="W17" s="73"/>
      <c r="X17" s="125"/>
      <c r="Y17" s="125"/>
      <c r="Z17" s="125"/>
      <c r="AA17" s="125"/>
      <c r="AB17" s="125"/>
    </row>
    <row r="18" spans="1:28" s="74" customFormat="1" ht="15.75" hidden="1" customHeight="1" thickTop="1" x14ac:dyDescent="0.25">
      <c r="A18" s="69" t="s">
        <v>7</v>
      </c>
      <c r="B18" s="226"/>
      <c r="C18" s="569"/>
      <c r="D18" s="569"/>
      <c r="E18" s="569"/>
      <c r="F18" s="569"/>
      <c r="G18" s="232"/>
      <c r="H18" s="77"/>
      <c r="I18" s="156"/>
      <c r="J18" s="162"/>
      <c r="K18" s="167"/>
      <c r="L18" s="164"/>
      <c r="M18" s="532"/>
      <c r="N18" s="533"/>
      <c r="O18" s="190"/>
      <c r="P18" s="72"/>
      <c r="Q18" s="160"/>
      <c r="R18" s="162"/>
      <c r="S18" s="167"/>
      <c r="T18" s="209"/>
      <c r="U18" s="181"/>
      <c r="V18" s="181"/>
      <c r="W18" s="73"/>
      <c r="X18" s="125"/>
      <c r="Y18" s="125"/>
      <c r="Z18" s="125"/>
      <c r="AA18" s="125"/>
      <c r="AB18" s="125"/>
    </row>
    <row r="19" spans="1:28" s="74" customFormat="1" ht="15.75" customHeight="1" x14ac:dyDescent="0.25">
      <c r="A19" s="69" t="s">
        <v>7</v>
      </c>
      <c r="B19" s="668" t="s">
        <v>198</v>
      </c>
      <c r="C19" s="555" t="s">
        <v>169</v>
      </c>
      <c r="D19" s="555"/>
      <c r="E19" s="555"/>
      <c r="F19" s="555"/>
      <c r="G19" s="352" t="s">
        <v>26</v>
      </c>
      <c r="H19" s="77" t="s">
        <v>21</v>
      </c>
      <c r="I19" s="155">
        <f>(D10-SUM(I16:I18))*D8</f>
        <v>0</v>
      </c>
      <c r="J19" s="162">
        <f>IF(A19="Y",I19* 2%,0)</f>
        <v>0</v>
      </c>
      <c r="K19" s="167">
        <f>I19-J19</f>
        <v>0</v>
      </c>
      <c r="L19" s="164"/>
      <c r="M19" s="532"/>
      <c r="N19" s="533"/>
      <c r="O19" s="78"/>
      <c r="P19" s="72"/>
      <c r="Q19" s="160">
        <f t="shared" ref="Q19:Q31" si="0">IF($Q$43=0,,I19*$Q$15)</f>
        <v>0</v>
      </c>
      <c r="R19" s="162">
        <f t="shared" ref="R19:R34" si="1">IF(A19="Y", Q19*2%,)</f>
        <v>0</v>
      </c>
      <c r="S19" s="167">
        <f t="shared" ref="S19:S40" si="2">Q19-R19</f>
        <v>0</v>
      </c>
      <c r="T19" s="209"/>
      <c r="U19" s="181">
        <f t="shared" ref="U19:U34" si="3">IF($U$15="BASE-UP   (B-A)", O19-K19,O19-S19)</f>
        <v>0</v>
      </c>
      <c r="V19" s="279"/>
      <c r="W19" s="73"/>
      <c r="X19" s="125"/>
      <c r="Y19" s="125"/>
      <c r="Z19" s="125"/>
      <c r="AA19" s="125"/>
      <c r="AB19" s="125"/>
    </row>
    <row r="20" spans="1:28" s="74" customFormat="1" ht="15.75" customHeight="1" x14ac:dyDescent="0.25">
      <c r="A20" s="69" t="s">
        <v>7</v>
      </c>
      <c r="B20" s="669"/>
      <c r="C20" s="555" t="s">
        <v>170</v>
      </c>
      <c r="D20" s="555"/>
      <c r="E20" s="555"/>
      <c r="F20" s="555"/>
      <c r="G20" s="352" t="s">
        <v>45</v>
      </c>
      <c r="H20" s="77" t="s">
        <v>19</v>
      </c>
      <c r="I20" s="155">
        <f>(D10-SUM(I16:I18))*D9</f>
        <v>0</v>
      </c>
      <c r="J20" s="162">
        <f t="shared" ref="J20:J34" si="4">IF(A20="Y",I20* 2%,0)</f>
        <v>0</v>
      </c>
      <c r="K20" s="167">
        <f t="shared" ref="K20:K33" si="5">I20-J20</f>
        <v>0</v>
      </c>
      <c r="L20" s="164"/>
      <c r="M20" s="532"/>
      <c r="N20" s="533"/>
      <c r="O20" s="78"/>
      <c r="P20" s="72"/>
      <c r="Q20" s="160">
        <f t="shared" si="0"/>
        <v>0</v>
      </c>
      <c r="R20" s="162">
        <f t="shared" si="1"/>
        <v>0</v>
      </c>
      <c r="S20" s="167">
        <f t="shared" si="2"/>
        <v>0</v>
      </c>
      <c r="T20" s="209"/>
      <c r="U20" s="181">
        <f t="shared" si="3"/>
        <v>0</v>
      </c>
      <c r="V20" s="279"/>
      <c r="W20" s="73"/>
      <c r="X20" s="125"/>
      <c r="Y20" s="125"/>
      <c r="Z20" s="125"/>
      <c r="AA20" s="125"/>
      <c r="AB20" s="125"/>
    </row>
    <row r="21" spans="1:28" s="74" customFormat="1" ht="15.75" customHeight="1" x14ac:dyDescent="0.25">
      <c r="A21" s="69" t="s">
        <v>7</v>
      </c>
      <c r="B21" s="75">
        <v>7</v>
      </c>
      <c r="C21" s="555" t="s">
        <v>294</v>
      </c>
      <c r="D21" s="555"/>
      <c r="E21" s="555"/>
      <c r="F21" s="555"/>
      <c r="G21" s="352" t="s">
        <v>25</v>
      </c>
      <c r="H21" s="77" t="s">
        <v>20</v>
      </c>
      <c r="I21" s="155">
        <f>$D$11*B21</f>
        <v>0</v>
      </c>
      <c r="J21" s="162">
        <f t="shared" si="4"/>
        <v>0</v>
      </c>
      <c r="K21" s="167">
        <f t="shared" si="5"/>
        <v>0</v>
      </c>
      <c r="L21" s="164"/>
      <c r="M21" s="532"/>
      <c r="N21" s="533"/>
      <c r="O21" s="80"/>
      <c r="P21" s="81"/>
      <c r="Q21" s="160">
        <f t="shared" si="0"/>
        <v>0</v>
      </c>
      <c r="R21" s="162">
        <f t="shared" si="1"/>
        <v>0</v>
      </c>
      <c r="S21" s="167">
        <f t="shared" si="2"/>
        <v>0</v>
      </c>
      <c r="T21" s="209"/>
      <c r="U21" s="181">
        <f t="shared" si="3"/>
        <v>0</v>
      </c>
      <c r="V21" s="279"/>
      <c r="W21" s="73"/>
      <c r="X21" s="125"/>
      <c r="Y21" s="125"/>
      <c r="Z21" s="125"/>
      <c r="AA21" s="125"/>
      <c r="AB21" s="125"/>
    </row>
    <row r="22" spans="1:28" s="74" customFormat="1" ht="15.75" customHeight="1" x14ac:dyDescent="0.25">
      <c r="A22" s="69" t="s">
        <v>7</v>
      </c>
      <c r="B22" s="75">
        <v>3</v>
      </c>
      <c r="C22" s="555" t="s">
        <v>295</v>
      </c>
      <c r="D22" s="555"/>
      <c r="E22" s="555"/>
      <c r="F22" s="555"/>
      <c r="G22" s="352" t="s">
        <v>26</v>
      </c>
      <c r="H22" s="77" t="s">
        <v>21</v>
      </c>
      <c r="I22" s="155">
        <f t="shared" ref="I22:I33" si="6">$D$11*B22</f>
        <v>0</v>
      </c>
      <c r="J22" s="162">
        <f t="shared" si="4"/>
        <v>0</v>
      </c>
      <c r="K22" s="167">
        <f t="shared" si="5"/>
        <v>0</v>
      </c>
      <c r="L22" s="164"/>
      <c r="M22" s="532"/>
      <c r="N22" s="533"/>
      <c r="O22" s="78"/>
      <c r="P22" s="72"/>
      <c r="Q22" s="160">
        <f t="shared" si="0"/>
        <v>0</v>
      </c>
      <c r="R22" s="162">
        <f t="shared" si="1"/>
        <v>0</v>
      </c>
      <c r="S22" s="167">
        <f t="shared" si="2"/>
        <v>0</v>
      </c>
      <c r="T22" s="209"/>
      <c r="U22" s="181">
        <f t="shared" si="3"/>
        <v>0</v>
      </c>
      <c r="V22" s="279"/>
      <c r="W22" s="73"/>
      <c r="X22" s="125"/>
      <c r="Y22" s="125"/>
      <c r="Z22" s="125"/>
      <c r="AA22" s="125"/>
      <c r="AB22" s="125"/>
    </row>
    <row r="23" spans="1:28" s="74" customFormat="1" ht="15.75" customHeight="1" x14ac:dyDescent="0.25">
      <c r="A23" s="69" t="s">
        <v>7</v>
      </c>
      <c r="B23" s="344">
        <v>0.75</v>
      </c>
      <c r="C23" s="532" t="s">
        <v>311</v>
      </c>
      <c r="D23" s="553"/>
      <c r="E23" s="553"/>
      <c r="F23" s="554"/>
      <c r="G23" s="352" t="s">
        <v>26</v>
      </c>
      <c r="H23" s="77" t="s">
        <v>48</v>
      </c>
      <c r="I23" s="155">
        <f t="shared" si="6"/>
        <v>0</v>
      </c>
      <c r="J23" s="162">
        <f t="shared" si="4"/>
        <v>0</v>
      </c>
      <c r="K23" s="167">
        <f t="shared" si="5"/>
        <v>0</v>
      </c>
      <c r="L23" s="164"/>
      <c r="M23" s="532"/>
      <c r="N23" s="533"/>
      <c r="O23" s="78"/>
      <c r="P23" s="72"/>
      <c r="Q23" s="160">
        <f t="shared" si="0"/>
        <v>0</v>
      </c>
      <c r="R23" s="162">
        <f t="shared" si="1"/>
        <v>0</v>
      </c>
      <c r="S23" s="167">
        <f t="shared" si="2"/>
        <v>0</v>
      </c>
      <c r="T23" s="209"/>
      <c r="U23" s="181">
        <f t="shared" si="3"/>
        <v>0</v>
      </c>
      <c r="V23" s="279"/>
      <c r="W23" s="82"/>
      <c r="X23" s="125"/>
      <c r="Y23" s="125"/>
      <c r="Z23" s="125"/>
      <c r="AA23" s="125"/>
      <c r="AB23" s="125"/>
    </row>
    <row r="24" spans="1:28" s="74" customFormat="1" ht="15.75" customHeight="1" x14ac:dyDescent="0.25">
      <c r="A24" s="69" t="s">
        <v>7</v>
      </c>
      <c r="B24" s="344">
        <v>0.25</v>
      </c>
      <c r="C24" s="532" t="s">
        <v>310</v>
      </c>
      <c r="D24" s="553"/>
      <c r="E24" s="553"/>
      <c r="F24" s="554"/>
      <c r="G24" s="352" t="s">
        <v>25</v>
      </c>
      <c r="H24" s="77" t="s">
        <v>48</v>
      </c>
      <c r="I24" s="155">
        <f t="shared" si="6"/>
        <v>0</v>
      </c>
      <c r="J24" s="162">
        <f t="shared" si="4"/>
        <v>0</v>
      </c>
      <c r="K24" s="167">
        <f t="shared" si="5"/>
        <v>0</v>
      </c>
      <c r="L24" s="164"/>
      <c r="M24" s="532"/>
      <c r="N24" s="533"/>
      <c r="O24" s="78"/>
      <c r="P24" s="72"/>
      <c r="Q24" s="160">
        <f t="shared" si="0"/>
        <v>0</v>
      </c>
      <c r="R24" s="162">
        <f t="shared" si="1"/>
        <v>0</v>
      </c>
      <c r="S24" s="167">
        <f t="shared" si="2"/>
        <v>0</v>
      </c>
      <c r="T24" s="209"/>
      <c r="U24" s="181">
        <f t="shared" si="3"/>
        <v>0</v>
      </c>
      <c r="V24" s="279"/>
      <c r="W24" s="82"/>
      <c r="X24" s="125"/>
      <c r="Y24" s="125"/>
      <c r="Z24" s="125"/>
      <c r="AA24" s="125"/>
      <c r="AB24" s="125"/>
    </row>
    <row r="25" spans="1:28" s="74" customFormat="1" ht="14.5" x14ac:dyDescent="0.25">
      <c r="A25" s="69" t="s">
        <v>7</v>
      </c>
      <c r="B25" s="75">
        <v>4</v>
      </c>
      <c r="C25" s="532" t="s">
        <v>270</v>
      </c>
      <c r="D25" s="553"/>
      <c r="E25" s="553"/>
      <c r="F25" s="554"/>
      <c r="G25" s="352" t="s">
        <v>25</v>
      </c>
      <c r="H25" s="77" t="s">
        <v>60</v>
      </c>
      <c r="I25" s="155">
        <f t="shared" si="6"/>
        <v>0</v>
      </c>
      <c r="J25" s="162">
        <f t="shared" si="4"/>
        <v>0</v>
      </c>
      <c r="K25" s="167">
        <f t="shared" si="5"/>
        <v>0</v>
      </c>
      <c r="L25" s="164"/>
      <c r="M25" s="532"/>
      <c r="N25" s="533"/>
      <c r="O25" s="78"/>
      <c r="P25" s="72"/>
      <c r="Q25" s="160">
        <f t="shared" si="0"/>
        <v>0</v>
      </c>
      <c r="R25" s="162">
        <f t="shared" si="1"/>
        <v>0</v>
      </c>
      <c r="S25" s="167">
        <f t="shared" si="2"/>
        <v>0</v>
      </c>
      <c r="T25" s="209"/>
      <c r="U25" s="181">
        <f t="shared" si="3"/>
        <v>0</v>
      </c>
      <c r="V25" s="280"/>
      <c r="W25" s="273"/>
      <c r="X25" s="125"/>
      <c r="Y25" s="125"/>
      <c r="Z25" s="125"/>
      <c r="AA25" s="125"/>
      <c r="AB25" s="125"/>
    </row>
    <row r="26" spans="1:28" s="74" customFormat="1" ht="15.75" customHeight="1" x14ac:dyDescent="0.25">
      <c r="A26" s="69" t="s">
        <v>7</v>
      </c>
      <c r="B26" s="313">
        <v>0</v>
      </c>
      <c r="C26" s="555" t="s">
        <v>174</v>
      </c>
      <c r="D26" s="555"/>
      <c r="E26" s="662" t="str">
        <f>IF(SUM(B26:B30)=O11,"GC 76000 PA ($" &amp;O11 &amp; " for every 10) breakdown per local board of supervisor resolution (BOS).","ERROR! GC 76000 PA total is not $" &amp;O11&amp; ". Check Court's board resolution.")</f>
        <v>ERROR! GC 76000 PA total is not $7. Check Court's board resolution.</v>
      </c>
      <c r="F26" s="663"/>
      <c r="G26" s="352" t="s">
        <v>26</v>
      </c>
      <c r="H26" s="77" t="s">
        <v>56</v>
      </c>
      <c r="I26" s="155">
        <f t="shared" si="6"/>
        <v>0</v>
      </c>
      <c r="J26" s="162">
        <f t="shared" si="4"/>
        <v>0</v>
      </c>
      <c r="K26" s="167">
        <f t="shared" si="5"/>
        <v>0</v>
      </c>
      <c r="L26" s="164"/>
      <c r="M26" s="532"/>
      <c r="N26" s="533"/>
      <c r="O26" s="78"/>
      <c r="P26" s="72"/>
      <c r="Q26" s="160">
        <f t="shared" si="0"/>
        <v>0</v>
      </c>
      <c r="R26" s="162">
        <f t="shared" si="1"/>
        <v>0</v>
      </c>
      <c r="S26" s="167">
        <f t="shared" si="2"/>
        <v>0</v>
      </c>
      <c r="T26" s="209"/>
      <c r="U26" s="181">
        <f t="shared" si="3"/>
        <v>0</v>
      </c>
      <c r="V26" s="307"/>
      <c r="W26" s="82"/>
      <c r="X26" s="125"/>
      <c r="Y26" s="125"/>
      <c r="Z26" s="125"/>
      <c r="AA26" s="125"/>
      <c r="AB26" s="125"/>
    </row>
    <row r="27" spans="1:28" s="74" customFormat="1" ht="15.75" customHeight="1" x14ac:dyDescent="0.25">
      <c r="A27" s="69" t="s">
        <v>7</v>
      </c>
      <c r="B27" s="313">
        <v>0</v>
      </c>
      <c r="C27" s="555" t="s">
        <v>175</v>
      </c>
      <c r="D27" s="555"/>
      <c r="E27" s="664"/>
      <c r="F27" s="665"/>
      <c r="G27" s="352" t="s">
        <v>26</v>
      </c>
      <c r="H27" s="77" t="s">
        <v>28</v>
      </c>
      <c r="I27" s="155">
        <f t="shared" si="6"/>
        <v>0</v>
      </c>
      <c r="J27" s="162">
        <f t="shared" si="4"/>
        <v>0</v>
      </c>
      <c r="K27" s="167">
        <f t="shared" si="5"/>
        <v>0</v>
      </c>
      <c r="L27" s="164"/>
      <c r="M27" s="532"/>
      <c r="N27" s="533"/>
      <c r="O27" s="78"/>
      <c r="P27" s="72"/>
      <c r="Q27" s="160">
        <f t="shared" si="0"/>
        <v>0</v>
      </c>
      <c r="R27" s="162">
        <f t="shared" si="1"/>
        <v>0</v>
      </c>
      <c r="S27" s="167">
        <f t="shared" si="2"/>
        <v>0</v>
      </c>
      <c r="T27" s="209"/>
      <c r="U27" s="181">
        <f t="shared" si="3"/>
        <v>0</v>
      </c>
      <c r="V27" s="279"/>
      <c r="W27" s="82"/>
      <c r="X27" s="125"/>
      <c r="Y27" s="125"/>
      <c r="Z27" s="125"/>
      <c r="AA27" s="125"/>
      <c r="AB27" s="125"/>
    </row>
    <row r="28" spans="1:28" s="74" customFormat="1" ht="15.75" customHeight="1" x14ac:dyDescent="0.25">
      <c r="A28" s="69" t="s">
        <v>7</v>
      </c>
      <c r="B28" s="313">
        <v>0</v>
      </c>
      <c r="C28" s="555" t="s">
        <v>176</v>
      </c>
      <c r="D28" s="555"/>
      <c r="E28" s="664"/>
      <c r="F28" s="665"/>
      <c r="G28" s="352" t="s">
        <v>26</v>
      </c>
      <c r="H28" s="77" t="s">
        <v>57</v>
      </c>
      <c r="I28" s="155">
        <f t="shared" si="6"/>
        <v>0</v>
      </c>
      <c r="J28" s="162">
        <f t="shared" si="4"/>
        <v>0</v>
      </c>
      <c r="K28" s="167">
        <f t="shared" si="5"/>
        <v>0</v>
      </c>
      <c r="L28" s="164"/>
      <c r="M28" s="532"/>
      <c r="N28" s="533"/>
      <c r="O28" s="78"/>
      <c r="P28" s="72"/>
      <c r="Q28" s="160">
        <f t="shared" si="0"/>
        <v>0</v>
      </c>
      <c r="R28" s="162">
        <f t="shared" si="1"/>
        <v>0</v>
      </c>
      <c r="S28" s="167">
        <f t="shared" si="2"/>
        <v>0</v>
      </c>
      <c r="T28" s="209"/>
      <c r="U28" s="181">
        <f t="shared" si="3"/>
        <v>0</v>
      </c>
      <c r="V28" s="279"/>
      <c r="W28" s="82"/>
      <c r="X28" s="125"/>
      <c r="Y28" s="125"/>
      <c r="Z28" s="125"/>
      <c r="AA28" s="125"/>
      <c r="AB28" s="125"/>
    </row>
    <row r="29" spans="1:28" s="74" customFormat="1" ht="15.75" customHeight="1" x14ac:dyDescent="0.25">
      <c r="A29" s="69" t="s">
        <v>7</v>
      </c>
      <c r="B29" s="313">
        <v>0</v>
      </c>
      <c r="C29" s="555" t="s">
        <v>256</v>
      </c>
      <c r="D29" s="555"/>
      <c r="E29" s="664"/>
      <c r="F29" s="665"/>
      <c r="G29" s="352" t="s">
        <v>26</v>
      </c>
      <c r="H29" s="77" t="s">
        <v>57</v>
      </c>
      <c r="I29" s="155">
        <f>$D$11*B29</f>
        <v>0</v>
      </c>
      <c r="J29" s="162">
        <f>IF(A29="Y",I29* 2%,0)</f>
        <v>0</v>
      </c>
      <c r="K29" s="167">
        <f>I29-J29</f>
        <v>0</v>
      </c>
      <c r="L29" s="164"/>
      <c r="M29" s="532"/>
      <c r="N29" s="533"/>
      <c r="O29" s="78"/>
      <c r="P29" s="72"/>
      <c r="Q29" s="160">
        <f t="shared" si="0"/>
        <v>0</v>
      </c>
      <c r="R29" s="162">
        <f>IF(A29="Y", Q29*2%,)</f>
        <v>0</v>
      </c>
      <c r="S29" s="167">
        <f>Q29-R29</f>
        <v>0</v>
      </c>
      <c r="T29" s="209"/>
      <c r="U29" s="181">
        <f>IF($U$15="BASE-UP   (B-A)", O29-K29,O29-S29)</f>
        <v>0</v>
      </c>
      <c r="V29" s="279"/>
      <c r="W29" s="82"/>
      <c r="X29" s="125"/>
      <c r="Y29" s="125"/>
      <c r="Z29" s="125"/>
      <c r="AA29" s="125"/>
      <c r="AB29" s="125"/>
    </row>
    <row r="30" spans="1:28" s="74" customFormat="1" ht="15.75" customHeight="1" x14ac:dyDescent="0.25">
      <c r="A30" s="69" t="s">
        <v>7</v>
      </c>
      <c r="B30" s="313">
        <v>0</v>
      </c>
      <c r="C30" s="555" t="s">
        <v>211</v>
      </c>
      <c r="D30" s="555"/>
      <c r="E30" s="666"/>
      <c r="F30" s="667"/>
      <c r="G30" s="352" t="s">
        <v>26</v>
      </c>
      <c r="H30" s="77"/>
      <c r="I30" s="155">
        <f t="shared" si="6"/>
        <v>0</v>
      </c>
      <c r="J30" s="162">
        <f t="shared" si="4"/>
        <v>0</v>
      </c>
      <c r="K30" s="167">
        <f t="shared" si="5"/>
        <v>0</v>
      </c>
      <c r="L30" s="164"/>
      <c r="M30" s="532"/>
      <c r="N30" s="533"/>
      <c r="O30" s="78"/>
      <c r="P30" s="72"/>
      <c r="Q30" s="160">
        <f t="shared" si="0"/>
        <v>0</v>
      </c>
      <c r="R30" s="162">
        <f t="shared" si="1"/>
        <v>0</v>
      </c>
      <c r="S30" s="167">
        <f t="shared" si="2"/>
        <v>0</v>
      </c>
      <c r="T30" s="209"/>
      <c r="U30" s="181">
        <f t="shared" si="3"/>
        <v>0</v>
      </c>
      <c r="V30" s="279"/>
      <c r="W30" s="82"/>
      <c r="X30" s="125"/>
      <c r="Y30" s="125"/>
      <c r="Z30" s="125"/>
      <c r="AA30" s="125"/>
      <c r="AB30" s="125"/>
    </row>
    <row r="31" spans="1:28" s="85" customFormat="1" ht="15.75" customHeight="1" x14ac:dyDescent="0.25">
      <c r="A31" s="69" t="s">
        <v>7</v>
      </c>
      <c r="B31" s="313">
        <v>0</v>
      </c>
      <c r="C31" s="556" t="s">
        <v>234</v>
      </c>
      <c r="D31" s="557"/>
      <c r="E31" s="557"/>
      <c r="F31" s="558"/>
      <c r="G31" s="365" t="s">
        <v>26</v>
      </c>
      <c r="H31" s="84" t="s">
        <v>29</v>
      </c>
      <c r="I31" s="155">
        <f t="shared" si="6"/>
        <v>0</v>
      </c>
      <c r="J31" s="162">
        <f t="shared" si="4"/>
        <v>0</v>
      </c>
      <c r="K31" s="167">
        <f t="shared" si="5"/>
        <v>0</v>
      </c>
      <c r="L31" s="164"/>
      <c r="M31" s="532"/>
      <c r="N31" s="533"/>
      <c r="O31" s="78"/>
      <c r="P31" s="72"/>
      <c r="Q31" s="160">
        <f t="shared" si="0"/>
        <v>0</v>
      </c>
      <c r="R31" s="162">
        <f t="shared" si="1"/>
        <v>0</v>
      </c>
      <c r="S31" s="167">
        <f t="shared" si="2"/>
        <v>0</v>
      </c>
      <c r="T31" s="209"/>
      <c r="U31" s="181">
        <f t="shared" si="3"/>
        <v>0</v>
      </c>
      <c r="V31" s="279"/>
      <c r="W31" s="82"/>
      <c r="X31" s="127"/>
      <c r="Y31" s="127"/>
      <c r="Z31" s="127"/>
      <c r="AA31" s="127"/>
      <c r="AB31" s="127"/>
    </row>
    <row r="32" spans="1:28" s="85" customFormat="1" ht="15" customHeight="1" x14ac:dyDescent="0.25">
      <c r="A32" s="69" t="s">
        <v>7</v>
      </c>
      <c r="B32" s="75"/>
      <c r="C32" s="556" t="s">
        <v>253</v>
      </c>
      <c r="D32" s="557"/>
      <c r="E32" s="557"/>
      <c r="F32" s="558"/>
      <c r="G32" s="365" t="s">
        <v>25</v>
      </c>
      <c r="H32" s="91" t="s">
        <v>32</v>
      </c>
      <c r="I32" s="197">
        <v>0</v>
      </c>
      <c r="J32" s="162">
        <f>IF(A32="Y", I32*2%,0)</f>
        <v>0</v>
      </c>
      <c r="K32" s="167">
        <f>I32-J32</f>
        <v>0</v>
      </c>
      <c r="L32" s="164"/>
      <c r="M32" s="532"/>
      <c r="N32" s="533"/>
      <c r="O32" s="78"/>
      <c r="P32" s="72"/>
      <c r="Q32" s="155">
        <f>IF($Q$43=0,,I32)</f>
        <v>0</v>
      </c>
      <c r="R32" s="162">
        <f>IF(A32="Y", Q32*2%,)</f>
        <v>0</v>
      </c>
      <c r="S32" s="167">
        <f>Q32-R32</f>
        <v>0</v>
      </c>
      <c r="T32" s="209"/>
      <c r="U32" s="181">
        <f>IF($U$15="BASE-UP   (B-A)", O32-K32,O32-S32)</f>
        <v>0</v>
      </c>
      <c r="V32" s="307"/>
      <c r="W32" s="82"/>
      <c r="X32" s="127"/>
      <c r="Y32" s="127"/>
      <c r="Z32" s="127"/>
      <c r="AA32" s="127"/>
      <c r="AB32" s="127"/>
    </row>
    <row r="33" spans="1:28" s="74" customFormat="1" ht="15.75" customHeight="1" x14ac:dyDescent="0.25">
      <c r="A33" s="69" t="s">
        <v>7</v>
      </c>
      <c r="B33" s="179">
        <v>5</v>
      </c>
      <c r="C33" s="651" t="s">
        <v>312</v>
      </c>
      <c r="D33" s="652"/>
      <c r="E33" s="652"/>
      <c r="F33" s="653"/>
      <c r="G33" s="365" t="s">
        <v>25</v>
      </c>
      <c r="H33" s="84" t="s">
        <v>30</v>
      </c>
      <c r="I33" s="155">
        <f t="shared" si="6"/>
        <v>0</v>
      </c>
      <c r="J33" s="162">
        <f t="shared" si="4"/>
        <v>0</v>
      </c>
      <c r="K33" s="167">
        <f t="shared" si="5"/>
        <v>0</v>
      </c>
      <c r="L33" s="164"/>
      <c r="M33" s="532"/>
      <c r="N33" s="533"/>
      <c r="O33" s="78"/>
      <c r="P33" s="72"/>
      <c r="Q33" s="160">
        <f>IF($Q$43=0,,I33*$Q$15)</f>
        <v>0</v>
      </c>
      <c r="R33" s="162">
        <f t="shared" si="1"/>
        <v>0</v>
      </c>
      <c r="S33" s="167">
        <f t="shared" si="2"/>
        <v>0</v>
      </c>
      <c r="T33" s="209"/>
      <c r="U33" s="181">
        <f t="shared" si="3"/>
        <v>0</v>
      </c>
      <c r="V33" s="307"/>
      <c r="W33" s="82"/>
      <c r="X33" s="125"/>
      <c r="Y33" s="125"/>
      <c r="Z33" s="125"/>
      <c r="AA33" s="125"/>
      <c r="AB33" s="125"/>
    </row>
    <row r="34" spans="1:28" s="85" customFormat="1" ht="15.75" customHeight="1" x14ac:dyDescent="0.25">
      <c r="A34" s="69" t="s">
        <v>6</v>
      </c>
      <c r="B34" s="75"/>
      <c r="C34" s="556" t="s">
        <v>177</v>
      </c>
      <c r="D34" s="557"/>
      <c r="E34" s="557"/>
      <c r="F34" s="558"/>
      <c r="G34" s="365" t="s">
        <v>25</v>
      </c>
      <c r="H34" s="84" t="s">
        <v>9</v>
      </c>
      <c r="I34" s="155">
        <f>$D$10*20%</f>
        <v>0</v>
      </c>
      <c r="J34" s="162">
        <f t="shared" si="4"/>
        <v>0</v>
      </c>
      <c r="K34" s="167">
        <f>I34-J34</f>
        <v>0</v>
      </c>
      <c r="L34" s="164"/>
      <c r="M34" s="532"/>
      <c r="N34" s="533"/>
      <c r="O34" s="78"/>
      <c r="P34" s="72"/>
      <c r="Q34" s="160">
        <f>IF($Q$43=0,,I34*$Q$15)</f>
        <v>0</v>
      </c>
      <c r="R34" s="162">
        <f t="shared" si="1"/>
        <v>0</v>
      </c>
      <c r="S34" s="167">
        <f t="shared" si="2"/>
        <v>0</v>
      </c>
      <c r="T34" s="209"/>
      <c r="U34" s="181">
        <f t="shared" si="3"/>
        <v>0</v>
      </c>
      <c r="V34" s="279"/>
      <c r="W34" s="82"/>
      <c r="X34" s="127"/>
      <c r="Y34" s="127"/>
      <c r="Z34" s="127"/>
      <c r="AA34" s="127"/>
      <c r="AB34" s="127"/>
    </row>
    <row r="35" spans="1:28" s="90" customFormat="1" ht="15.75" customHeight="1" x14ac:dyDescent="0.25">
      <c r="A35" s="69"/>
      <c r="B35" s="86"/>
      <c r="C35" s="560" t="s">
        <v>178</v>
      </c>
      <c r="D35" s="561"/>
      <c r="E35" s="561"/>
      <c r="F35" s="562"/>
      <c r="G35" s="299"/>
      <c r="H35" s="88"/>
      <c r="I35" s="157">
        <f>SUM(I16:I34)</f>
        <v>0</v>
      </c>
      <c r="J35" s="162"/>
      <c r="K35" s="168">
        <f>SUM(K16:K34)</f>
        <v>0</v>
      </c>
      <c r="L35" s="165"/>
      <c r="M35" s="556"/>
      <c r="N35" s="559"/>
      <c r="O35" s="184">
        <f>SUM(O16:O34)</f>
        <v>0</v>
      </c>
      <c r="P35" s="122"/>
      <c r="Q35" s="157">
        <f>IF($Q$43=0,,Q43-SUM(Q36:Q40))</f>
        <v>0</v>
      </c>
      <c r="R35" s="162"/>
      <c r="S35" s="168">
        <f>SUM(S16:S34)</f>
        <v>0</v>
      </c>
      <c r="T35" s="210"/>
      <c r="U35" s="181">
        <f>SUM(U16:U34)</f>
        <v>0</v>
      </c>
      <c r="V35" s="279"/>
      <c r="W35" s="89"/>
      <c r="X35" s="143"/>
      <c r="Y35" s="143"/>
      <c r="Z35" s="143"/>
      <c r="AA35" s="143"/>
      <c r="AB35" s="143"/>
    </row>
    <row r="36" spans="1:28" s="85" customFormat="1" ht="15" customHeight="1" x14ac:dyDescent="0.25">
      <c r="A36" s="69" t="s">
        <v>6</v>
      </c>
      <c r="B36" s="75"/>
      <c r="C36" s="556" t="s">
        <v>257</v>
      </c>
      <c r="D36" s="557"/>
      <c r="E36" s="557"/>
      <c r="F36" s="558"/>
      <c r="G36" s="365" t="s">
        <v>25</v>
      </c>
      <c r="H36" s="91"/>
      <c r="I36" s="197">
        <v>0</v>
      </c>
      <c r="J36" s="162">
        <f>IF(A36="Y", I36*2%,0)</f>
        <v>0</v>
      </c>
      <c r="K36" s="167">
        <f>I36-J36</f>
        <v>0</v>
      </c>
      <c r="L36" s="164"/>
      <c r="M36" s="353"/>
      <c r="N36" s="354"/>
      <c r="O36" s="78"/>
      <c r="P36" s="72"/>
      <c r="Q36" s="155">
        <f>IF($Q$43=0,,I36)</f>
        <v>0</v>
      </c>
      <c r="R36" s="162">
        <f t="shared" ref="R36:R40" si="7">IF(A36="Y", Q36*2%,)</f>
        <v>0</v>
      </c>
      <c r="S36" s="167">
        <f t="shared" ref="S36" si="8">Q36-R36</f>
        <v>0</v>
      </c>
      <c r="T36" s="209"/>
      <c r="U36" s="181">
        <f t="shared" ref="U36:U41" si="9">IF($U$15="BASE-UP   (B-A)", O36-K36,O36-S36)</f>
        <v>0</v>
      </c>
      <c r="V36" s="279"/>
      <c r="W36" s="82"/>
      <c r="X36" s="127"/>
      <c r="Y36" s="127"/>
      <c r="Z36" s="127"/>
      <c r="AA36" s="127"/>
      <c r="AB36" s="127"/>
    </row>
    <row r="37" spans="1:28" s="85" customFormat="1" ht="15.75" customHeight="1" x14ac:dyDescent="0.25">
      <c r="A37" s="69" t="s">
        <v>6</v>
      </c>
      <c r="B37" s="75"/>
      <c r="C37" s="563" t="s">
        <v>216</v>
      </c>
      <c r="D37" s="564"/>
      <c r="E37" s="564"/>
      <c r="F37" s="565"/>
      <c r="G37" s="300" t="s">
        <v>25</v>
      </c>
      <c r="H37" s="92" t="s">
        <v>158</v>
      </c>
      <c r="I37" s="197">
        <v>0</v>
      </c>
      <c r="J37" s="162">
        <f t="shared" ref="J37:J40" si="10">IF(A37="Y", I37*2%,0)</f>
        <v>0</v>
      </c>
      <c r="K37" s="167">
        <f t="shared" ref="K37:K40" si="11">I37-J37</f>
        <v>0</v>
      </c>
      <c r="L37" s="164"/>
      <c r="M37" s="532"/>
      <c r="N37" s="533"/>
      <c r="O37" s="78"/>
      <c r="P37" s="72"/>
      <c r="Q37" s="155">
        <f>IF($Q$43=0,,I37)</f>
        <v>0</v>
      </c>
      <c r="R37" s="162">
        <f t="shared" si="7"/>
        <v>0</v>
      </c>
      <c r="S37" s="167">
        <f t="shared" si="2"/>
        <v>0</v>
      </c>
      <c r="T37" s="209"/>
      <c r="U37" s="181">
        <f t="shared" si="9"/>
        <v>0</v>
      </c>
      <c r="V37" s="279"/>
      <c r="W37" s="73"/>
      <c r="X37" s="127"/>
      <c r="Y37" s="127"/>
      <c r="Z37" s="127"/>
      <c r="AA37" s="127"/>
      <c r="AB37" s="127"/>
    </row>
    <row r="38" spans="1:28" s="74" customFormat="1" ht="15.75" customHeight="1" x14ac:dyDescent="0.25">
      <c r="A38" s="69" t="s">
        <v>6</v>
      </c>
      <c r="B38" s="93"/>
      <c r="C38" s="563" t="s">
        <v>258</v>
      </c>
      <c r="D38" s="564"/>
      <c r="E38" s="564"/>
      <c r="F38" s="565"/>
      <c r="G38" s="300" t="s">
        <v>187</v>
      </c>
      <c r="H38" s="92" t="s">
        <v>18</v>
      </c>
      <c r="I38" s="197">
        <v>0</v>
      </c>
      <c r="J38" s="162">
        <f t="shared" si="10"/>
        <v>0</v>
      </c>
      <c r="K38" s="167">
        <f t="shared" si="11"/>
        <v>0</v>
      </c>
      <c r="L38" s="164"/>
      <c r="M38" s="532"/>
      <c r="N38" s="533"/>
      <c r="O38" s="78"/>
      <c r="P38" s="72"/>
      <c r="Q38" s="155">
        <f>IF($Q$43=0,,I38)</f>
        <v>0</v>
      </c>
      <c r="R38" s="162">
        <f t="shared" si="7"/>
        <v>0</v>
      </c>
      <c r="S38" s="167">
        <f t="shared" si="2"/>
        <v>0</v>
      </c>
      <c r="T38" s="209"/>
      <c r="U38" s="181">
        <f t="shared" si="9"/>
        <v>0</v>
      </c>
      <c r="V38" s="279"/>
      <c r="W38" s="77"/>
      <c r="X38" s="125"/>
      <c r="Y38" s="125"/>
      <c r="Z38" s="125"/>
      <c r="AA38" s="125"/>
      <c r="AB38" s="125"/>
    </row>
    <row r="39" spans="1:28" s="74" customFormat="1" ht="47.25" customHeight="1" x14ac:dyDescent="0.25">
      <c r="A39" s="69" t="s">
        <v>6</v>
      </c>
      <c r="B39" s="94"/>
      <c r="C39" s="556" t="s">
        <v>293</v>
      </c>
      <c r="D39" s="557"/>
      <c r="E39" s="557"/>
      <c r="F39" s="558"/>
      <c r="G39" s="300" t="s">
        <v>187</v>
      </c>
      <c r="H39" s="92" t="s">
        <v>68</v>
      </c>
      <c r="I39" s="197">
        <v>0</v>
      </c>
      <c r="J39" s="162">
        <f t="shared" si="10"/>
        <v>0</v>
      </c>
      <c r="K39" s="167">
        <f t="shared" si="11"/>
        <v>0</v>
      </c>
      <c r="L39" s="164"/>
      <c r="M39" s="532"/>
      <c r="N39" s="533"/>
      <c r="O39" s="78"/>
      <c r="P39" s="72"/>
      <c r="Q39" s="155">
        <f>IF($Q$43=0,,I39)</f>
        <v>0</v>
      </c>
      <c r="R39" s="162">
        <f t="shared" si="7"/>
        <v>0</v>
      </c>
      <c r="S39" s="167">
        <f t="shared" si="2"/>
        <v>0</v>
      </c>
      <c r="T39" s="209"/>
      <c r="U39" s="181">
        <f t="shared" si="9"/>
        <v>0</v>
      </c>
      <c r="V39" s="279"/>
      <c r="W39" s="77"/>
      <c r="X39" s="125"/>
      <c r="Y39" s="125"/>
      <c r="Z39" s="125"/>
      <c r="AA39" s="125"/>
      <c r="AB39" s="125"/>
    </row>
    <row r="40" spans="1:28" s="74" customFormat="1" ht="15.75" customHeight="1" x14ac:dyDescent="0.25">
      <c r="A40" s="69" t="s">
        <v>6</v>
      </c>
      <c r="B40" s="94"/>
      <c r="C40" s="563" t="s">
        <v>182</v>
      </c>
      <c r="D40" s="564"/>
      <c r="E40" s="564"/>
      <c r="F40" s="565"/>
      <c r="G40" s="300" t="s">
        <v>25</v>
      </c>
      <c r="H40" s="92" t="s">
        <v>66</v>
      </c>
      <c r="I40" s="197">
        <v>0</v>
      </c>
      <c r="J40" s="162">
        <f t="shared" si="10"/>
        <v>0</v>
      </c>
      <c r="K40" s="167">
        <f t="shared" si="11"/>
        <v>0</v>
      </c>
      <c r="L40" s="164"/>
      <c r="M40" s="532"/>
      <c r="N40" s="533"/>
      <c r="O40" s="78"/>
      <c r="P40" s="72"/>
      <c r="Q40" s="155">
        <f>IF($Q$43=0,,I40)</f>
        <v>0</v>
      </c>
      <c r="R40" s="162">
        <f t="shared" si="7"/>
        <v>0</v>
      </c>
      <c r="S40" s="167">
        <f t="shared" si="2"/>
        <v>0</v>
      </c>
      <c r="T40" s="209"/>
      <c r="U40" s="181">
        <f t="shared" si="9"/>
        <v>0</v>
      </c>
      <c r="V40" s="279"/>
      <c r="W40" s="77"/>
      <c r="X40" s="125"/>
      <c r="Y40" s="125"/>
      <c r="Z40" s="125"/>
      <c r="AA40" s="125"/>
      <c r="AB40" s="125"/>
    </row>
    <row r="41" spans="1:28" s="74" customFormat="1" ht="31.5" customHeight="1" x14ac:dyDescent="0.25">
      <c r="A41" s="93" t="s">
        <v>6</v>
      </c>
      <c r="B41" s="94"/>
      <c r="C41" s="532" t="s">
        <v>275</v>
      </c>
      <c r="D41" s="553"/>
      <c r="E41" s="553"/>
      <c r="F41" s="554"/>
      <c r="G41" s="301" t="s">
        <v>25</v>
      </c>
      <c r="H41" s="96" t="s">
        <v>34</v>
      </c>
      <c r="I41" s="97"/>
      <c r="J41" s="163"/>
      <c r="K41" s="169">
        <f>J42</f>
        <v>0</v>
      </c>
      <c r="L41" s="164"/>
      <c r="M41" s="532"/>
      <c r="N41" s="533"/>
      <c r="O41" s="78"/>
      <c r="P41" s="72"/>
      <c r="Q41" s="104"/>
      <c r="R41" s="163"/>
      <c r="S41" s="169">
        <f>R42</f>
        <v>0</v>
      </c>
      <c r="T41" s="211"/>
      <c r="U41" s="181">
        <f t="shared" si="9"/>
        <v>0</v>
      </c>
      <c r="V41" s="279"/>
      <c r="W41" s="77"/>
      <c r="X41" s="125"/>
      <c r="Y41" s="125"/>
      <c r="Z41" s="125"/>
      <c r="AA41" s="125"/>
      <c r="AB41" s="125"/>
    </row>
    <row r="42" spans="1:28" s="125" customFormat="1" ht="14.5" x14ac:dyDescent="0.25">
      <c r="A42" s="123"/>
      <c r="B42" s="123"/>
      <c r="C42" s="123"/>
      <c r="D42" s="123"/>
      <c r="E42" s="124"/>
      <c r="F42" s="124"/>
      <c r="J42" s="126">
        <f>SUM(J16:J41)</f>
        <v>0</v>
      </c>
      <c r="K42" s="170"/>
      <c r="L42" s="127"/>
      <c r="O42" s="128"/>
      <c r="P42" s="129"/>
      <c r="R42" s="126">
        <f>SUM(R16:R41)</f>
        <v>0</v>
      </c>
      <c r="S42" s="170"/>
      <c r="T42" s="212"/>
      <c r="U42" s="180"/>
      <c r="V42" s="180"/>
      <c r="W42" s="130"/>
    </row>
    <row r="43" spans="1:28" s="106" customFormat="1" ht="16" thickBot="1" x14ac:dyDescent="0.3">
      <c r="A43" s="144"/>
      <c r="B43" s="144"/>
      <c r="C43" s="144"/>
      <c r="D43" s="144"/>
      <c r="E43" s="131"/>
      <c r="F43" s="145" t="s">
        <v>67</v>
      </c>
      <c r="G43" s="146"/>
      <c r="H43" s="147" t="s">
        <v>1</v>
      </c>
      <c r="I43" s="148">
        <f>SUM(I35:I42)</f>
        <v>0</v>
      </c>
      <c r="J43" s="149"/>
      <c r="K43" s="171">
        <f>SUM(K35:K42)</f>
        <v>0</v>
      </c>
      <c r="L43" s="150"/>
      <c r="M43" s="144" t="s">
        <v>1</v>
      </c>
      <c r="N43" s="144"/>
      <c r="O43" s="151">
        <f>SUM(O35:O42)</f>
        <v>0</v>
      </c>
      <c r="P43" s="150"/>
      <c r="Q43" s="199">
        <v>0</v>
      </c>
      <c r="R43" s="149"/>
      <c r="S43" s="171">
        <f>SUM(S35:S42)</f>
        <v>0</v>
      </c>
      <c r="T43" s="213"/>
      <c r="U43" s="193">
        <f>SUM(U35:U42)</f>
        <v>0</v>
      </c>
      <c r="V43" s="278"/>
      <c r="W43" s="152"/>
    </row>
    <row r="44" spans="1:28" s="106" customFormat="1" ht="16" thickTop="1" x14ac:dyDescent="0.25">
      <c r="A44" s="144"/>
      <c r="B44" s="144"/>
      <c r="C44" s="144"/>
      <c r="D44" s="144"/>
      <c r="E44" s="131"/>
      <c r="F44" s="145"/>
      <c r="G44" s="146"/>
      <c r="H44" s="147"/>
      <c r="I44" s="149"/>
      <c r="J44" s="149"/>
      <c r="K44" s="149"/>
      <c r="L44" s="150"/>
      <c r="M44" s="144"/>
      <c r="N44" s="144"/>
      <c r="O44" s="149"/>
      <c r="P44" s="150"/>
      <c r="Q44" s="342"/>
      <c r="R44" s="149"/>
      <c r="S44" s="149"/>
      <c r="T44" s="149"/>
      <c r="U44" s="278"/>
      <c r="V44" s="278"/>
      <c r="W44" s="152"/>
    </row>
    <row r="45" spans="1:28" s="54" customFormat="1" ht="15.75" customHeight="1" x14ac:dyDescent="0.25">
      <c r="A45" s="654" t="s">
        <v>54</v>
      </c>
      <c r="B45" s="654"/>
      <c r="C45" s="654"/>
      <c r="D45" s="202"/>
      <c r="E45" s="133"/>
      <c r="F45" s="133"/>
      <c r="K45" s="135"/>
      <c r="L45" s="136"/>
      <c r="P45" s="137"/>
      <c r="Q45" s="137"/>
      <c r="R45" s="137"/>
      <c r="S45" s="137"/>
      <c r="T45" s="137"/>
      <c r="U45" s="138"/>
      <c r="V45" s="138"/>
      <c r="W45" s="139"/>
    </row>
    <row r="46" spans="1:28" s="141" customFormat="1" ht="18" customHeight="1" x14ac:dyDescent="0.25">
      <c r="A46" s="308">
        <v>1</v>
      </c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</row>
    <row r="47" spans="1:28" s="141" customFormat="1" ht="18" customHeight="1" x14ac:dyDescent="0.25">
      <c r="A47" s="308">
        <v>2</v>
      </c>
      <c r="B47" s="655"/>
      <c r="C47" s="655"/>
      <c r="D47" s="655"/>
      <c r="E47" s="655"/>
      <c r="F47" s="655"/>
      <c r="G47" s="655"/>
      <c r="H47" s="655"/>
      <c r="I47" s="655"/>
      <c r="J47" s="655"/>
      <c r="K47" s="655"/>
      <c r="L47" s="655"/>
      <c r="M47" s="655"/>
      <c r="N47" s="655"/>
      <c r="O47" s="655"/>
      <c r="P47" s="655"/>
      <c r="Q47" s="655"/>
      <c r="R47" s="655"/>
      <c r="S47" s="655"/>
      <c r="T47" s="655"/>
      <c r="U47" s="655"/>
      <c r="V47" s="655"/>
      <c r="W47" s="655"/>
    </row>
    <row r="48" spans="1:28" s="141" customFormat="1" ht="18" customHeight="1" x14ac:dyDescent="0.25">
      <c r="A48" s="308">
        <v>3</v>
      </c>
      <c r="B48" s="655"/>
      <c r="C48" s="655"/>
      <c r="D48" s="655"/>
      <c r="E48" s="655"/>
      <c r="F48" s="655"/>
      <c r="G48" s="655"/>
      <c r="H48" s="655"/>
      <c r="I48" s="655"/>
      <c r="J48" s="655"/>
      <c r="K48" s="655"/>
      <c r="L48" s="655"/>
      <c r="M48" s="655"/>
      <c r="N48" s="655"/>
      <c r="O48" s="655"/>
      <c r="P48" s="655"/>
      <c r="Q48" s="655"/>
      <c r="R48" s="655"/>
      <c r="S48" s="655"/>
      <c r="T48" s="655"/>
      <c r="U48" s="655"/>
      <c r="V48" s="655"/>
      <c r="W48" s="655"/>
    </row>
    <row r="49" spans="1:23" s="54" customFormat="1" ht="19.5" customHeight="1" x14ac:dyDescent="0.25">
      <c r="A49" s="308">
        <v>4</v>
      </c>
      <c r="B49" s="655"/>
      <c r="C49" s="655"/>
      <c r="D49" s="655"/>
      <c r="E49" s="655"/>
      <c r="F49" s="655"/>
      <c r="G49" s="655"/>
      <c r="H49" s="655"/>
      <c r="I49" s="655"/>
      <c r="J49" s="655"/>
      <c r="K49" s="655"/>
      <c r="L49" s="655"/>
      <c r="M49" s="655"/>
      <c r="N49" s="655"/>
      <c r="O49" s="655"/>
      <c r="P49" s="655"/>
      <c r="Q49" s="655"/>
      <c r="R49" s="655"/>
      <c r="S49" s="655"/>
      <c r="T49" s="655"/>
      <c r="U49" s="655"/>
      <c r="V49" s="655"/>
      <c r="W49" s="655"/>
    </row>
  </sheetData>
  <sheetProtection insertRows="0"/>
  <mergeCells count="119">
    <mergeCell ref="A45:C45"/>
    <mergeCell ref="B46:W46"/>
    <mergeCell ref="B47:W47"/>
    <mergeCell ref="B48:W48"/>
    <mergeCell ref="B49:W49"/>
    <mergeCell ref="C39:F39"/>
    <mergeCell ref="M39:N39"/>
    <mergeCell ref="C40:F40"/>
    <mergeCell ref="M40:N40"/>
    <mergeCell ref="C41:F41"/>
    <mergeCell ref="M41:N41"/>
    <mergeCell ref="C35:F35"/>
    <mergeCell ref="M35:N35"/>
    <mergeCell ref="C36:F36"/>
    <mergeCell ref="C37:F37"/>
    <mergeCell ref="M37:N37"/>
    <mergeCell ref="C38:F38"/>
    <mergeCell ref="M38:N38"/>
    <mergeCell ref="C32:F32"/>
    <mergeCell ref="M32:N32"/>
    <mergeCell ref="C33:F33"/>
    <mergeCell ref="M33:N33"/>
    <mergeCell ref="C34:F34"/>
    <mergeCell ref="M34:N34"/>
    <mergeCell ref="M28:N28"/>
    <mergeCell ref="C29:D29"/>
    <mergeCell ref="M29:N29"/>
    <mergeCell ref="C30:D30"/>
    <mergeCell ref="M30:N30"/>
    <mergeCell ref="C31:F31"/>
    <mergeCell ref="M31:N31"/>
    <mergeCell ref="C24:F24"/>
    <mergeCell ref="M24:N24"/>
    <mergeCell ref="C25:F25"/>
    <mergeCell ref="M25:N25"/>
    <mergeCell ref="C26:D26"/>
    <mergeCell ref="E26:F30"/>
    <mergeCell ref="M26:N26"/>
    <mergeCell ref="C27:D27"/>
    <mergeCell ref="M27:N27"/>
    <mergeCell ref="C28:D28"/>
    <mergeCell ref="C21:F21"/>
    <mergeCell ref="M21:N21"/>
    <mergeCell ref="C22:F22"/>
    <mergeCell ref="M22:N22"/>
    <mergeCell ref="C23:F23"/>
    <mergeCell ref="M23:N23"/>
    <mergeCell ref="C18:F18"/>
    <mergeCell ref="M18:N18"/>
    <mergeCell ref="B19:B20"/>
    <mergeCell ref="C19:F19"/>
    <mergeCell ref="M19:N19"/>
    <mergeCell ref="C20:F20"/>
    <mergeCell ref="M20:N20"/>
    <mergeCell ref="V14:V15"/>
    <mergeCell ref="W14:W15"/>
    <mergeCell ref="M15:N15"/>
    <mergeCell ref="C16:F16"/>
    <mergeCell ref="M16:N16"/>
    <mergeCell ref="C17:F17"/>
    <mergeCell ref="M17:N17"/>
    <mergeCell ref="I13:K13"/>
    <mergeCell ref="M13:O13"/>
    <mergeCell ref="Q13:S13"/>
    <mergeCell ref="C14:F15"/>
    <mergeCell ref="I14:I15"/>
    <mergeCell ref="J14:J15"/>
    <mergeCell ref="M14:N14"/>
    <mergeCell ref="R14:R15"/>
    <mergeCell ref="A11:C11"/>
    <mergeCell ref="D11:E11"/>
    <mergeCell ref="F11:G11"/>
    <mergeCell ref="I11:L11"/>
    <mergeCell ref="M11:N11"/>
    <mergeCell ref="Q11:W11"/>
    <mergeCell ref="A10:C10"/>
    <mergeCell ref="D10:E10"/>
    <mergeCell ref="F10:G10"/>
    <mergeCell ref="I10:L10"/>
    <mergeCell ref="M10:N10"/>
    <mergeCell ref="Q10:W10"/>
    <mergeCell ref="Q8:W9"/>
    <mergeCell ref="A9:C9"/>
    <mergeCell ref="D9:E9"/>
    <mergeCell ref="F9:G9"/>
    <mergeCell ref="I9:L9"/>
    <mergeCell ref="M9:N9"/>
    <mergeCell ref="A7:C7"/>
    <mergeCell ref="D7:E7"/>
    <mergeCell ref="F7:G7"/>
    <mergeCell ref="I7:L7"/>
    <mergeCell ref="Q7:W7"/>
    <mergeCell ref="A8:C8"/>
    <mergeCell ref="D8:E8"/>
    <mergeCell ref="F8:G8"/>
    <mergeCell ref="I8:L8"/>
    <mergeCell ref="M8:N8"/>
    <mergeCell ref="A6:C6"/>
    <mergeCell ref="D6:E6"/>
    <mergeCell ref="F6:G6"/>
    <mergeCell ref="I6:L6"/>
    <mergeCell ref="M6:N6"/>
    <mergeCell ref="Q6:W6"/>
    <mergeCell ref="A5:C5"/>
    <mergeCell ref="D5:E5"/>
    <mergeCell ref="F5:G5"/>
    <mergeCell ref="I5:L5"/>
    <mergeCell ref="M5:N5"/>
    <mergeCell ref="Q5:W5"/>
    <mergeCell ref="A1:K1"/>
    <mergeCell ref="L1:U1"/>
    <mergeCell ref="M3:N3"/>
    <mergeCell ref="Q3:W3"/>
    <mergeCell ref="A4:C4"/>
    <mergeCell ref="D4:E4"/>
    <mergeCell ref="F4:G4"/>
    <mergeCell ref="I4:L4"/>
    <mergeCell ref="M4:N4"/>
    <mergeCell ref="Q4:W4"/>
  </mergeCells>
  <conditionalFormatting sqref="Q16:S41">
    <cfRule type="cellIs" dxfId="28" priority="7" stopIfTrue="1" operator="equal">
      <formula>0</formula>
    </cfRule>
  </conditionalFormatting>
  <conditionalFormatting sqref="U12:V13 U45:V45 U50:V65533">
    <cfRule type="cellIs" dxfId="27" priority="6" stopIfTrue="1" operator="notEqual">
      <formula>0</formula>
    </cfRule>
  </conditionalFormatting>
  <conditionalFormatting sqref="I16:I18">
    <cfRule type="cellIs" dxfId="26" priority="5" stopIfTrue="1" operator="equal">
      <formula>0</formula>
    </cfRule>
  </conditionalFormatting>
  <conditionalFormatting sqref="M16:O41">
    <cfRule type="expression" dxfId="25" priority="4">
      <formula>MOD(ROW(),2)=0</formula>
    </cfRule>
  </conditionalFormatting>
  <conditionalFormatting sqref="J36:K41 J32:K32 I18:K31 I33:K35">
    <cfRule type="cellIs" dxfId="24" priority="3" operator="equal">
      <formula>0</formula>
    </cfRule>
  </conditionalFormatting>
  <conditionalFormatting sqref="V19:V41">
    <cfRule type="cellIs" dxfId="23" priority="2" operator="greaterThan">
      <formula>0</formula>
    </cfRule>
  </conditionalFormatting>
  <conditionalFormatting sqref="E26">
    <cfRule type="cellIs" dxfId="22" priority="1" operator="notEqual">
      <formula>"GC 76000 PA ($" &amp;O11 &amp;" for every 10) breakdown per local board of supervisor resolution (BOS)."</formula>
    </cfRule>
  </conditionalFormatting>
  <dataValidations count="1">
    <dataValidation type="list" allowBlank="1" showInputMessage="1" showErrorMessage="1" sqref="U15" xr:uid="{8974BAB1-62A0-47FC-BBA5-46B61DA3DAFA}">
      <formula1>Distribution_Method</formula1>
    </dataValidation>
  </dataValidations>
  <printOptions horizontalCentered="1"/>
  <pageMargins left="0.25" right="0.25" top="0.75" bottom="0.5" header="0.25" footer="0.25"/>
  <pageSetup scale="66" orientation="landscape" r:id="rId1"/>
  <headerFooter alignWithMargins="0">
    <oddHeader>&amp;CSUPERIOR OF COURT OF _________ COUNTY
Revenue Calculation and Distribution Worksheet</oddHeader>
    <oddFooter>&amp;L&amp;F&amp;R&amp;P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7618" r:id="rId4" name="Button 2">
              <controlPr defaultSize="0" print="0" autoFill="0" autoPict="0" macro="[0]!mcrDisableTwoPercentUnprotect">
                <anchor moveWithCells="1">
                  <from>
                    <xdr:col>0</xdr:col>
                    <xdr:colOff>12700</xdr:colOff>
                    <xdr:row>13</xdr:row>
                    <xdr:rowOff>527050</xdr:rowOff>
                  </from>
                  <to>
                    <xdr:col>0</xdr:col>
                    <xdr:colOff>279400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19" r:id="rId5" name="Button 3">
              <controlPr defaultSize="0" print="0" autoFill="0" autoPict="0" macro="[0]!mcrEnableTwoPercentUnprotect">
                <anchor moveWithCells="1">
                  <from>
                    <xdr:col>0</xdr:col>
                    <xdr:colOff>0</xdr:colOff>
                    <xdr:row>13</xdr:row>
                    <xdr:rowOff>222250</xdr:rowOff>
                  </from>
                  <to>
                    <xdr:col>0</xdr:col>
                    <xdr:colOff>266700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6BF95-8613-4696-B151-425E60F81E7A}">
  <dimension ref="A1:O43"/>
  <sheetViews>
    <sheetView showGridLines="0" topLeftCell="A10" zoomScale="50" zoomScaleNormal="50" workbookViewId="0">
      <selection activeCell="M43" sqref="M43"/>
    </sheetView>
  </sheetViews>
  <sheetFormatPr defaultRowHeight="18.5" x14ac:dyDescent="0.25"/>
  <cols>
    <col min="1" max="1" width="4.26953125" style="259" customWidth="1"/>
    <col min="2" max="2" width="6.453125" style="259" customWidth="1"/>
    <col min="3" max="3" width="13.54296875" style="259" customWidth="1"/>
    <col min="4" max="4" width="13.1796875" style="259" customWidth="1"/>
    <col min="5" max="5" width="12" style="260" customWidth="1"/>
    <col min="6" max="6" width="21" style="258" customWidth="1"/>
    <col min="7" max="7" width="9.81640625" style="247" customWidth="1"/>
    <col min="8" max="8" width="29.453125" style="247" hidden="1" customWidth="1"/>
    <col min="9" max="9" width="9.54296875" style="247" customWidth="1"/>
    <col min="10" max="10" width="8.453125" style="247" customWidth="1"/>
    <col min="11" max="11" width="11.1796875" style="261" customWidth="1"/>
    <col min="12" max="12" width="1.7265625" style="468" customWidth="1"/>
    <col min="13" max="13" width="11.81640625" style="247" customWidth="1"/>
    <col min="14" max="14" width="9.81640625" style="247" customWidth="1"/>
    <col min="15" max="15" width="11.453125" style="247" customWidth="1"/>
    <col min="16" max="16384" width="8.7265625" style="367"/>
  </cols>
  <sheetData>
    <row r="1" spans="1:15" ht="21" customHeight="1" thickBot="1" x14ac:dyDescent="0.3">
      <c r="A1" s="731" t="s">
        <v>318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3"/>
    </row>
    <row r="2" spans="1:15" ht="19" thickBot="1" x14ac:dyDescent="0.3">
      <c r="A2" s="368"/>
      <c r="B2" s="369"/>
      <c r="C2" s="369"/>
      <c r="D2" s="369"/>
      <c r="E2" s="369"/>
      <c r="F2" s="369"/>
      <c r="G2" s="369"/>
      <c r="H2" s="369"/>
      <c r="I2" s="369"/>
      <c r="J2" s="370"/>
      <c r="K2" s="370"/>
      <c r="L2" s="370"/>
      <c r="M2" s="370"/>
      <c r="N2" s="370"/>
      <c r="O2" s="371"/>
    </row>
    <row r="3" spans="1:15" ht="19" thickBot="1" x14ac:dyDescent="0.3">
      <c r="A3" s="734" t="s">
        <v>191</v>
      </c>
      <c r="B3" s="735"/>
      <c r="C3" s="735"/>
      <c r="D3" s="735"/>
      <c r="E3" s="735"/>
      <c r="F3" s="736"/>
      <c r="G3" s="736"/>
      <c r="H3" s="736"/>
      <c r="I3" s="736"/>
      <c r="J3" s="736"/>
      <c r="K3" s="736"/>
      <c r="L3" s="736"/>
      <c r="M3" s="736"/>
      <c r="N3" s="736"/>
      <c r="O3" s="737"/>
    </row>
    <row r="4" spans="1:15" ht="15.5" x14ac:dyDescent="0.25">
      <c r="A4" s="738" t="s">
        <v>188</v>
      </c>
      <c r="B4" s="739"/>
      <c r="C4" s="739"/>
      <c r="D4" s="740"/>
      <c r="E4" s="741"/>
      <c r="F4" s="742" t="s">
        <v>22</v>
      </c>
      <c r="G4" s="743"/>
      <c r="H4" s="242"/>
      <c r="I4" s="708" t="s">
        <v>315</v>
      </c>
      <c r="J4" s="708"/>
      <c r="K4" s="708"/>
      <c r="L4" s="709"/>
      <c r="M4" s="739" t="s">
        <v>214</v>
      </c>
      <c r="N4" s="739"/>
      <c r="O4" s="372">
        <v>35</v>
      </c>
    </row>
    <row r="5" spans="1:15" ht="15.5" x14ac:dyDescent="0.25">
      <c r="A5" s="744" t="s">
        <v>3</v>
      </c>
      <c r="B5" s="745"/>
      <c r="C5" s="745"/>
      <c r="D5" s="581">
        <v>44212</v>
      </c>
      <c r="E5" s="582"/>
      <c r="F5" s="746" t="s">
        <v>201</v>
      </c>
      <c r="G5" s="747"/>
      <c r="H5" s="244"/>
      <c r="I5" s="706" t="s">
        <v>316</v>
      </c>
      <c r="J5" s="706"/>
      <c r="K5" s="706"/>
      <c r="L5" s="707"/>
      <c r="M5" s="748" t="s">
        <v>17</v>
      </c>
      <c r="N5" s="748"/>
      <c r="O5" s="373">
        <v>1</v>
      </c>
    </row>
    <row r="6" spans="1:15" ht="15.5" x14ac:dyDescent="0.25">
      <c r="A6" s="744" t="s">
        <v>10</v>
      </c>
      <c r="B6" s="745"/>
      <c r="C6" s="745"/>
      <c r="D6" s="581">
        <v>44280</v>
      </c>
      <c r="E6" s="724"/>
      <c r="F6" s="746" t="s">
        <v>15</v>
      </c>
      <c r="G6" s="747"/>
      <c r="H6" s="244"/>
      <c r="I6" s="706" t="s">
        <v>247</v>
      </c>
      <c r="J6" s="706"/>
      <c r="K6" s="706"/>
      <c r="L6" s="707"/>
      <c r="M6" s="748" t="s">
        <v>190</v>
      </c>
      <c r="N6" s="748"/>
      <c r="O6" s="374">
        <f>O4+O5*10</f>
        <v>45</v>
      </c>
    </row>
    <row r="7" spans="1:15" ht="16" thickBot="1" x14ac:dyDescent="0.3">
      <c r="A7" s="758" t="s">
        <v>4</v>
      </c>
      <c r="B7" s="759"/>
      <c r="C7" s="759"/>
      <c r="D7" s="586" t="s">
        <v>314</v>
      </c>
      <c r="E7" s="582"/>
      <c r="F7" s="760" t="s">
        <v>16</v>
      </c>
      <c r="G7" s="761"/>
      <c r="H7" s="375"/>
      <c r="I7" s="714" t="s">
        <v>2</v>
      </c>
      <c r="J7" s="714"/>
      <c r="K7" s="714"/>
      <c r="L7" s="715"/>
      <c r="M7" s="762"/>
      <c r="N7" s="762"/>
      <c r="O7" s="376"/>
    </row>
    <row r="8" spans="1:15" ht="15.5" x14ac:dyDescent="0.25">
      <c r="A8" s="749" t="s">
        <v>47</v>
      </c>
      <c r="B8" s="750"/>
      <c r="C8" s="750"/>
      <c r="D8" s="751">
        <v>0.25</v>
      </c>
      <c r="E8" s="752"/>
      <c r="F8" s="753" t="s">
        <v>210</v>
      </c>
      <c r="G8" s="754"/>
      <c r="H8" s="244"/>
      <c r="I8" s="755"/>
      <c r="J8" s="755"/>
      <c r="K8" s="755"/>
      <c r="L8" s="756"/>
      <c r="M8" s="757" t="s">
        <v>214</v>
      </c>
      <c r="N8" s="757"/>
      <c r="O8" s="377">
        <v>0</v>
      </c>
    </row>
    <row r="9" spans="1:15" ht="15.5" x14ac:dyDescent="0.25">
      <c r="A9" s="769" t="s">
        <v>46</v>
      </c>
      <c r="B9" s="770"/>
      <c r="C9" s="770"/>
      <c r="D9" s="771">
        <f>100%-D8</f>
        <v>0.75</v>
      </c>
      <c r="E9" s="772"/>
      <c r="F9" s="746" t="s">
        <v>201</v>
      </c>
      <c r="G9" s="747"/>
      <c r="H9" s="244"/>
      <c r="I9" s="755"/>
      <c r="J9" s="755"/>
      <c r="K9" s="755"/>
      <c r="L9" s="756"/>
      <c r="M9" s="773" t="s">
        <v>17</v>
      </c>
      <c r="N9" s="773"/>
      <c r="O9" s="373"/>
    </row>
    <row r="10" spans="1:15" x14ac:dyDescent="0.25">
      <c r="A10" s="774" t="s">
        <v>224</v>
      </c>
      <c r="B10" s="775"/>
      <c r="C10" s="775"/>
      <c r="D10" s="776">
        <f>O6+O10</f>
        <v>45</v>
      </c>
      <c r="E10" s="777"/>
      <c r="F10" s="778" t="s">
        <v>15</v>
      </c>
      <c r="G10" s="779"/>
      <c r="H10" s="378"/>
      <c r="I10" s="780"/>
      <c r="J10" s="780"/>
      <c r="K10" s="780"/>
      <c r="L10" s="781"/>
      <c r="M10" s="782" t="s">
        <v>190</v>
      </c>
      <c r="N10" s="782"/>
      <c r="O10" s="379">
        <f>O8+O9*10</f>
        <v>0</v>
      </c>
    </row>
    <row r="11" spans="1:15" ht="19" thickBot="1" x14ac:dyDescent="0.3">
      <c r="A11" s="783" t="s">
        <v>225</v>
      </c>
      <c r="B11" s="784"/>
      <c r="C11" s="784"/>
      <c r="D11" s="785">
        <f>ROUNDUP(D10/10,0)</f>
        <v>5</v>
      </c>
      <c r="E11" s="786"/>
      <c r="F11" s="787" t="s">
        <v>16</v>
      </c>
      <c r="G11" s="788"/>
      <c r="H11" s="245"/>
      <c r="I11" s="789"/>
      <c r="J11" s="789"/>
      <c r="K11" s="789"/>
      <c r="L11" s="789"/>
      <c r="M11" s="790" t="s">
        <v>304</v>
      </c>
      <c r="N11" s="790"/>
      <c r="O11" s="380">
        <f>'[1]Local Penalties'!B8</f>
        <v>7</v>
      </c>
    </row>
    <row r="12" spans="1:15" ht="19" thickBot="1" x14ac:dyDescent="0.3">
      <c r="A12" s="381"/>
      <c r="B12" s="382"/>
      <c r="C12" s="383"/>
      <c r="D12" s="383"/>
      <c r="E12" s="383"/>
      <c r="F12" s="384"/>
      <c r="G12" s="385"/>
      <c r="H12" s="246"/>
      <c r="I12" s="386"/>
      <c r="J12" s="386"/>
      <c r="K12" s="386"/>
      <c r="L12" s="386"/>
      <c r="M12" s="243"/>
      <c r="N12" s="243"/>
      <c r="O12" s="387"/>
    </row>
    <row r="13" spans="1:15" ht="19" thickBot="1" x14ac:dyDescent="0.3">
      <c r="A13" s="388"/>
      <c r="B13" s="383"/>
      <c r="C13" s="383"/>
      <c r="D13" s="383"/>
      <c r="E13" s="383"/>
      <c r="F13" s="389"/>
      <c r="G13" s="390"/>
      <c r="H13" s="391"/>
      <c r="I13" s="763" t="s">
        <v>237</v>
      </c>
      <c r="J13" s="764"/>
      <c r="K13" s="765"/>
      <c r="L13" s="392"/>
      <c r="M13" s="766" t="s">
        <v>324</v>
      </c>
      <c r="N13" s="767"/>
      <c r="O13" s="768"/>
    </row>
    <row r="14" spans="1:15" ht="36.75" customHeight="1" thickBot="1" x14ac:dyDescent="0.3">
      <c r="A14" s="393">
        <v>0.02</v>
      </c>
      <c r="B14" s="394" t="s">
        <v>51</v>
      </c>
      <c r="C14" s="794" t="s">
        <v>183</v>
      </c>
      <c r="D14" s="794"/>
      <c r="E14" s="794"/>
      <c r="F14" s="794"/>
      <c r="G14" s="395" t="s">
        <v>206</v>
      </c>
      <c r="H14" s="396" t="s">
        <v>0</v>
      </c>
      <c r="I14" s="796" t="s">
        <v>238</v>
      </c>
      <c r="J14" s="794" t="s">
        <v>5</v>
      </c>
      <c r="K14" s="397" t="s">
        <v>239</v>
      </c>
      <c r="L14" s="392"/>
      <c r="M14" s="398" t="s">
        <v>260</v>
      </c>
      <c r="N14" s="794" t="s">
        <v>5</v>
      </c>
      <c r="O14" s="397" t="s">
        <v>239</v>
      </c>
    </row>
    <row r="15" spans="1:15" ht="0.75" customHeight="1" thickBot="1" x14ac:dyDescent="0.3">
      <c r="A15" s="399"/>
      <c r="B15" s="400"/>
      <c r="C15" s="795"/>
      <c r="D15" s="795"/>
      <c r="E15" s="795"/>
      <c r="F15" s="795"/>
      <c r="G15" s="401"/>
      <c r="H15" s="401"/>
      <c r="I15" s="797"/>
      <c r="J15" s="795"/>
      <c r="K15" s="402"/>
      <c r="L15" s="392"/>
      <c r="M15" s="403">
        <f>(M35-M32)/(I35-I32)</f>
        <v>0</v>
      </c>
      <c r="N15" s="795"/>
      <c r="O15" s="402"/>
    </row>
    <row r="16" spans="1:15" ht="16" hidden="1" thickTop="1" x14ac:dyDescent="0.25">
      <c r="A16" s="404" t="s">
        <v>7</v>
      </c>
      <c r="B16" s="249"/>
      <c r="C16" s="798"/>
      <c r="D16" s="799"/>
      <c r="E16" s="799"/>
      <c r="F16" s="800"/>
      <c r="G16" s="250"/>
      <c r="H16" s="251"/>
      <c r="I16" s="405"/>
      <c r="J16" s="406"/>
      <c r="K16" s="407"/>
      <c r="L16" s="392"/>
      <c r="M16" s="408"/>
      <c r="N16" s="409"/>
      <c r="O16" s="410"/>
    </row>
    <row r="17" spans="1:15" ht="15.5" hidden="1" x14ac:dyDescent="0.25">
      <c r="A17" s="411" t="s">
        <v>7</v>
      </c>
      <c r="B17" s="253"/>
      <c r="C17" s="791"/>
      <c r="D17" s="792"/>
      <c r="E17" s="792"/>
      <c r="F17" s="793"/>
      <c r="G17" s="412"/>
      <c r="H17" s="413"/>
      <c r="I17" s="414"/>
      <c r="J17" s="415"/>
      <c r="K17" s="416"/>
      <c r="L17" s="392"/>
      <c r="M17" s="417"/>
      <c r="N17" s="418"/>
      <c r="O17" s="416"/>
    </row>
    <row r="18" spans="1:15" ht="15.5" hidden="1" x14ac:dyDescent="0.25">
      <c r="A18" s="419" t="s">
        <v>7</v>
      </c>
      <c r="B18" s="420"/>
      <c r="C18" s="791"/>
      <c r="D18" s="792"/>
      <c r="E18" s="792"/>
      <c r="F18" s="793"/>
      <c r="G18" s="421"/>
      <c r="H18" s="255"/>
      <c r="I18" s="422"/>
      <c r="J18" s="423"/>
      <c r="K18" s="424"/>
      <c r="L18" s="392"/>
      <c r="M18" s="425"/>
      <c r="N18" s="426"/>
      <c r="O18" s="424"/>
    </row>
    <row r="19" spans="1:15" ht="15.5" x14ac:dyDescent="0.25">
      <c r="A19" s="419" t="s">
        <v>7</v>
      </c>
      <c r="B19" s="801" t="s">
        <v>198</v>
      </c>
      <c r="C19" s="803" t="s">
        <v>169</v>
      </c>
      <c r="D19" s="803"/>
      <c r="E19" s="803"/>
      <c r="F19" s="803"/>
      <c r="G19" s="364" t="s">
        <v>26</v>
      </c>
      <c r="H19" s="255" t="s">
        <v>21</v>
      </c>
      <c r="I19" s="426">
        <f>(D10-SUM(I16:I18))*D8</f>
        <v>11.25</v>
      </c>
      <c r="J19" s="423">
        <f>IF(A19="Y",I19* 2%,0)</f>
        <v>0.22500000000000001</v>
      </c>
      <c r="K19" s="424">
        <f>I19-J19</f>
        <v>11.025</v>
      </c>
      <c r="L19" s="392"/>
      <c r="M19" s="425">
        <f t="shared" ref="M19:M31" si="0">IF($M$43=0,,I19*$M$15)</f>
        <v>0</v>
      </c>
      <c r="N19" s="426">
        <f t="shared" ref="N19:N34" si="1">IF(A19="Y", M19*2%,)</f>
        <v>0</v>
      </c>
      <c r="O19" s="424">
        <f t="shared" ref="O19:O40" si="2">M19-N19</f>
        <v>0</v>
      </c>
    </row>
    <row r="20" spans="1:15" ht="15.5" x14ac:dyDescent="0.25">
      <c r="A20" s="404" t="s">
        <v>7</v>
      </c>
      <c r="B20" s="802"/>
      <c r="C20" s="803" t="s">
        <v>170</v>
      </c>
      <c r="D20" s="803"/>
      <c r="E20" s="803"/>
      <c r="F20" s="803"/>
      <c r="G20" s="364" t="s">
        <v>45</v>
      </c>
      <c r="H20" s="255" t="s">
        <v>19</v>
      </c>
      <c r="I20" s="426">
        <f>(D10-SUM(I16:I18))*D9</f>
        <v>33.75</v>
      </c>
      <c r="J20" s="406">
        <f t="shared" ref="J20:J34" si="3">IF(A20="Y",I20* 2%,0)</f>
        <v>0.67500000000000004</v>
      </c>
      <c r="K20" s="424">
        <f t="shared" ref="K20:K33" si="4">I20-J20</f>
        <v>33.075000000000003</v>
      </c>
      <c r="L20" s="392"/>
      <c r="M20" s="408">
        <f t="shared" si="0"/>
        <v>0</v>
      </c>
      <c r="N20" s="409">
        <f t="shared" si="1"/>
        <v>0</v>
      </c>
      <c r="O20" s="424">
        <f t="shared" si="2"/>
        <v>0</v>
      </c>
    </row>
    <row r="21" spans="1:15" ht="15.5" x14ac:dyDescent="0.25">
      <c r="A21" s="404" t="s">
        <v>7</v>
      </c>
      <c r="B21" s="427">
        <v>7</v>
      </c>
      <c r="C21" s="803" t="s">
        <v>171</v>
      </c>
      <c r="D21" s="803"/>
      <c r="E21" s="803"/>
      <c r="F21" s="803"/>
      <c r="G21" s="364" t="s">
        <v>25</v>
      </c>
      <c r="H21" s="255" t="s">
        <v>20</v>
      </c>
      <c r="I21" s="426">
        <f>$D$11*B21</f>
        <v>35</v>
      </c>
      <c r="J21" s="406">
        <f t="shared" si="3"/>
        <v>0.70000000000000007</v>
      </c>
      <c r="K21" s="424">
        <f t="shared" si="4"/>
        <v>34.299999999999997</v>
      </c>
      <c r="L21" s="392"/>
      <c r="M21" s="408">
        <f t="shared" si="0"/>
        <v>0</v>
      </c>
      <c r="N21" s="409">
        <f t="shared" si="1"/>
        <v>0</v>
      </c>
      <c r="O21" s="424">
        <f t="shared" si="2"/>
        <v>0</v>
      </c>
    </row>
    <row r="22" spans="1:15" ht="15.5" x14ac:dyDescent="0.25">
      <c r="A22" s="404" t="s">
        <v>7</v>
      </c>
      <c r="B22" s="427">
        <v>3</v>
      </c>
      <c r="C22" s="791" t="s">
        <v>172</v>
      </c>
      <c r="D22" s="792"/>
      <c r="E22" s="792"/>
      <c r="F22" s="793"/>
      <c r="G22" s="364" t="s">
        <v>26</v>
      </c>
      <c r="H22" s="255" t="s">
        <v>21</v>
      </c>
      <c r="I22" s="426">
        <f t="shared" ref="I22:I33" si="5">$D$11*B22</f>
        <v>15</v>
      </c>
      <c r="J22" s="406">
        <f t="shared" si="3"/>
        <v>0.3</v>
      </c>
      <c r="K22" s="424">
        <f t="shared" si="4"/>
        <v>14.7</v>
      </c>
      <c r="L22" s="392"/>
      <c r="M22" s="408">
        <f t="shared" si="0"/>
        <v>0</v>
      </c>
      <c r="N22" s="409">
        <f t="shared" si="1"/>
        <v>0</v>
      </c>
      <c r="O22" s="424">
        <f t="shared" si="2"/>
        <v>0</v>
      </c>
    </row>
    <row r="23" spans="1:15" ht="16.5" customHeight="1" x14ac:dyDescent="0.25">
      <c r="A23" s="404" t="s">
        <v>7</v>
      </c>
      <c r="B23" s="427">
        <v>0.75</v>
      </c>
      <c r="C23" s="804" t="s">
        <v>319</v>
      </c>
      <c r="D23" s="805"/>
      <c r="E23" s="805"/>
      <c r="F23" s="806"/>
      <c r="G23" s="428" t="s">
        <v>26</v>
      </c>
      <c r="H23" s="255" t="s">
        <v>48</v>
      </c>
      <c r="I23" s="426">
        <f t="shared" si="5"/>
        <v>3.75</v>
      </c>
      <c r="J23" s="406">
        <f t="shared" si="3"/>
        <v>7.4999999999999997E-2</v>
      </c>
      <c r="K23" s="424">
        <f t="shared" si="4"/>
        <v>3.6749999999999998</v>
      </c>
      <c r="L23" s="392"/>
      <c r="M23" s="408">
        <f t="shared" si="0"/>
        <v>0</v>
      </c>
      <c r="N23" s="409">
        <f t="shared" si="1"/>
        <v>0</v>
      </c>
      <c r="O23" s="424">
        <f t="shared" si="2"/>
        <v>0</v>
      </c>
    </row>
    <row r="24" spans="1:15" ht="16.5" customHeight="1" x14ac:dyDescent="0.25">
      <c r="A24" s="404" t="s">
        <v>7</v>
      </c>
      <c r="B24" s="427">
        <v>0.25</v>
      </c>
      <c r="C24" s="804" t="s">
        <v>320</v>
      </c>
      <c r="D24" s="805"/>
      <c r="E24" s="805"/>
      <c r="F24" s="806"/>
      <c r="G24" s="428" t="s">
        <v>25</v>
      </c>
      <c r="H24" s="255"/>
      <c r="I24" s="426">
        <f>$D$11*B24</f>
        <v>1.25</v>
      </c>
      <c r="J24" s="406">
        <f t="shared" si="3"/>
        <v>2.5000000000000001E-2</v>
      </c>
      <c r="K24" s="424">
        <f t="shared" si="4"/>
        <v>1.2250000000000001</v>
      </c>
      <c r="L24" s="392"/>
      <c r="M24" s="408">
        <f t="shared" si="0"/>
        <v>0</v>
      </c>
      <c r="N24" s="409">
        <f t="shared" si="1"/>
        <v>0</v>
      </c>
      <c r="O24" s="424">
        <f t="shared" si="2"/>
        <v>0</v>
      </c>
    </row>
    <row r="25" spans="1:15" ht="14.5" x14ac:dyDescent="0.25">
      <c r="A25" s="404" t="s">
        <v>7</v>
      </c>
      <c r="B25" s="427">
        <v>4</v>
      </c>
      <c r="C25" s="791" t="s">
        <v>270</v>
      </c>
      <c r="D25" s="792"/>
      <c r="E25" s="792"/>
      <c r="F25" s="793"/>
      <c r="G25" s="364" t="s">
        <v>25</v>
      </c>
      <c r="H25" s="255" t="s">
        <v>60</v>
      </c>
      <c r="I25" s="426">
        <f t="shared" si="5"/>
        <v>20</v>
      </c>
      <c r="J25" s="406">
        <f t="shared" si="3"/>
        <v>0.4</v>
      </c>
      <c r="K25" s="424">
        <f t="shared" si="4"/>
        <v>19.600000000000001</v>
      </c>
      <c r="L25" s="429"/>
      <c r="M25" s="408">
        <f t="shared" si="0"/>
        <v>0</v>
      </c>
      <c r="N25" s="409">
        <f t="shared" si="1"/>
        <v>0</v>
      </c>
      <c r="O25" s="424">
        <f t="shared" si="2"/>
        <v>0</v>
      </c>
    </row>
    <row r="26" spans="1:15" ht="18" customHeight="1" x14ac:dyDescent="0.25">
      <c r="A26" s="404" t="s">
        <v>7</v>
      </c>
      <c r="B26" s="430">
        <v>2</v>
      </c>
      <c r="C26" s="803" t="s">
        <v>174</v>
      </c>
      <c r="D26" s="803"/>
      <c r="E26" s="807" t="str">
        <f>IF(SUM(B26:B30)=O11,"GC 76000 PA ($" &amp;O11 &amp; " for every 10) breakdown per local board of supervisor resolution (BOS).","ERROR! GC 76000 PA total is not $" &amp;O11&amp; ". Check Court's board resolution.")</f>
        <v>GC 76000 PA ($7 for every 10) breakdown per local board of supervisor resolution (BOS).</v>
      </c>
      <c r="F26" s="808"/>
      <c r="G26" s="364" t="s">
        <v>26</v>
      </c>
      <c r="H26" s="255" t="s">
        <v>56</v>
      </c>
      <c r="I26" s="426">
        <f t="shared" si="5"/>
        <v>10</v>
      </c>
      <c r="J26" s="406">
        <f t="shared" si="3"/>
        <v>0.2</v>
      </c>
      <c r="K26" s="424">
        <f t="shared" si="4"/>
        <v>9.8000000000000007</v>
      </c>
      <c r="L26" s="429"/>
      <c r="M26" s="408">
        <f t="shared" si="0"/>
        <v>0</v>
      </c>
      <c r="N26" s="409">
        <f t="shared" si="1"/>
        <v>0</v>
      </c>
      <c r="O26" s="424">
        <f t="shared" si="2"/>
        <v>0</v>
      </c>
    </row>
    <row r="27" spans="1:15" ht="18.75" customHeight="1" x14ac:dyDescent="0.25">
      <c r="A27" s="404" t="s">
        <v>7</v>
      </c>
      <c r="B27" s="430">
        <v>2</v>
      </c>
      <c r="C27" s="803" t="s">
        <v>175</v>
      </c>
      <c r="D27" s="803"/>
      <c r="E27" s="809"/>
      <c r="F27" s="810"/>
      <c r="G27" s="364" t="s">
        <v>26</v>
      </c>
      <c r="H27" s="255" t="s">
        <v>28</v>
      </c>
      <c r="I27" s="426">
        <f t="shared" si="5"/>
        <v>10</v>
      </c>
      <c r="J27" s="406">
        <f t="shared" si="3"/>
        <v>0.2</v>
      </c>
      <c r="K27" s="424">
        <f t="shared" si="4"/>
        <v>9.8000000000000007</v>
      </c>
      <c r="L27" s="429"/>
      <c r="M27" s="408">
        <f t="shared" si="0"/>
        <v>0</v>
      </c>
      <c r="N27" s="409">
        <f t="shared" si="1"/>
        <v>0</v>
      </c>
      <c r="O27" s="424">
        <f t="shared" si="2"/>
        <v>0</v>
      </c>
    </row>
    <row r="28" spans="1:15" ht="19.5" customHeight="1" x14ac:dyDescent="0.25">
      <c r="A28" s="404" t="s">
        <v>7</v>
      </c>
      <c r="B28" s="430">
        <v>1.5</v>
      </c>
      <c r="C28" s="803" t="s">
        <v>176</v>
      </c>
      <c r="D28" s="803"/>
      <c r="E28" s="809"/>
      <c r="F28" s="810"/>
      <c r="G28" s="364" t="s">
        <v>26</v>
      </c>
      <c r="H28" s="255" t="s">
        <v>57</v>
      </c>
      <c r="I28" s="426">
        <f t="shared" si="5"/>
        <v>7.5</v>
      </c>
      <c r="J28" s="406">
        <f t="shared" si="3"/>
        <v>0.15</v>
      </c>
      <c r="K28" s="424">
        <f t="shared" si="4"/>
        <v>7.35</v>
      </c>
      <c r="L28" s="429"/>
      <c r="M28" s="408">
        <f t="shared" si="0"/>
        <v>0</v>
      </c>
      <c r="N28" s="409">
        <f t="shared" si="1"/>
        <v>0</v>
      </c>
      <c r="O28" s="424">
        <f t="shared" si="2"/>
        <v>0</v>
      </c>
    </row>
    <row r="29" spans="1:15" ht="18" customHeight="1" x14ac:dyDescent="0.25">
      <c r="A29" s="404" t="s">
        <v>7</v>
      </c>
      <c r="B29" s="430">
        <v>0.5</v>
      </c>
      <c r="C29" s="803" t="s">
        <v>256</v>
      </c>
      <c r="D29" s="803"/>
      <c r="E29" s="809"/>
      <c r="F29" s="810"/>
      <c r="G29" s="364" t="s">
        <v>26</v>
      </c>
      <c r="H29" s="255" t="s">
        <v>57</v>
      </c>
      <c r="I29" s="426">
        <f>$D$11*B29</f>
        <v>2.5</v>
      </c>
      <c r="J29" s="406">
        <f>IF(A29="Y",I29* 2%,0)</f>
        <v>0.05</v>
      </c>
      <c r="K29" s="424">
        <f>I29-J29</f>
        <v>2.4500000000000002</v>
      </c>
      <c r="L29" s="429"/>
      <c r="M29" s="408">
        <f t="shared" si="0"/>
        <v>0</v>
      </c>
      <c r="N29" s="409">
        <f t="shared" si="1"/>
        <v>0</v>
      </c>
      <c r="O29" s="424">
        <f>M29-N29</f>
        <v>0</v>
      </c>
    </row>
    <row r="30" spans="1:15" ht="14.5" x14ac:dyDescent="0.25">
      <c r="A30" s="404" t="s">
        <v>7</v>
      </c>
      <c r="B30" s="430">
        <v>1</v>
      </c>
      <c r="C30" s="803" t="s">
        <v>211</v>
      </c>
      <c r="D30" s="803"/>
      <c r="E30" s="811"/>
      <c r="F30" s="812"/>
      <c r="G30" s="364" t="s">
        <v>26</v>
      </c>
      <c r="H30" s="255"/>
      <c r="I30" s="426">
        <f t="shared" si="5"/>
        <v>5</v>
      </c>
      <c r="J30" s="406">
        <f t="shared" si="3"/>
        <v>0.1</v>
      </c>
      <c r="K30" s="424">
        <f t="shared" si="4"/>
        <v>4.9000000000000004</v>
      </c>
      <c r="L30" s="429"/>
      <c r="M30" s="408">
        <f t="shared" si="0"/>
        <v>0</v>
      </c>
      <c r="N30" s="409">
        <f t="shared" si="1"/>
        <v>0</v>
      </c>
      <c r="O30" s="424">
        <f t="shared" si="2"/>
        <v>0</v>
      </c>
    </row>
    <row r="31" spans="1:15" ht="14.5" x14ac:dyDescent="0.25">
      <c r="A31" s="404" t="s">
        <v>7</v>
      </c>
      <c r="B31" s="430">
        <v>2</v>
      </c>
      <c r="C31" s="791" t="s">
        <v>234</v>
      </c>
      <c r="D31" s="792"/>
      <c r="E31" s="792"/>
      <c r="F31" s="793"/>
      <c r="G31" s="364" t="s">
        <v>26</v>
      </c>
      <c r="H31" s="255" t="s">
        <v>29</v>
      </c>
      <c r="I31" s="426">
        <f t="shared" si="5"/>
        <v>10</v>
      </c>
      <c r="J31" s="406">
        <f t="shared" si="3"/>
        <v>0.2</v>
      </c>
      <c r="K31" s="424">
        <f t="shared" si="4"/>
        <v>9.8000000000000007</v>
      </c>
      <c r="L31" s="429"/>
      <c r="M31" s="408">
        <f t="shared" si="0"/>
        <v>0</v>
      </c>
      <c r="N31" s="409">
        <f t="shared" si="1"/>
        <v>0</v>
      </c>
      <c r="O31" s="424">
        <f t="shared" si="2"/>
        <v>0</v>
      </c>
    </row>
    <row r="32" spans="1:15" ht="14.5" x14ac:dyDescent="0.25">
      <c r="A32" s="404" t="s">
        <v>7</v>
      </c>
      <c r="B32" s="427"/>
      <c r="C32" s="791" t="s">
        <v>253</v>
      </c>
      <c r="D32" s="792"/>
      <c r="E32" s="792"/>
      <c r="F32" s="793"/>
      <c r="G32" s="364" t="s">
        <v>25</v>
      </c>
      <c r="H32" s="431" t="s">
        <v>32</v>
      </c>
      <c r="I32" s="432">
        <v>4</v>
      </c>
      <c r="J32" s="406">
        <f>IF(A32="Y", I32*2%,0)</f>
        <v>0.08</v>
      </c>
      <c r="K32" s="424">
        <f>I32-J32</f>
        <v>3.92</v>
      </c>
      <c r="L32" s="429"/>
      <c r="M32" s="425">
        <f>IF($M$43=0,,I32)</f>
        <v>0</v>
      </c>
      <c r="N32" s="409">
        <f t="shared" si="1"/>
        <v>0</v>
      </c>
      <c r="O32" s="424">
        <f>M32-N32</f>
        <v>0</v>
      </c>
    </row>
    <row r="33" spans="1:15" ht="16.5" customHeight="1" x14ac:dyDescent="0.25">
      <c r="A33" s="404" t="s">
        <v>7</v>
      </c>
      <c r="B33" s="430">
        <v>5</v>
      </c>
      <c r="C33" s="791" t="s">
        <v>312</v>
      </c>
      <c r="D33" s="792"/>
      <c r="E33" s="792"/>
      <c r="F33" s="793"/>
      <c r="G33" s="364" t="s">
        <v>25</v>
      </c>
      <c r="H33" s="255" t="s">
        <v>30</v>
      </c>
      <c r="I33" s="426">
        <f t="shared" si="5"/>
        <v>25</v>
      </c>
      <c r="J33" s="406">
        <f t="shared" si="3"/>
        <v>0.5</v>
      </c>
      <c r="K33" s="424">
        <f t="shared" si="4"/>
        <v>24.5</v>
      </c>
      <c r="L33" s="429"/>
      <c r="M33" s="408">
        <f>IF($M$43=0,,I33*$M$15)</f>
        <v>0</v>
      </c>
      <c r="N33" s="409">
        <f t="shared" si="1"/>
        <v>0</v>
      </c>
      <c r="O33" s="424">
        <f t="shared" si="2"/>
        <v>0</v>
      </c>
    </row>
    <row r="34" spans="1:15" ht="14.5" x14ac:dyDescent="0.25">
      <c r="A34" s="404" t="s">
        <v>6</v>
      </c>
      <c r="B34" s="427"/>
      <c r="C34" s="791" t="s">
        <v>177</v>
      </c>
      <c r="D34" s="792"/>
      <c r="E34" s="792"/>
      <c r="F34" s="793"/>
      <c r="G34" s="364" t="s">
        <v>25</v>
      </c>
      <c r="H34" s="255" t="s">
        <v>9</v>
      </c>
      <c r="I34" s="426">
        <f>$D$10*20%</f>
        <v>9</v>
      </c>
      <c r="J34" s="406">
        <f t="shared" si="3"/>
        <v>0</v>
      </c>
      <c r="K34" s="424">
        <f>I34-J34</f>
        <v>9</v>
      </c>
      <c r="L34" s="429"/>
      <c r="M34" s="408">
        <f>IF($M$43=0,,I34*$M$15)</f>
        <v>0</v>
      </c>
      <c r="N34" s="409">
        <f t="shared" si="1"/>
        <v>0</v>
      </c>
      <c r="O34" s="424">
        <f t="shared" si="2"/>
        <v>0</v>
      </c>
    </row>
    <row r="35" spans="1:15" ht="14.5" x14ac:dyDescent="0.25">
      <c r="A35" s="404"/>
      <c r="B35" s="433"/>
      <c r="C35" s="813" t="s">
        <v>178</v>
      </c>
      <c r="D35" s="814"/>
      <c r="E35" s="814"/>
      <c r="F35" s="815"/>
      <c r="G35" s="434"/>
      <c r="H35" s="435"/>
      <c r="I35" s="436">
        <f>SUM(I16:I34)</f>
        <v>203</v>
      </c>
      <c r="J35" s="406"/>
      <c r="K35" s="437">
        <f>SUM(K16:K34)</f>
        <v>199.11999999999998</v>
      </c>
      <c r="L35" s="438"/>
      <c r="M35" s="439">
        <f>IF($M$43=0,,M43-SUM(M36:M40))</f>
        <v>0</v>
      </c>
      <c r="N35" s="409"/>
      <c r="O35" s="437">
        <f>SUM(O16:O34)</f>
        <v>0</v>
      </c>
    </row>
    <row r="36" spans="1:15" ht="14.5" x14ac:dyDescent="0.25">
      <c r="A36" s="404" t="s">
        <v>6</v>
      </c>
      <c r="B36" s="427"/>
      <c r="C36" s="791" t="s">
        <v>257</v>
      </c>
      <c r="D36" s="792"/>
      <c r="E36" s="792"/>
      <c r="F36" s="793"/>
      <c r="G36" s="364" t="s">
        <v>25</v>
      </c>
      <c r="H36" s="431"/>
      <c r="I36" s="432">
        <v>40</v>
      </c>
      <c r="J36" s="406">
        <f>IF(A36="Y", I36*2%,0)</f>
        <v>0</v>
      </c>
      <c r="K36" s="424">
        <f>I36-J36</f>
        <v>40</v>
      </c>
      <c r="L36" s="429"/>
      <c r="M36" s="440">
        <f>IF($M$43=0,,I36)</f>
        <v>0</v>
      </c>
      <c r="N36" s="409">
        <f>IF(A36="Y", M36*2%,)</f>
        <v>0</v>
      </c>
      <c r="O36" s="424">
        <f t="shared" ref="O36" si="6">M36-N36</f>
        <v>0</v>
      </c>
    </row>
    <row r="37" spans="1:15" ht="14.5" x14ac:dyDescent="0.25">
      <c r="A37" s="404" t="s">
        <v>6</v>
      </c>
      <c r="B37" s="427"/>
      <c r="C37" s="816" t="s">
        <v>216</v>
      </c>
      <c r="D37" s="817"/>
      <c r="E37" s="817"/>
      <c r="F37" s="818"/>
      <c r="G37" s="441" t="s">
        <v>25</v>
      </c>
      <c r="H37" s="442" t="s">
        <v>158</v>
      </c>
      <c r="I37" s="432">
        <v>35</v>
      </c>
      <c r="J37" s="406">
        <f t="shared" ref="J37:J40" si="7">IF(A37="Y", I37*2%,0)</f>
        <v>0</v>
      </c>
      <c r="K37" s="424">
        <f t="shared" ref="K37:K40" si="8">I37-J37</f>
        <v>35</v>
      </c>
      <c r="L37" s="429"/>
      <c r="M37" s="440">
        <f>IF($M$43=0,,I37)</f>
        <v>0</v>
      </c>
      <c r="N37" s="409">
        <f>IF(A37="Y", M37*2%,)</f>
        <v>0</v>
      </c>
      <c r="O37" s="424">
        <f t="shared" si="2"/>
        <v>0</v>
      </c>
    </row>
    <row r="38" spans="1:15" ht="14.5" x14ac:dyDescent="0.25">
      <c r="A38" s="404" t="s">
        <v>6</v>
      </c>
      <c r="B38" s="443"/>
      <c r="C38" s="816" t="s">
        <v>258</v>
      </c>
      <c r="D38" s="817"/>
      <c r="E38" s="817"/>
      <c r="F38" s="818"/>
      <c r="G38" s="441" t="s">
        <v>187</v>
      </c>
      <c r="H38" s="442" t="s">
        <v>18</v>
      </c>
      <c r="I38" s="432">
        <v>10</v>
      </c>
      <c r="J38" s="406">
        <f t="shared" si="7"/>
        <v>0</v>
      </c>
      <c r="K38" s="424">
        <f t="shared" si="8"/>
        <v>10</v>
      </c>
      <c r="L38" s="429"/>
      <c r="M38" s="425">
        <f>IF($M$43=0,,I38)</f>
        <v>0</v>
      </c>
      <c r="N38" s="409">
        <f>IF(A38="Y", M38*2%,)</f>
        <v>0</v>
      </c>
      <c r="O38" s="424">
        <f t="shared" si="2"/>
        <v>0</v>
      </c>
    </row>
    <row r="39" spans="1:15" ht="14.5" x14ac:dyDescent="0.25">
      <c r="A39" s="404" t="s">
        <v>6</v>
      </c>
      <c r="B39" s="443"/>
      <c r="C39" s="791" t="s">
        <v>321</v>
      </c>
      <c r="D39" s="817"/>
      <c r="E39" s="817"/>
      <c r="F39" s="818"/>
      <c r="G39" s="441" t="s">
        <v>187</v>
      </c>
      <c r="H39" s="442" t="s">
        <v>68</v>
      </c>
      <c r="I39" s="432">
        <v>0</v>
      </c>
      <c r="J39" s="406">
        <f t="shared" si="7"/>
        <v>0</v>
      </c>
      <c r="K39" s="424">
        <f t="shared" si="8"/>
        <v>0</v>
      </c>
      <c r="L39" s="429"/>
      <c r="M39" s="425">
        <f>IF($M$43=0,,I39)</f>
        <v>0</v>
      </c>
      <c r="N39" s="409">
        <f>IF(A39="Y", M39*2%,)</f>
        <v>0</v>
      </c>
      <c r="O39" s="424">
        <f t="shared" si="2"/>
        <v>0</v>
      </c>
    </row>
    <row r="40" spans="1:15" ht="14.5" x14ac:dyDescent="0.25">
      <c r="A40" s="404" t="s">
        <v>6</v>
      </c>
      <c r="B40" s="443"/>
      <c r="C40" s="816" t="s">
        <v>182</v>
      </c>
      <c r="D40" s="817"/>
      <c r="E40" s="817"/>
      <c r="F40" s="818"/>
      <c r="G40" s="441" t="s">
        <v>25</v>
      </c>
      <c r="H40" s="442" t="s">
        <v>66</v>
      </c>
      <c r="I40" s="432">
        <v>1</v>
      </c>
      <c r="J40" s="406">
        <f t="shared" si="7"/>
        <v>0</v>
      </c>
      <c r="K40" s="424">
        <f t="shared" si="8"/>
        <v>1</v>
      </c>
      <c r="L40" s="429"/>
      <c r="M40" s="425">
        <f>IF($M$43=0,,I40)</f>
        <v>0</v>
      </c>
      <c r="N40" s="409">
        <f>IF(A40="Y", M40*2%,)</f>
        <v>0</v>
      </c>
      <c r="O40" s="424">
        <f t="shared" si="2"/>
        <v>0</v>
      </c>
    </row>
    <row r="41" spans="1:15" ht="14.5" x14ac:dyDescent="0.25">
      <c r="A41" s="444" t="s">
        <v>6</v>
      </c>
      <c r="B41" s="443"/>
      <c r="C41" s="791" t="s">
        <v>275</v>
      </c>
      <c r="D41" s="792"/>
      <c r="E41" s="792"/>
      <c r="F41" s="793"/>
      <c r="G41" s="441" t="s">
        <v>25</v>
      </c>
      <c r="H41" s="445" t="s">
        <v>34</v>
      </c>
      <c r="I41" s="446"/>
      <c r="J41" s="447"/>
      <c r="K41" s="448">
        <f>J42</f>
        <v>3.8800000000000003</v>
      </c>
      <c r="L41" s="429"/>
      <c r="M41" s="449"/>
      <c r="N41" s="450"/>
      <c r="O41" s="448">
        <f>N42</f>
        <v>0</v>
      </c>
    </row>
    <row r="42" spans="1:15" ht="14.5" x14ac:dyDescent="0.25">
      <c r="A42" s="451"/>
      <c r="B42" s="256"/>
      <c r="C42" s="256"/>
      <c r="D42" s="256"/>
      <c r="E42" s="257"/>
      <c r="F42" s="257"/>
      <c r="G42" s="252"/>
      <c r="H42" s="252"/>
      <c r="I42" s="252"/>
      <c r="J42" s="452">
        <f>SUM(J16:J41)</f>
        <v>3.8800000000000003</v>
      </c>
      <c r="K42" s="453"/>
      <c r="L42" s="252"/>
      <c r="M42" s="454"/>
      <c r="N42" s="455">
        <f>SUM(N16:N41)</f>
        <v>0</v>
      </c>
      <c r="O42" s="453"/>
    </row>
    <row r="43" spans="1:15" ht="16" thickBot="1" x14ac:dyDescent="0.3">
      <c r="A43" s="456"/>
      <c r="B43" s="457"/>
      <c r="C43" s="457"/>
      <c r="D43" s="457"/>
      <c r="E43" s="458"/>
      <c r="F43" s="459" t="s">
        <v>67</v>
      </c>
      <c r="G43" s="460"/>
      <c r="H43" s="461" t="s">
        <v>1</v>
      </c>
      <c r="I43" s="462">
        <f>SUM(I35:I42)</f>
        <v>289</v>
      </c>
      <c r="J43" s="463"/>
      <c r="K43" s="464">
        <f>SUM(K35:K42)</f>
        <v>289</v>
      </c>
      <c r="L43" s="465"/>
      <c r="M43" s="466">
        <v>0</v>
      </c>
      <c r="N43" s="467"/>
      <c r="O43" s="464">
        <f>SUM(O35:O42)</f>
        <v>0</v>
      </c>
    </row>
  </sheetData>
  <mergeCells count="76">
    <mergeCell ref="C41:F41"/>
    <mergeCell ref="C33:F33"/>
    <mergeCell ref="C35:F35"/>
    <mergeCell ref="C36:F36"/>
    <mergeCell ref="C37:F37"/>
    <mergeCell ref="C38:F38"/>
    <mergeCell ref="C39:F39"/>
    <mergeCell ref="C40:F40"/>
    <mergeCell ref="C32:F32"/>
    <mergeCell ref="C34:F34"/>
    <mergeCell ref="C23:F23"/>
    <mergeCell ref="C24:F24"/>
    <mergeCell ref="C25:F25"/>
    <mergeCell ref="C26:D26"/>
    <mergeCell ref="E26:F30"/>
    <mergeCell ref="C27:D27"/>
    <mergeCell ref="C28:D28"/>
    <mergeCell ref="C29:D29"/>
    <mergeCell ref="C30:D30"/>
    <mergeCell ref="B19:B20"/>
    <mergeCell ref="C19:F19"/>
    <mergeCell ref="C20:F20"/>
    <mergeCell ref="C21:F21"/>
    <mergeCell ref="C31:F31"/>
    <mergeCell ref="M11:N11"/>
    <mergeCell ref="C22:F22"/>
    <mergeCell ref="C14:F15"/>
    <mergeCell ref="I14:I15"/>
    <mergeCell ref="J14:J15"/>
    <mergeCell ref="N14:N15"/>
    <mergeCell ref="C16:F16"/>
    <mergeCell ref="C17:F17"/>
    <mergeCell ref="C18:F18"/>
    <mergeCell ref="I13:K13"/>
    <mergeCell ref="M13:O13"/>
    <mergeCell ref="A9:C9"/>
    <mergeCell ref="D9:E9"/>
    <mergeCell ref="F9:G9"/>
    <mergeCell ref="I9:L9"/>
    <mergeCell ref="M9:N9"/>
    <mergeCell ref="A10:C10"/>
    <mergeCell ref="D10:E10"/>
    <mergeCell ref="F10:G10"/>
    <mergeCell ref="I10:L10"/>
    <mergeCell ref="M10:N10"/>
    <mergeCell ref="A11:C11"/>
    <mergeCell ref="D11:E11"/>
    <mergeCell ref="F11:G11"/>
    <mergeCell ref="I11:L11"/>
    <mergeCell ref="A7:C7"/>
    <mergeCell ref="D7:E7"/>
    <mergeCell ref="F7:G7"/>
    <mergeCell ref="I7:L7"/>
    <mergeCell ref="M7:N7"/>
    <mergeCell ref="A8:C8"/>
    <mergeCell ref="D8:E8"/>
    <mergeCell ref="F8:G8"/>
    <mergeCell ref="I8:L8"/>
    <mergeCell ref="M8:N8"/>
    <mergeCell ref="A5:C5"/>
    <mergeCell ref="D5:E5"/>
    <mergeCell ref="F5:G5"/>
    <mergeCell ref="I5:L5"/>
    <mergeCell ref="M5:N5"/>
    <mergeCell ref="A6:C6"/>
    <mergeCell ref="D6:E6"/>
    <mergeCell ref="F6:G6"/>
    <mergeCell ref="I6:L6"/>
    <mergeCell ref="M6:N6"/>
    <mergeCell ref="A1:O1"/>
    <mergeCell ref="A3:O3"/>
    <mergeCell ref="A4:C4"/>
    <mergeCell ref="D4:E4"/>
    <mergeCell ref="F4:G4"/>
    <mergeCell ref="I4:L4"/>
    <mergeCell ref="M4:N4"/>
  </mergeCells>
  <conditionalFormatting sqref="M16:O41">
    <cfRule type="cellIs" dxfId="21" priority="5" stopIfTrue="1" operator="equal">
      <formula>0</formula>
    </cfRule>
  </conditionalFormatting>
  <conditionalFormatting sqref="I16:I18">
    <cfRule type="cellIs" dxfId="20" priority="4" stopIfTrue="1" operator="equal">
      <formula>0</formula>
    </cfRule>
  </conditionalFormatting>
  <conditionalFormatting sqref="E26">
    <cfRule type="cellIs" dxfId="19" priority="3" operator="notEqual">
      <formula>"GC 76000 PA ($7 for every 10) breakdown per local board of supervisor resolution (BOS)."</formula>
    </cfRule>
  </conditionalFormatting>
  <conditionalFormatting sqref="J36:K41 J32:K32 I18:K31 I33:K35">
    <cfRule type="cellIs" dxfId="18" priority="2" operator="equal">
      <formula>0</formula>
    </cfRule>
  </conditionalFormatting>
  <conditionalFormatting sqref="E26">
    <cfRule type="cellIs" dxfId="17" priority="1" operator="notEqual">
      <formula>"GC 76000 PA ($" &amp;O11 &amp;" for every 10) breakdown per local board of supervisor resolution (BOS)."</formula>
    </cfRule>
  </conditionalFormatting>
  <pageMargins left="0.7" right="0.7" top="0.75" bottom="0.75" header="0.3" footer="0.3"/>
  <pageSetup scale="6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0689" r:id="rId4" name="Button 1">
              <controlPr defaultSize="0" print="0" autoFill="0" autoPict="0" macro="[3]!mcrDisableTwoPercentUnprotect">
                <anchor moveWithCells="1">
                  <from>
                    <xdr:col>0</xdr:col>
                    <xdr:colOff>12700</xdr:colOff>
                    <xdr:row>13</xdr:row>
                    <xdr:rowOff>527050</xdr:rowOff>
                  </from>
                  <to>
                    <xdr:col>0</xdr:col>
                    <xdr:colOff>266700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690" r:id="rId5" name="Button 2">
              <controlPr defaultSize="0" print="0" autoFill="0" autoPict="0" macro="[3]!mcrEnableTwoPercentUnprotect">
                <anchor moveWithCells="1">
                  <from>
                    <xdr:col>0</xdr:col>
                    <xdr:colOff>0</xdr:colOff>
                    <xdr:row>13</xdr:row>
                    <xdr:rowOff>222250</xdr:rowOff>
                  </from>
                  <to>
                    <xdr:col>0</xdr:col>
                    <xdr:colOff>266700</xdr:colOff>
                    <xdr:row>21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8BB6E-924D-4C0F-9F16-5BEC3E36C9B2}">
  <dimension ref="A1:O44"/>
  <sheetViews>
    <sheetView showGridLines="0" topLeftCell="B7" zoomScale="50" zoomScaleNormal="50" workbookViewId="0">
      <selection activeCell="U41" sqref="U41"/>
    </sheetView>
  </sheetViews>
  <sheetFormatPr defaultRowHeight="18.5" x14ac:dyDescent="0.25"/>
  <cols>
    <col min="1" max="1" width="4.26953125" style="259" customWidth="1"/>
    <col min="2" max="2" width="8.26953125" style="259" customWidth="1"/>
    <col min="3" max="3" width="13.54296875" style="259" customWidth="1"/>
    <col min="4" max="4" width="13.1796875" style="259" customWidth="1"/>
    <col min="5" max="5" width="12" style="260" customWidth="1"/>
    <col min="6" max="6" width="20.54296875" style="258" customWidth="1"/>
    <col min="7" max="7" width="13" style="247" customWidth="1"/>
    <col min="8" max="8" width="29.453125" style="247" hidden="1" customWidth="1"/>
    <col min="9" max="9" width="12.26953125" style="247" customWidth="1"/>
    <col min="10" max="10" width="10.7265625" style="247" customWidth="1"/>
    <col min="11" max="11" width="16" style="261" customWidth="1"/>
    <col min="12" max="12" width="1.7265625" style="468" customWidth="1"/>
    <col min="13" max="13" width="15" style="247" customWidth="1"/>
    <col min="14" max="14" width="12.453125" style="247" customWidth="1"/>
    <col min="15" max="15" width="13" style="247" customWidth="1"/>
    <col min="16" max="16384" width="8.7265625" style="367"/>
  </cols>
  <sheetData>
    <row r="1" spans="1:15" ht="20.25" customHeight="1" thickBot="1" x14ac:dyDescent="0.3">
      <c r="A1" s="731" t="s">
        <v>322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3"/>
    </row>
    <row r="2" spans="1:15" ht="19" thickBot="1" x14ac:dyDescent="0.3">
      <c r="A2" s="368"/>
      <c r="B2" s="369"/>
      <c r="C2" s="369"/>
      <c r="D2" s="369"/>
      <c r="E2" s="369"/>
      <c r="F2" s="369"/>
      <c r="G2" s="369"/>
      <c r="H2" s="369"/>
      <c r="I2" s="369"/>
      <c r="J2" s="370"/>
      <c r="K2" s="370"/>
      <c r="L2" s="370"/>
      <c r="M2" s="370"/>
      <c r="N2" s="370"/>
      <c r="O2" s="371"/>
    </row>
    <row r="3" spans="1:15" ht="19" thickBot="1" x14ac:dyDescent="0.3">
      <c r="A3" s="734" t="s">
        <v>191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819"/>
    </row>
    <row r="4" spans="1:15" ht="15.5" x14ac:dyDescent="0.25">
      <c r="A4" s="738" t="s">
        <v>188</v>
      </c>
      <c r="B4" s="739"/>
      <c r="C4" s="739"/>
      <c r="D4" s="740"/>
      <c r="E4" s="741"/>
      <c r="F4" s="742" t="s">
        <v>22</v>
      </c>
      <c r="G4" s="743"/>
      <c r="H4" s="242"/>
      <c r="I4" s="708" t="s">
        <v>315</v>
      </c>
      <c r="J4" s="708"/>
      <c r="K4" s="708"/>
      <c r="L4" s="709"/>
      <c r="M4" s="743" t="s">
        <v>214</v>
      </c>
      <c r="N4" s="820"/>
      <c r="O4" s="469">
        <v>35</v>
      </c>
    </row>
    <row r="5" spans="1:15" ht="15.5" x14ac:dyDescent="0.25">
      <c r="A5" s="744" t="s">
        <v>3</v>
      </c>
      <c r="B5" s="745"/>
      <c r="C5" s="745"/>
      <c r="D5" s="581">
        <v>44212</v>
      </c>
      <c r="E5" s="582"/>
      <c r="F5" s="746" t="s">
        <v>201</v>
      </c>
      <c r="G5" s="747"/>
      <c r="H5" s="244"/>
      <c r="I5" s="706" t="s">
        <v>316</v>
      </c>
      <c r="J5" s="706"/>
      <c r="K5" s="706"/>
      <c r="L5" s="707"/>
      <c r="M5" s="748" t="s">
        <v>17</v>
      </c>
      <c r="N5" s="821"/>
      <c r="O5" s="373">
        <v>1</v>
      </c>
    </row>
    <row r="6" spans="1:15" ht="15.5" x14ac:dyDescent="0.25">
      <c r="A6" s="744" t="s">
        <v>10</v>
      </c>
      <c r="B6" s="745"/>
      <c r="C6" s="745"/>
      <c r="D6" s="581">
        <v>44280</v>
      </c>
      <c r="E6" s="724"/>
      <c r="F6" s="760" t="s">
        <v>15</v>
      </c>
      <c r="G6" s="761"/>
      <c r="H6" s="375"/>
      <c r="I6" s="706" t="s">
        <v>247</v>
      </c>
      <c r="J6" s="706"/>
      <c r="K6" s="706"/>
      <c r="L6" s="707"/>
      <c r="M6" s="748" t="s">
        <v>190</v>
      </c>
      <c r="N6" s="821"/>
      <c r="O6" s="470">
        <f>O4+O5*10</f>
        <v>45</v>
      </c>
    </row>
    <row r="7" spans="1:15" ht="16" thickBot="1" x14ac:dyDescent="0.3">
      <c r="A7" s="744" t="s">
        <v>4</v>
      </c>
      <c r="B7" s="745"/>
      <c r="C7" s="745"/>
      <c r="D7" s="586" t="s">
        <v>314</v>
      </c>
      <c r="E7" s="582"/>
      <c r="F7" s="746" t="s">
        <v>16</v>
      </c>
      <c r="G7" s="747"/>
      <c r="H7" s="244"/>
      <c r="I7" s="714" t="s">
        <v>2</v>
      </c>
      <c r="J7" s="714"/>
      <c r="K7" s="714"/>
      <c r="L7" s="715"/>
      <c r="M7" s="471"/>
      <c r="N7" s="472"/>
      <c r="O7" s="473"/>
    </row>
    <row r="8" spans="1:15" ht="15.5" x14ac:dyDescent="0.25">
      <c r="A8" s="749" t="s">
        <v>47</v>
      </c>
      <c r="B8" s="750"/>
      <c r="C8" s="750"/>
      <c r="D8" s="822">
        <v>0.25</v>
      </c>
      <c r="E8" s="823"/>
      <c r="F8" s="824" t="s">
        <v>210</v>
      </c>
      <c r="G8" s="825"/>
      <c r="H8" s="474"/>
      <c r="I8" s="826"/>
      <c r="J8" s="826"/>
      <c r="K8" s="826"/>
      <c r="L8" s="826"/>
      <c r="M8" s="745" t="s">
        <v>214</v>
      </c>
      <c r="N8" s="827"/>
      <c r="O8" s="469">
        <v>0</v>
      </c>
    </row>
    <row r="9" spans="1:15" ht="15.5" x14ac:dyDescent="0.25">
      <c r="A9" s="769" t="s">
        <v>46</v>
      </c>
      <c r="B9" s="770"/>
      <c r="C9" s="770"/>
      <c r="D9" s="771">
        <f>100%-D8</f>
        <v>0.75</v>
      </c>
      <c r="E9" s="772"/>
      <c r="F9" s="746" t="s">
        <v>201</v>
      </c>
      <c r="G9" s="747"/>
      <c r="H9" s="244"/>
      <c r="I9" s="755"/>
      <c r="J9" s="755"/>
      <c r="K9" s="755"/>
      <c r="L9" s="755"/>
      <c r="M9" s="748" t="s">
        <v>17</v>
      </c>
      <c r="N9" s="821"/>
      <c r="O9" s="373"/>
    </row>
    <row r="10" spans="1:15" ht="19.5" customHeight="1" thickBot="1" x14ac:dyDescent="0.3">
      <c r="A10" s="774" t="s">
        <v>224</v>
      </c>
      <c r="B10" s="775"/>
      <c r="C10" s="775"/>
      <c r="D10" s="776">
        <f>O6+O10</f>
        <v>45</v>
      </c>
      <c r="E10" s="777"/>
      <c r="F10" s="746" t="s">
        <v>15</v>
      </c>
      <c r="G10" s="747"/>
      <c r="H10" s="244"/>
      <c r="I10" s="755"/>
      <c r="J10" s="755"/>
      <c r="K10" s="755"/>
      <c r="L10" s="755"/>
      <c r="M10" s="748" t="s">
        <v>190</v>
      </c>
      <c r="N10" s="821"/>
      <c r="O10" s="470">
        <f>O8+O9*10</f>
        <v>0</v>
      </c>
    </row>
    <row r="11" spans="1:15" ht="19.5" customHeight="1" thickBot="1" x14ac:dyDescent="0.3">
      <c r="A11" s="783" t="s">
        <v>225</v>
      </c>
      <c r="B11" s="784"/>
      <c r="C11" s="784"/>
      <c r="D11" s="785">
        <f>ROUNDUP(D10/10,0)</f>
        <v>5</v>
      </c>
      <c r="E11" s="786"/>
      <c r="F11" s="787" t="s">
        <v>16</v>
      </c>
      <c r="G11" s="788"/>
      <c r="H11" s="245"/>
      <c r="I11" s="789"/>
      <c r="J11" s="789"/>
      <c r="K11" s="789"/>
      <c r="L11" s="789"/>
      <c r="M11" s="790" t="s">
        <v>304</v>
      </c>
      <c r="N11" s="790"/>
      <c r="O11" s="475">
        <f>'[4]Local Penalties'!B8</f>
        <v>7</v>
      </c>
    </row>
    <row r="12" spans="1:15" ht="19" thickBot="1" x14ac:dyDescent="0.3">
      <c r="A12" s="381"/>
      <c r="B12" s="382"/>
      <c r="C12" s="383"/>
      <c r="D12" s="383"/>
      <c r="E12" s="383"/>
      <c r="F12" s="384"/>
      <c r="G12" s="385"/>
      <c r="H12" s="246"/>
      <c r="I12" s="386"/>
      <c r="J12" s="386"/>
      <c r="K12" s="386"/>
      <c r="L12" s="386"/>
      <c r="M12" s="243"/>
      <c r="N12" s="243"/>
      <c r="O12" s="387"/>
    </row>
    <row r="13" spans="1:15" ht="19.5" customHeight="1" thickBot="1" x14ac:dyDescent="0.3">
      <c r="A13" s="388"/>
      <c r="B13" s="383"/>
      <c r="C13" s="383"/>
      <c r="D13" s="383"/>
      <c r="E13" s="383"/>
      <c r="F13" s="389"/>
      <c r="G13" s="390"/>
      <c r="H13" s="391"/>
      <c r="I13" s="763" t="s">
        <v>237</v>
      </c>
      <c r="J13" s="764"/>
      <c r="K13" s="765"/>
      <c r="L13" s="386"/>
      <c r="M13" s="766" t="s">
        <v>323</v>
      </c>
      <c r="N13" s="767"/>
      <c r="O13" s="768"/>
    </row>
    <row r="14" spans="1:15" ht="26.25" customHeight="1" thickBot="1" x14ac:dyDescent="0.3">
      <c r="A14" s="476">
        <v>0.02</v>
      </c>
      <c r="B14" s="477" t="s">
        <v>51</v>
      </c>
      <c r="C14" s="794" t="s">
        <v>183</v>
      </c>
      <c r="D14" s="794"/>
      <c r="E14" s="794"/>
      <c r="F14" s="794"/>
      <c r="G14" s="828" t="s">
        <v>206</v>
      </c>
      <c r="H14" s="396" t="s">
        <v>0</v>
      </c>
      <c r="I14" s="796" t="s">
        <v>238</v>
      </c>
      <c r="J14" s="794" t="s">
        <v>5</v>
      </c>
      <c r="K14" s="830" t="s">
        <v>239</v>
      </c>
      <c r="L14" s="386"/>
      <c r="M14" s="478" t="s">
        <v>260</v>
      </c>
      <c r="N14" s="832" t="s">
        <v>5</v>
      </c>
      <c r="O14" s="834" t="s">
        <v>239</v>
      </c>
    </row>
    <row r="15" spans="1:15" ht="13.5" customHeight="1" thickBot="1" x14ac:dyDescent="0.3">
      <c r="A15" s="479"/>
      <c r="B15" s="399"/>
      <c r="C15" s="795"/>
      <c r="D15" s="795"/>
      <c r="E15" s="795"/>
      <c r="F15" s="795"/>
      <c r="G15" s="829"/>
      <c r="H15" s="401"/>
      <c r="I15" s="797"/>
      <c r="J15" s="795"/>
      <c r="K15" s="831"/>
      <c r="L15" s="386"/>
      <c r="M15" s="248">
        <f>(M43)/(I43)</f>
        <v>0</v>
      </c>
      <c r="N15" s="833"/>
      <c r="O15" s="835"/>
    </row>
    <row r="16" spans="1:15" ht="15.75" hidden="1" customHeight="1" thickTop="1" x14ac:dyDescent="0.25">
      <c r="A16" s="404" t="s">
        <v>7</v>
      </c>
      <c r="B16" s="249"/>
      <c r="C16" s="836"/>
      <c r="D16" s="836"/>
      <c r="E16" s="836"/>
      <c r="F16" s="836"/>
      <c r="G16" s="250"/>
      <c r="H16" s="251"/>
      <c r="I16" s="405"/>
      <c r="J16" s="406"/>
      <c r="K16" s="480"/>
      <c r="L16" s="386"/>
      <c r="M16" s="408"/>
      <c r="N16" s="406"/>
      <c r="O16" s="481"/>
    </row>
    <row r="17" spans="1:15" ht="15" hidden="1" customHeight="1" x14ac:dyDescent="0.25">
      <c r="A17" s="404" t="s">
        <v>7</v>
      </c>
      <c r="B17" s="253"/>
      <c r="C17" s="791"/>
      <c r="D17" s="792"/>
      <c r="E17" s="792"/>
      <c r="F17" s="793"/>
      <c r="G17" s="254"/>
      <c r="H17" s="255"/>
      <c r="I17" s="422"/>
      <c r="J17" s="406"/>
      <c r="K17" s="482"/>
      <c r="L17" s="386"/>
      <c r="M17" s="408"/>
      <c r="N17" s="406"/>
      <c r="O17" s="483"/>
    </row>
    <row r="18" spans="1:15" ht="15.75" hidden="1" customHeight="1" thickBot="1" x14ac:dyDescent="0.3">
      <c r="A18" s="411" t="s">
        <v>7</v>
      </c>
      <c r="B18" s="253"/>
      <c r="C18" s="837"/>
      <c r="D18" s="837"/>
      <c r="E18" s="837"/>
      <c r="F18" s="837"/>
      <c r="G18" s="484"/>
      <c r="H18" s="413"/>
      <c r="I18" s="414"/>
      <c r="J18" s="415"/>
      <c r="K18" s="485"/>
      <c r="L18" s="386"/>
      <c r="M18" s="417"/>
      <c r="N18" s="415"/>
      <c r="O18" s="486"/>
    </row>
    <row r="19" spans="1:15" ht="15.5" x14ac:dyDescent="0.25">
      <c r="A19" s="487" t="s">
        <v>7</v>
      </c>
      <c r="B19" s="838" t="s">
        <v>198</v>
      </c>
      <c r="C19" s="839" t="s">
        <v>169</v>
      </c>
      <c r="D19" s="839"/>
      <c r="E19" s="839"/>
      <c r="F19" s="839"/>
      <c r="G19" s="488" t="s">
        <v>26</v>
      </c>
      <c r="H19" s="489" t="s">
        <v>21</v>
      </c>
      <c r="I19" s="490">
        <f>(D10-SUM(I16:I18))*D8</f>
        <v>11.25</v>
      </c>
      <c r="J19" s="490">
        <f>IF(A19="Y",I19* 2%,0)</f>
        <v>0.22500000000000001</v>
      </c>
      <c r="K19" s="491">
        <f>I19-J19</f>
        <v>11.025</v>
      </c>
      <c r="L19" s="386"/>
      <c r="M19" s="492">
        <f t="shared" ref="M19:M34" si="0">IF($M$43=0,,I19*$M$15)</f>
        <v>0</v>
      </c>
      <c r="N19" s="490">
        <f t="shared" ref="N19:N34" si="1">IF(A19="Y", M19*2%,)</f>
        <v>0</v>
      </c>
      <c r="O19" s="493">
        <f t="shared" ref="O19:O40" si="2">M19-N19</f>
        <v>0</v>
      </c>
    </row>
    <row r="20" spans="1:15" ht="15" customHeight="1" x14ac:dyDescent="0.25">
      <c r="A20" s="404" t="s">
        <v>7</v>
      </c>
      <c r="B20" s="802"/>
      <c r="C20" s="803" t="s">
        <v>170</v>
      </c>
      <c r="D20" s="803"/>
      <c r="E20" s="803"/>
      <c r="F20" s="803"/>
      <c r="G20" s="364" t="s">
        <v>45</v>
      </c>
      <c r="H20" s="255" t="s">
        <v>19</v>
      </c>
      <c r="I20" s="426">
        <f>(D10-SUM(I16:I18))*D9</f>
        <v>33.75</v>
      </c>
      <c r="J20" s="409">
        <f t="shared" ref="J20:J34" si="3">IF(A20="Y",I20* 2%,0)</f>
        <v>0.67500000000000004</v>
      </c>
      <c r="K20" s="494">
        <f t="shared" ref="K20:K33" si="4">I20-J20</f>
        <v>33.075000000000003</v>
      </c>
      <c r="L20" s="386"/>
      <c r="M20" s="408">
        <f t="shared" si="0"/>
        <v>0</v>
      </c>
      <c r="N20" s="426">
        <f t="shared" si="1"/>
        <v>0</v>
      </c>
      <c r="O20" s="495">
        <f t="shared" si="2"/>
        <v>0</v>
      </c>
    </row>
    <row r="21" spans="1:15" ht="15" customHeight="1" x14ac:dyDescent="0.25">
      <c r="A21" s="404" t="s">
        <v>7</v>
      </c>
      <c r="B21" s="427">
        <v>7</v>
      </c>
      <c r="C21" s="803" t="s">
        <v>171</v>
      </c>
      <c r="D21" s="803"/>
      <c r="E21" s="803"/>
      <c r="F21" s="803"/>
      <c r="G21" s="364" t="s">
        <v>25</v>
      </c>
      <c r="H21" s="255" t="s">
        <v>20</v>
      </c>
      <c r="I21" s="426">
        <f t="shared" ref="I21:I31" si="5">$D$11*B21</f>
        <v>35</v>
      </c>
      <c r="J21" s="409">
        <f t="shared" si="3"/>
        <v>0.70000000000000007</v>
      </c>
      <c r="K21" s="494">
        <f t="shared" si="4"/>
        <v>34.299999999999997</v>
      </c>
      <c r="L21" s="386"/>
      <c r="M21" s="408">
        <f t="shared" si="0"/>
        <v>0</v>
      </c>
      <c r="N21" s="426">
        <f t="shared" si="1"/>
        <v>0</v>
      </c>
      <c r="O21" s="495">
        <f t="shared" si="2"/>
        <v>0</v>
      </c>
    </row>
    <row r="22" spans="1:15" ht="15" customHeight="1" x14ac:dyDescent="0.25">
      <c r="A22" s="404" t="s">
        <v>7</v>
      </c>
      <c r="B22" s="427">
        <v>3</v>
      </c>
      <c r="C22" s="791" t="s">
        <v>172</v>
      </c>
      <c r="D22" s="792"/>
      <c r="E22" s="792"/>
      <c r="F22" s="793"/>
      <c r="G22" s="364" t="s">
        <v>26</v>
      </c>
      <c r="H22" s="255" t="s">
        <v>21</v>
      </c>
      <c r="I22" s="426">
        <f t="shared" si="5"/>
        <v>15</v>
      </c>
      <c r="J22" s="409">
        <f t="shared" si="3"/>
        <v>0.3</v>
      </c>
      <c r="K22" s="494">
        <f t="shared" si="4"/>
        <v>14.7</v>
      </c>
      <c r="L22" s="386"/>
      <c r="M22" s="408">
        <f t="shared" si="0"/>
        <v>0</v>
      </c>
      <c r="N22" s="426">
        <f t="shared" si="1"/>
        <v>0</v>
      </c>
      <c r="O22" s="495">
        <f t="shared" si="2"/>
        <v>0</v>
      </c>
    </row>
    <row r="23" spans="1:15" ht="18" customHeight="1" x14ac:dyDescent="0.25">
      <c r="A23" s="404" t="s">
        <v>7</v>
      </c>
      <c r="B23" s="427">
        <v>0.75</v>
      </c>
      <c r="C23" s="804" t="s">
        <v>319</v>
      </c>
      <c r="D23" s="805"/>
      <c r="E23" s="805"/>
      <c r="F23" s="806"/>
      <c r="G23" s="428" t="s">
        <v>26</v>
      </c>
      <c r="H23" s="255" t="s">
        <v>48</v>
      </c>
      <c r="I23" s="426">
        <f t="shared" si="5"/>
        <v>3.75</v>
      </c>
      <c r="J23" s="409">
        <f t="shared" si="3"/>
        <v>7.4999999999999997E-2</v>
      </c>
      <c r="K23" s="494">
        <f t="shared" si="4"/>
        <v>3.6749999999999998</v>
      </c>
      <c r="L23" s="386"/>
      <c r="M23" s="408">
        <f t="shared" si="0"/>
        <v>0</v>
      </c>
      <c r="N23" s="426">
        <f t="shared" si="1"/>
        <v>0</v>
      </c>
      <c r="O23" s="495">
        <f t="shared" si="2"/>
        <v>0</v>
      </c>
    </row>
    <row r="24" spans="1:15" ht="18" customHeight="1" x14ac:dyDescent="0.25">
      <c r="A24" s="404"/>
      <c r="B24" s="427">
        <v>0.25</v>
      </c>
      <c r="C24" s="804" t="s">
        <v>320</v>
      </c>
      <c r="D24" s="805"/>
      <c r="E24" s="805"/>
      <c r="F24" s="806"/>
      <c r="G24" s="428" t="s">
        <v>25</v>
      </c>
      <c r="H24" s="255"/>
      <c r="I24" s="426">
        <f t="shared" si="5"/>
        <v>1.25</v>
      </c>
      <c r="J24" s="409">
        <f t="shared" si="3"/>
        <v>0</v>
      </c>
      <c r="K24" s="494">
        <f t="shared" si="4"/>
        <v>1.25</v>
      </c>
      <c r="L24" s="386"/>
      <c r="M24" s="408">
        <f t="shared" si="0"/>
        <v>0</v>
      </c>
      <c r="N24" s="426">
        <f t="shared" si="1"/>
        <v>0</v>
      </c>
      <c r="O24" s="495">
        <f t="shared" si="2"/>
        <v>0</v>
      </c>
    </row>
    <row r="25" spans="1:15" ht="15" customHeight="1" x14ac:dyDescent="0.25">
      <c r="A25" s="404" t="s">
        <v>7</v>
      </c>
      <c r="B25" s="427">
        <v>4</v>
      </c>
      <c r="C25" s="791" t="s">
        <v>270</v>
      </c>
      <c r="D25" s="792"/>
      <c r="E25" s="792"/>
      <c r="F25" s="793"/>
      <c r="G25" s="364" t="s">
        <v>25</v>
      </c>
      <c r="H25" s="255" t="s">
        <v>60</v>
      </c>
      <c r="I25" s="426">
        <f t="shared" si="5"/>
        <v>20</v>
      </c>
      <c r="J25" s="409">
        <f t="shared" si="3"/>
        <v>0.4</v>
      </c>
      <c r="K25" s="494">
        <f t="shared" si="4"/>
        <v>19.600000000000001</v>
      </c>
      <c r="L25" s="386"/>
      <c r="M25" s="408">
        <f t="shared" si="0"/>
        <v>0</v>
      </c>
      <c r="N25" s="426">
        <f t="shared" si="1"/>
        <v>0</v>
      </c>
      <c r="O25" s="495">
        <f t="shared" si="2"/>
        <v>0</v>
      </c>
    </row>
    <row r="26" spans="1:15" ht="15.75" customHeight="1" x14ac:dyDescent="0.25">
      <c r="A26" s="404" t="s">
        <v>7</v>
      </c>
      <c r="B26" s="430">
        <v>2</v>
      </c>
      <c r="C26" s="803" t="s">
        <v>174</v>
      </c>
      <c r="D26" s="803"/>
      <c r="E26" s="807" t="str">
        <f>IF(SUM(B26:B30)=O11,"GC 76000 PA ($" &amp;O11 &amp; " for every 10) breakdown per local board of supervisor resolution (BOS).","ERROR! GC 76000 PA total is not $" &amp;O11&amp; ". Check Court's board resolution.")</f>
        <v>GC 76000 PA ($7 for every 10) breakdown per local board of supervisor resolution (BOS).</v>
      </c>
      <c r="F26" s="808"/>
      <c r="G26" s="364" t="s">
        <v>26</v>
      </c>
      <c r="H26" s="255" t="s">
        <v>56</v>
      </c>
      <c r="I26" s="426">
        <f t="shared" si="5"/>
        <v>10</v>
      </c>
      <c r="J26" s="409">
        <f t="shared" si="3"/>
        <v>0.2</v>
      </c>
      <c r="K26" s="494">
        <f t="shared" si="4"/>
        <v>9.8000000000000007</v>
      </c>
      <c r="L26" s="386"/>
      <c r="M26" s="408">
        <f t="shared" si="0"/>
        <v>0</v>
      </c>
      <c r="N26" s="426">
        <f t="shared" si="1"/>
        <v>0</v>
      </c>
      <c r="O26" s="495">
        <f t="shared" si="2"/>
        <v>0</v>
      </c>
    </row>
    <row r="27" spans="1:15" ht="15.75" customHeight="1" x14ac:dyDescent="0.25">
      <c r="A27" s="404" t="s">
        <v>7</v>
      </c>
      <c r="B27" s="430">
        <v>2</v>
      </c>
      <c r="C27" s="803" t="s">
        <v>175</v>
      </c>
      <c r="D27" s="803"/>
      <c r="E27" s="809"/>
      <c r="F27" s="810"/>
      <c r="G27" s="364" t="s">
        <v>26</v>
      </c>
      <c r="H27" s="255" t="s">
        <v>28</v>
      </c>
      <c r="I27" s="426">
        <f t="shared" si="5"/>
        <v>10</v>
      </c>
      <c r="J27" s="409">
        <f t="shared" si="3"/>
        <v>0.2</v>
      </c>
      <c r="K27" s="494">
        <f t="shared" si="4"/>
        <v>9.8000000000000007</v>
      </c>
      <c r="L27" s="386"/>
      <c r="M27" s="408">
        <f t="shared" si="0"/>
        <v>0</v>
      </c>
      <c r="N27" s="426">
        <f t="shared" si="1"/>
        <v>0</v>
      </c>
      <c r="O27" s="495">
        <f t="shared" si="2"/>
        <v>0</v>
      </c>
    </row>
    <row r="28" spans="1:15" ht="15" customHeight="1" x14ac:dyDescent="0.25">
      <c r="A28" s="404" t="s">
        <v>7</v>
      </c>
      <c r="B28" s="430">
        <v>1.5</v>
      </c>
      <c r="C28" s="803" t="s">
        <v>176</v>
      </c>
      <c r="D28" s="803"/>
      <c r="E28" s="809"/>
      <c r="F28" s="810"/>
      <c r="G28" s="364" t="s">
        <v>26</v>
      </c>
      <c r="H28" s="255" t="s">
        <v>57</v>
      </c>
      <c r="I28" s="426">
        <f t="shared" si="5"/>
        <v>7.5</v>
      </c>
      <c r="J28" s="409">
        <f t="shared" si="3"/>
        <v>0.15</v>
      </c>
      <c r="K28" s="494">
        <f t="shared" si="4"/>
        <v>7.35</v>
      </c>
      <c r="L28" s="386"/>
      <c r="M28" s="408">
        <f t="shared" si="0"/>
        <v>0</v>
      </c>
      <c r="N28" s="426">
        <f t="shared" si="1"/>
        <v>0</v>
      </c>
      <c r="O28" s="495">
        <f t="shared" si="2"/>
        <v>0</v>
      </c>
    </row>
    <row r="29" spans="1:15" ht="14.25" customHeight="1" x14ac:dyDescent="0.25">
      <c r="A29" s="404" t="s">
        <v>7</v>
      </c>
      <c r="B29" s="430">
        <v>0.5</v>
      </c>
      <c r="C29" s="803" t="s">
        <v>256</v>
      </c>
      <c r="D29" s="803"/>
      <c r="E29" s="809"/>
      <c r="F29" s="810"/>
      <c r="G29" s="364" t="s">
        <v>26</v>
      </c>
      <c r="H29" s="255" t="s">
        <v>57</v>
      </c>
      <c r="I29" s="426">
        <f t="shared" si="5"/>
        <v>2.5</v>
      </c>
      <c r="J29" s="409">
        <f>IF(A29="Y",I29* 2%,0)</f>
        <v>0.05</v>
      </c>
      <c r="K29" s="494">
        <f>I29-J29</f>
        <v>2.4500000000000002</v>
      </c>
      <c r="L29" s="386"/>
      <c r="M29" s="408">
        <f t="shared" si="0"/>
        <v>0</v>
      </c>
      <c r="N29" s="426">
        <f t="shared" si="1"/>
        <v>0</v>
      </c>
      <c r="O29" s="495">
        <f>M29-N29</f>
        <v>0</v>
      </c>
    </row>
    <row r="30" spans="1:15" ht="15" customHeight="1" x14ac:dyDescent="0.25">
      <c r="A30" s="404" t="s">
        <v>7</v>
      </c>
      <c r="B30" s="430">
        <v>1</v>
      </c>
      <c r="C30" s="803" t="s">
        <v>211</v>
      </c>
      <c r="D30" s="803"/>
      <c r="E30" s="811"/>
      <c r="F30" s="812"/>
      <c r="G30" s="364" t="s">
        <v>26</v>
      </c>
      <c r="H30" s="255"/>
      <c r="I30" s="426">
        <f t="shared" si="5"/>
        <v>5</v>
      </c>
      <c r="J30" s="409">
        <f t="shared" si="3"/>
        <v>0.1</v>
      </c>
      <c r="K30" s="494">
        <f t="shared" si="4"/>
        <v>4.9000000000000004</v>
      </c>
      <c r="L30" s="386"/>
      <c r="M30" s="408">
        <f t="shared" si="0"/>
        <v>0</v>
      </c>
      <c r="N30" s="426">
        <f t="shared" si="1"/>
        <v>0</v>
      </c>
      <c r="O30" s="495">
        <f t="shared" si="2"/>
        <v>0</v>
      </c>
    </row>
    <row r="31" spans="1:15" ht="15" customHeight="1" x14ac:dyDescent="0.25">
      <c r="A31" s="404" t="s">
        <v>7</v>
      </c>
      <c r="B31" s="430">
        <v>2</v>
      </c>
      <c r="C31" s="791" t="s">
        <v>234</v>
      </c>
      <c r="D31" s="792"/>
      <c r="E31" s="792"/>
      <c r="F31" s="793"/>
      <c r="G31" s="364" t="s">
        <v>26</v>
      </c>
      <c r="H31" s="255" t="s">
        <v>29</v>
      </c>
      <c r="I31" s="426">
        <f t="shared" si="5"/>
        <v>10</v>
      </c>
      <c r="J31" s="409">
        <f t="shared" si="3"/>
        <v>0.2</v>
      </c>
      <c r="K31" s="494">
        <f t="shared" si="4"/>
        <v>9.8000000000000007</v>
      </c>
      <c r="L31" s="386"/>
      <c r="M31" s="408">
        <f t="shared" si="0"/>
        <v>0</v>
      </c>
      <c r="N31" s="426">
        <f t="shared" si="1"/>
        <v>0</v>
      </c>
      <c r="O31" s="495">
        <f t="shared" si="2"/>
        <v>0</v>
      </c>
    </row>
    <row r="32" spans="1:15" ht="15" customHeight="1" x14ac:dyDescent="0.25">
      <c r="A32" s="404" t="s">
        <v>7</v>
      </c>
      <c r="B32" s="427"/>
      <c r="C32" s="791" t="s">
        <v>253</v>
      </c>
      <c r="D32" s="792"/>
      <c r="E32" s="792"/>
      <c r="F32" s="793"/>
      <c r="G32" s="364" t="s">
        <v>25</v>
      </c>
      <c r="H32" s="431" t="s">
        <v>32</v>
      </c>
      <c r="I32" s="432">
        <v>4</v>
      </c>
      <c r="J32" s="409">
        <f>IF(A32="Y", I32*2%,0)</f>
        <v>0.08</v>
      </c>
      <c r="K32" s="494">
        <f>I32-J32</f>
        <v>3.92</v>
      </c>
      <c r="L32" s="386"/>
      <c r="M32" s="425">
        <f t="shared" si="0"/>
        <v>0</v>
      </c>
      <c r="N32" s="426">
        <f t="shared" si="1"/>
        <v>0</v>
      </c>
      <c r="O32" s="495">
        <f>M32-N32</f>
        <v>0</v>
      </c>
    </row>
    <row r="33" spans="1:15" ht="17.5" customHeight="1" x14ac:dyDescent="0.25">
      <c r="A33" s="404" t="s">
        <v>7</v>
      </c>
      <c r="B33" s="430">
        <v>5</v>
      </c>
      <c r="C33" s="791" t="s">
        <v>312</v>
      </c>
      <c r="D33" s="792"/>
      <c r="E33" s="792"/>
      <c r="F33" s="793"/>
      <c r="G33" s="364" t="s">
        <v>25</v>
      </c>
      <c r="H33" s="255" t="s">
        <v>30</v>
      </c>
      <c r="I33" s="426">
        <f>$D$11*B33</f>
        <v>25</v>
      </c>
      <c r="J33" s="409">
        <f t="shared" si="3"/>
        <v>0.5</v>
      </c>
      <c r="K33" s="494">
        <f t="shared" si="4"/>
        <v>24.5</v>
      </c>
      <c r="L33" s="386"/>
      <c r="M33" s="408">
        <f t="shared" si="0"/>
        <v>0</v>
      </c>
      <c r="N33" s="426">
        <f t="shared" si="1"/>
        <v>0</v>
      </c>
      <c r="O33" s="495">
        <f t="shared" si="2"/>
        <v>0</v>
      </c>
    </row>
    <row r="34" spans="1:15" ht="15" customHeight="1" x14ac:dyDescent="0.25">
      <c r="A34" s="404" t="s">
        <v>6</v>
      </c>
      <c r="B34" s="427"/>
      <c r="C34" s="791" t="s">
        <v>177</v>
      </c>
      <c r="D34" s="792"/>
      <c r="E34" s="792"/>
      <c r="F34" s="793"/>
      <c r="G34" s="364" t="s">
        <v>25</v>
      </c>
      <c r="H34" s="255" t="s">
        <v>9</v>
      </c>
      <c r="I34" s="426">
        <f>$D$10*20%</f>
        <v>9</v>
      </c>
      <c r="J34" s="409">
        <f t="shared" si="3"/>
        <v>0</v>
      </c>
      <c r="K34" s="494">
        <f>I34-J34</f>
        <v>9</v>
      </c>
      <c r="L34" s="386"/>
      <c r="M34" s="408">
        <f t="shared" si="0"/>
        <v>0</v>
      </c>
      <c r="N34" s="426">
        <f t="shared" si="1"/>
        <v>0</v>
      </c>
      <c r="O34" s="495">
        <f t="shared" si="2"/>
        <v>0</v>
      </c>
    </row>
    <row r="35" spans="1:15" ht="15.5" x14ac:dyDescent="0.25">
      <c r="A35" s="404"/>
      <c r="B35" s="433"/>
      <c r="C35" s="813" t="s">
        <v>178</v>
      </c>
      <c r="D35" s="814"/>
      <c r="E35" s="814"/>
      <c r="F35" s="815"/>
      <c r="G35" s="434"/>
      <c r="H35" s="435"/>
      <c r="I35" s="436">
        <f>SUM(I16:I34)</f>
        <v>203</v>
      </c>
      <c r="J35" s="409"/>
      <c r="K35" s="496">
        <f>SUM(K16:K34)</f>
        <v>199.14499999999998</v>
      </c>
      <c r="L35" s="386"/>
      <c r="M35" s="439">
        <f>IF($M$43=0,,M43-SUM(M36:M40))</f>
        <v>0</v>
      </c>
      <c r="N35" s="426"/>
      <c r="O35" s="497">
        <f>SUM(O16:O34)</f>
        <v>0</v>
      </c>
    </row>
    <row r="36" spans="1:15" ht="15" customHeight="1" x14ac:dyDescent="0.25">
      <c r="A36" s="404" t="s">
        <v>6</v>
      </c>
      <c r="B36" s="427"/>
      <c r="C36" s="791" t="s">
        <v>257</v>
      </c>
      <c r="D36" s="792"/>
      <c r="E36" s="792"/>
      <c r="F36" s="793"/>
      <c r="G36" s="364" t="s">
        <v>25</v>
      </c>
      <c r="H36" s="431"/>
      <c r="I36" s="432">
        <v>40</v>
      </c>
      <c r="J36" s="409">
        <f>IF(A36="Y", I36*2%,0)</f>
        <v>0</v>
      </c>
      <c r="K36" s="494">
        <f>I36-J36</f>
        <v>40</v>
      </c>
      <c r="L36" s="386"/>
      <c r="M36" s="440">
        <f>IF($M$43=0,,I36*$M$15)</f>
        <v>0</v>
      </c>
      <c r="N36" s="426">
        <f>IF(A36="Y", M36*2%,)</f>
        <v>0</v>
      </c>
      <c r="O36" s="495">
        <f t="shared" ref="O36" si="6">M36-N36</f>
        <v>0</v>
      </c>
    </row>
    <row r="37" spans="1:15" ht="15.5" x14ac:dyDescent="0.25">
      <c r="A37" s="404" t="s">
        <v>6</v>
      </c>
      <c r="B37" s="427"/>
      <c r="C37" s="816" t="s">
        <v>216</v>
      </c>
      <c r="D37" s="817"/>
      <c r="E37" s="817"/>
      <c r="F37" s="818"/>
      <c r="G37" s="441" t="s">
        <v>25</v>
      </c>
      <c r="H37" s="442" t="s">
        <v>158</v>
      </c>
      <c r="I37" s="432">
        <v>35</v>
      </c>
      <c r="J37" s="409">
        <f t="shared" ref="J37:J40" si="7">IF(A37="Y", I37*2%,0)</f>
        <v>0</v>
      </c>
      <c r="K37" s="494">
        <f t="shared" ref="K37:K40" si="8">I37-J37</f>
        <v>35</v>
      </c>
      <c r="L37" s="386"/>
      <c r="M37" s="440">
        <f>IF($M$43=0,,I37*$M$15)</f>
        <v>0</v>
      </c>
      <c r="N37" s="426">
        <f>IF(A37="Y", M37*2%,)</f>
        <v>0</v>
      </c>
      <c r="O37" s="495">
        <f t="shared" si="2"/>
        <v>0</v>
      </c>
    </row>
    <row r="38" spans="1:15" ht="15.5" x14ac:dyDescent="0.25">
      <c r="A38" s="404" t="s">
        <v>6</v>
      </c>
      <c r="B38" s="443"/>
      <c r="C38" s="816" t="s">
        <v>258</v>
      </c>
      <c r="D38" s="817"/>
      <c r="E38" s="817"/>
      <c r="F38" s="818"/>
      <c r="G38" s="441" t="s">
        <v>187</v>
      </c>
      <c r="H38" s="442" t="s">
        <v>18</v>
      </c>
      <c r="I38" s="432">
        <v>10</v>
      </c>
      <c r="J38" s="409">
        <f t="shared" si="7"/>
        <v>0</v>
      </c>
      <c r="K38" s="494">
        <f t="shared" si="8"/>
        <v>10</v>
      </c>
      <c r="L38" s="386"/>
      <c r="M38" s="425">
        <f>IF($M$43=0,,I38*$M$15)</f>
        <v>0</v>
      </c>
      <c r="N38" s="426">
        <f>IF(A38="Y", M38*2%,)</f>
        <v>0</v>
      </c>
      <c r="O38" s="495">
        <f t="shared" si="2"/>
        <v>0</v>
      </c>
    </row>
    <row r="39" spans="1:15" ht="15" customHeight="1" x14ac:dyDescent="0.25">
      <c r="A39" s="404" t="s">
        <v>6</v>
      </c>
      <c r="B39" s="443"/>
      <c r="C39" s="791" t="s">
        <v>321</v>
      </c>
      <c r="D39" s="817"/>
      <c r="E39" s="817"/>
      <c r="F39" s="818"/>
      <c r="G39" s="441" t="s">
        <v>187</v>
      </c>
      <c r="H39" s="442" t="s">
        <v>68</v>
      </c>
      <c r="I39" s="432">
        <v>0</v>
      </c>
      <c r="J39" s="409">
        <f t="shared" si="7"/>
        <v>0</v>
      </c>
      <c r="K39" s="494">
        <f t="shared" si="8"/>
        <v>0</v>
      </c>
      <c r="L39" s="386"/>
      <c r="M39" s="425">
        <f>IF($M$43=0,,I39*$M$15)</f>
        <v>0</v>
      </c>
      <c r="N39" s="426">
        <f>IF(A39="Y", M39*2%,)</f>
        <v>0</v>
      </c>
      <c r="O39" s="495">
        <f t="shared" si="2"/>
        <v>0</v>
      </c>
    </row>
    <row r="40" spans="1:15" ht="15.5" x14ac:dyDescent="0.25">
      <c r="A40" s="404" t="s">
        <v>6</v>
      </c>
      <c r="B40" s="443"/>
      <c r="C40" s="816" t="s">
        <v>182</v>
      </c>
      <c r="D40" s="817"/>
      <c r="E40" s="817"/>
      <c r="F40" s="818"/>
      <c r="G40" s="441" t="s">
        <v>25</v>
      </c>
      <c r="H40" s="442" t="s">
        <v>66</v>
      </c>
      <c r="I40" s="432">
        <v>1</v>
      </c>
      <c r="J40" s="409">
        <f t="shared" si="7"/>
        <v>0</v>
      </c>
      <c r="K40" s="494">
        <f t="shared" si="8"/>
        <v>1</v>
      </c>
      <c r="L40" s="386"/>
      <c r="M40" s="425">
        <f>IF($M$43=0,,I40*$M$15)</f>
        <v>0</v>
      </c>
      <c r="N40" s="426">
        <f>IF(A40="Y", M40*2%,)</f>
        <v>0</v>
      </c>
      <c r="O40" s="495">
        <f t="shared" si="2"/>
        <v>0</v>
      </c>
    </row>
    <row r="41" spans="1:15" ht="15" customHeight="1" x14ac:dyDescent="0.25">
      <c r="A41" s="444" t="s">
        <v>6</v>
      </c>
      <c r="B41" s="443"/>
      <c r="C41" s="791" t="s">
        <v>275</v>
      </c>
      <c r="D41" s="792"/>
      <c r="E41" s="792"/>
      <c r="F41" s="793"/>
      <c r="G41" s="441" t="s">
        <v>25</v>
      </c>
      <c r="H41" s="445" t="s">
        <v>34</v>
      </c>
      <c r="I41" s="446"/>
      <c r="J41" s="450"/>
      <c r="K41" s="498">
        <f>J42</f>
        <v>3.8550000000000004</v>
      </c>
      <c r="L41" s="386"/>
      <c r="M41" s="449"/>
      <c r="N41" s="450"/>
      <c r="O41" s="499">
        <f>N42</f>
        <v>0</v>
      </c>
    </row>
    <row r="42" spans="1:15" ht="15.5" x14ac:dyDescent="0.25">
      <c r="A42" s="451"/>
      <c r="B42" s="256"/>
      <c r="C42" s="256"/>
      <c r="D42" s="256"/>
      <c r="E42" s="257"/>
      <c r="F42" s="257"/>
      <c r="G42" s="252"/>
      <c r="H42" s="252"/>
      <c r="I42" s="252"/>
      <c r="J42" s="500">
        <f>SUM(J16:J41)</f>
        <v>3.8550000000000004</v>
      </c>
      <c r="K42" s="501"/>
      <c r="L42" s="386"/>
      <c r="M42" s="502"/>
      <c r="N42" s="503">
        <f>SUM(N16:N41)</f>
        <v>0</v>
      </c>
      <c r="O42" s="504"/>
    </row>
    <row r="43" spans="1:15" ht="16" thickBot="1" x14ac:dyDescent="0.3">
      <c r="A43" s="456"/>
      <c r="B43" s="457"/>
      <c r="C43" s="457"/>
      <c r="D43" s="457"/>
      <c r="E43" s="458"/>
      <c r="F43" s="459" t="s">
        <v>67</v>
      </c>
      <c r="G43" s="460"/>
      <c r="H43" s="461" t="s">
        <v>1</v>
      </c>
      <c r="I43" s="462">
        <f>SUM(I35:I42)</f>
        <v>289</v>
      </c>
      <c r="J43" s="505"/>
      <c r="K43" s="506">
        <f>SUM(K35:K42)</f>
        <v>289</v>
      </c>
      <c r="L43" s="386"/>
      <c r="M43" s="466">
        <v>0</v>
      </c>
      <c r="N43" s="506"/>
      <c r="O43" s="507">
        <f>SUM(O35:O42)</f>
        <v>0</v>
      </c>
    </row>
    <row r="44" spans="1:15" x14ac:dyDescent="0.25">
      <c r="L44" s="386"/>
    </row>
  </sheetData>
  <mergeCells count="78">
    <mergeCell ref="C40:F40"/>
    <mergeCell ref="C41:F41"/>
    <mergeCell ref="C33:F33"/>
    <mergeCell ref="C34:F34"/>
    <mergeCell ref="C35:F35"/>
    <mergeCell ref="C36:F36"/>
    <mergeCell ref="C37:F37"/>
    <mergeCell ref="C38:F38"/>
    <mergeCell ref="C39:F39"/>
    <mergeCell ref="C30:D30"/>
    <mergeCell ref="C31:F31"/>
    <mergeCell ref="C32:F32"/>
    <mergeCell ref="C21:F21"/>
    <mergeCell ref="C22:F22"/>
    <mergeCell ref="C23:F23"/>
    <mergeCell ref="C24:F24"/>
    <mergeCell ref="C25:F25"/>
    <mergeCell ref="C26:D26"/>
    <mergeCell ref="E26:F30"/>
    <mergeCell ref="C27:D27"/>
    <mergeCell ref="C28:D28"/>
    <mergeCell ref="C29:D29"/>
    <mergeCell ref="C16:F16"/>
    <mergeCell ref="C17:F17"/>
    <mergeCell ref="C18:F18"/>
    <mergeCell ref="B19:B20"/>
    <mergeCell ref="C19:F19"/>
    <mergeCell ref="C20:F20"/>
    <mergeCell ref="I13:K13"/>
    <mergeCell ref="M13:O13"/>
    <mergeCell ref="C14:F15"/>
    <mergeCell ref="G14:G15"/>
    <mergeCell ref="I14:I15"/>
    <mergeCell ref="J14:J15"/>
    <mergeCell ref="K14:K15"/>
    <mergeCell ref="N14:N15"/>
    <mergeCell ref="O14:O15"/>
    <mergeCell ref="A10:C10"/>
    <mergeCell ref="D10:E10"/>
    <mergeCell ref="F10:G10"/>
    <mergeCell ref="I10:L10"/>
    <mergeCell ref="M10:N10"/>
    <mergeCell ref="A11:C11"/>
    <mergeCell ref="D11:E11"/>
    <mergeCell ref="F11:G11"/>
    <mergeCell ref="I11:L11"/>
    <mergeCell ref="M11:N11"/>
    <mergeCell ref="M8:N8"/>
    <mergeCell ref="A9:C9"/>
    <mergeCell ref="D9:E9"/>
    <mergeCell ref="F9:G9"/>
    <mergeCell ref="I9:L9"/>
    <mergeCell ref="M9:N9"/>
    <mergeCell ref="A7:C7"/>
    <mergeCell ref="D7:E7"/>
    <mergeCell ref="F7:G7"/>
    <mergeCell ref="I7:L7"/>
    <mergeCell ref="A8:C8"/>
    <mergeCell ref="D8:E8"/>
    <mergeCell ref="F8:G8"/>
    <mergeCell ref="I8:L8"/>
    <mergeCell ref="A5:C5"/>
    <mergeCell ref="D5:E5"/>
    <mergeCell ref="F5:G5"/>
    <mergeCell ref="I5:L5"/>
    <mergeCell ref="M5:N5"/>
    <mergeCell ref="A6:C6"/>
    <mergeCell ref="D6:E6"/>
    <mergeCell ref="F6:G6"/>
    <mergeCell ref="I6:L6"/>
    <mergeCell ref="M6:N6"/>
    <mergeCell ref="A1:O1"/>
    <mergeCell ref="A3:O3"/>
    <mergeCell ref="A4:C4"/>
    <mergeCell ref="D4:E4"/>
    <mergeCell ref="F4:G4"/>
    <mergeCell ref="I4:L4"/>
    <mergeCell ref="M4:N4"/>
  </mergeCells>
  <conditionalFormatting sqref="M16:O41">
    <cfRule type="cellIs" dxfId="16" priority="8" stopIfTrue="1" operator="equal">
      <formula>0</formula>
    </cfRule>
  </conditionalFormatting>
  <conditionalFormatting sqref="I16:I18">
    <cfRule type="cellIs" dxfId="15" priority="7" stopIfTrue="1" operator="equal">
      <formula>0</formula>
    </cfRule>
  </conditionalFormatting>
  <conditionalFormatting sqref="E26">
    <cfRule type="cellIs" dxfId="14" priority="6" operator="notEqual">
      <formula>"GC 76000 PA ($7 for every 10) breakdown per local board of supervisor resolution (BOS)."</formula>
    </cfRule>
  </conditionalFormatting>
  <conditionalFormatting sqref="J36:K41 J32:K32 I18:K31 I33:K35">
    <cfRule type="cellIs" dxfId="13" priority="5" operator="equal">
      <formula>0</formula>
    </cfRule>
  </conditionalFormatting>
  <conditionalFormatting sqref="E26">
    <cfRule type="cellIs" dxfId="12" priority="4" operator="notEqual">
      <formula>"GC 76000 PA ($7 for every 10) breakdown per local board of supervisor resolution (BOS)."</formula>
    </cfRule>
  </conditionalFormatting>
  <conditionalFormatting sqref="E26">
    <cfRule type="cellIs" dxfId="11" priority="3" operator="notEqual">
      <formula>"GC 76000 PA ($" &amp;O11 &amp;" for every 10) breakdown per local board of supervisor resolution (BOS)."</formula>
    </cfRule>
  </conditionalFormatting>
  <conditionalFormatting sqref="E26">
    <cfRule type="cellIs" dxfId="10" priority="2" operator="notEqual">
      <formula>"GC 76000 PA ($7 for every 10) breakdown per local board of supervisor resolution (BOS)."</formula>
    </cfRule>
  </conditionalFormatting>
  <conditionalFormatting sqref="E26">
    <cfRule type="cellIs" dxfId="9" priority="1" operator="notEqual">
      <formula>"GC 76000 PA ($" &amp;O11 &amp;" for every 10) breakdown per local board of supervisor resolution (BOS)."</formula>
    </cfRule>
  </conditionalFormatting>
  <pageMargins left="0.7" right="0.7" top="0.75" bottom="0.75" header="0.3" footer="0.3"/>
  <pageSetup scale="5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1713" r:id="rId4" name="Button 1">
              <controlPr defaultSize="0" print="0" autoFill="0" autoPict="0" macro="[3]!mcrDisableTwoPercentUnprotect">
                <anchor moveWithCells="1">
                  <from>
                    <xdr:col>0</xdr:col>
                    <xdr:colOff>12700</xdr:colOff>
                    <xdr:row>13</xdr:row>
                    <xdr:rowOff>527050</xdr:rowOff>
                  </from>
                  <to>
                    <xdr:col>0</xdr:col>
                    <xdr:colOff>266700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714" r:id="rId5" name="Button 2">
              <controlPr defaultSize="0" print="0" autoFill="0" autoPict="0" macro="[3]!mcrEnableTwoPercentUnprotect">
                <anchor moveWithCells="1">
                  <from>
                    <xdr:col>0</xdr:col>
                    <xdr:colOff>0</xdr:colOff>
                    <xdr:row>13</xdr:row>
                    <xdr:rowOff>222250</xdr:rowOff>
                  </from>
                  <to>
                    <xdr:col>0</xdr:col>
                    <xdr:colOff>266700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715" r:id="rId6" name="Button 3">
              <controlPr defaultSize="0" print="0" autoFill="0" autoPict="0" macro="[3]!mcrDisableTwoPercentUnprotect">
                <anchor moveWithCells="1">
                  <from>
                    <xdr:col>0</xdr:col>
                    <xdr:colOff>12700</xdr:colOff>
                    <xdr:row>13</xdr:row>
                    <xdr:rowOff>527050</xdr:rowOff>
                  </from>
                  <to>
                    <xdr:col>0</xdr:col>
                    <xdr:colOff>266700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716" r:id="rId7" name="Button 4">
              <controlPr defaultSize="0" print="0" autoFill="0" autoPict="0" macro="[3]!mcrEnableTwoPercentUnprotect">
                <anchor moveWithCells="1">
                  <from>
                    <xdr:col>0</xdr:col>
                    <xdr:colOff>0</xdr:colOff>
                    <xdr:row>13</xdr:row>
                    <xdr:rowOff>222250</xdr:rowOff>
                  </from>
                  <to>
                    <xdr:col>0</xdr:col>
                    <xdr:colOff>266700</xdr:colOff>
                    <xdr:row>20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theme="6"/>
    <pageSetUpPr fitToPage="1"/>
  </sheetPr>
  <dimension ref="A1:AC55"/>
  <sheetViews>
    <sheetView tabSelected="1" zoomScale="45" zoomScaleNormal="45" workbookViewId="0">
      <pane ySplit="1" topLeftCell="A2" activePane="bottomLeft" state="frozen"/>
      <selection pane="bottomLeft" activeCell="I47" sqref="I47"/>
    </sheetView>
  </sheetViews>
  <sheetFormatPr defaultColWidth="9.1796875" defaultRowHeight="18.5" x14ac:dyDescent="0.25"/>
  <cols>
    <col min="1" max="1" width="4.26953125" style="98" customWidth="1"/>
    <col min="2" max="2" width="5.36328125" style="98" customWidth="1"/>
    <col min="3" max="3" width="13.54296875" style="98" customWidth="1"/>
    <col min="4" max="4" width="12" style="98" customWidth="1"/>
    <col min="5" max="5" width="9.453125" style="99" customWidth="1"/>
    <col min="6" max="6" width="22" style="133" customWidth="1"/>
    <col min="7" max="7" width="11.54296875" style="50" customWidth="1"/>
    <col min="8" max="8" width="29.453125" style="50" hidden="1" customWidth="1"/>
    <col min="9" max="9" width="10.90625" style="50" customWidth="1"/>
    <col min="10" max="10" width="14.1796875" style="50" hidden="1" customWidth="1"/>
    <col min="11" max="11" width="6.6328125" style="50" customWidth="1"/>
    <col min="12" max="12" width="11.1796875" style="103" customWidth="1"/>
    <col min="13" max="13" width="1.7265625" style="100" customWidth="1"/>
    <col min="14" max="14" width="15.26953125" style="50" customWidth="1"/>
    <col min="15" max="15" width="1.54296875" style="50" customWidth="1"/>
    <col min="16" max="16" width="13.453125" style="50" bestFit="1" customWidth="1"/>
    <col min="17" max="17" width="1.81640625" style="100" customWidth="1"/>
    <col min="18" max="18" width="10.81640625" style="100" customWidth="1"/>
    <col min="19" max="19" width="6.453125" style="100" customWidth="1"/>
    <col min="20" max="20" width="10.7265625" style="100" customWidth="1"/>
    <col min="21" max="21" width="1.81640625" style="137" customWidth="1"/>
    <col min="22" max="22" width="12.453125" style="101" customWidth="1"/>
    <col min="23" max="23" width="5.81640625" style="101" customWidth="1"/>
    <col min="24" max="24" width="18.26953125" style="102" customWidth="1"/>
    <col min="25" max="25" width="2.1796875" style="54" customWidth="1"/>
    <col min="26" max="26" width="11.26953125" style="54" customWidth="1"/>
    <col min="27" max="27" width="11.1796875" style="54" customWidth="1"/>
    <col min="28" max="29" width="9.1796875" style="54"/>
    <col min="30" max="16384" width="9.1796875" style="50"/>
  </cols>
  <sheetData>
    <row r="1" spans="1:29" ht="30" customHeight="1" thickBot="1" x14ac:dyDescent="0.3">
      <c r="A1" s="594" t="s">
        <v>326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716"/>
      <c r="N1" s="716"/>
      <c r="O1" s="716"/>
      <c r="P1" s="716"/>
      <c r="Q1" s="716"/>
      <c r="R1" s="716"/>
      <c r="S1" s="716"/>
      <c r="T1" s="716"/>
      <c r="U1" s="716"/>
      <c r="V1" s="716"/>
      <c r="W1" s="304" t="s">
        <v>271</v>
      </c>
      <c r="X1" s="508">
        <v>44378</v>
      </c>
    </row>
    <row r="2" spans="1:29" s="54" customFormat="1" ht="6" customHeight="1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52"/>
      <c r="O2" s="52"/>
      <c r="P2" s="53"/>
      <c r="Q2" s="53"/>
      <c r="R2" s="53"/>
      <c r="S2" s="53"/>
      <c r="T2" s="53"/>
      <c r="U2" s="53"/>
      <c r="V2" s="53"/>
      <c r="W2" s="53"/>
      <c r="X2" s="53"/>
    </row>
    <row r="3" spans="1:29" s="54" customFormat="1" ht="19" thickBot="1" x14ac:dyDescent="0.3">
      <c r="A3" s="607" t="s">
        <v>191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9"/>
      <c r="Q3" s="216"/>
      <c r="R3" s="717" t="s">
        <v>218</v>
      </c>
      <c r="S3" s="718"/>
      <c r="T3" s="718"/>
      <c r="U3" s="718"/>
      <c r="V3" s="718"/>
      <c r="W3" s="718"/>
      <c r="X3" s="719"/>
      <c r="Z3" s="174" t="s">
        <v>207</v>
      </c>
      <c r="AA3" s="132"/>
    </row>
    <row r="4" spans="1:29" s="57" customFormat="1" ht="15.5" x14ac:dyDescent="0.25">
      <c r="A4" s="604" t="s">
        <v>188</v>
      </c>
      <c r="B4" s="583"/>
      <c r="C4" s="583"/>
      <c r="D4" s="605">
        <f>M1</f>
        <v>0</v>
      </c>
      <c r="E4" s="606"/>
      <c r="F4" s="841" t="s">
        <v>299</v>
      </c>
      <c r="G4" s="842"/>
      <c r="H4" s="200"/>
      <c r="I4" s="843" t="s">
        <v>327</v>
      </c>
      <c r="J4" s="843"/>
      <c r="K4" s="843"/>
      <c r="L4" s="843"/>
      <c r="M4" s="843"/>
      <c r="N4" s="720" t="s">
        <v>214</v>
      </c>
      <c r="O4" s="720"/>
      <c r="P4" s="201">
        <v>0</v>
      </c>
      <c r="Q4" s="217"/>
      <c r="R4" s="721" t="s">
        <v>193</v>
      </c>
      <c r="S4" s="722"/>
      <c r="T4" s="722"/>
      <c r="U4" s="722"/>
      <c r="V4" s="722"/>
      <c r="W4" s="722"/>
      <c r="X4" s="723"/>
      <c r="Z4" s="229" t="s">
        <v>244</v>
      </c>
      <c r="AA4" s="227" t="s">
        <v>245</v>
      </c>
      <c r="AB4" s="227" t="s">
        <v>246</v>
      </c>
    </row>
    <row r="5" spans="1:29" s="57" customFormat="1" ht="15.5" x14ac:dyDescent="0.25">
      <c r="A5" s="576" t="s">
        <v>3</v>
      </c>
      <c r="B5" s="577"/>
      <c r="C5" s="577"/>
      <c r="D5" s="581" t="s">
        <v>327</v>
      </c>
      <c r="E5" s="582"/>
      <c r="F5" s="574" t="s">
        <v>201</v>
      </c>
      <c r="G5" s="575"/>
      <c r="H5" s="185"/>
      <c r="I5" s="840" t="s">
        <v>327</v>
      </c>
      <c r="J5" s="840"/>
      <c r="K5" s="840"/>
      <c r="L5" s="840"/>
      <c r="M5" s="840"/>
      <c r="N5" s="688" t="s">
        <v>17</v>
      </c>
      <c r="O5" s="688"/>
      <c r="P5" s="58"/>
      <c r="Q5" s="217"/>
      <c r="R5" s="728" t="s">
        <v>242</v>
      </c>
      <c r="S5" s="729"/>
      <c r="T5" s="729"/>
      <c r="U5" s="729"/>
      <c r="V5" s="729"/>
      <c r="W5" s="729"/>
      <c r="X5" s="730"/>
      <c r="Z5" s="172" t="s">
        <v>25</v>
      </c>
      <c r="AA5" s="176">
        <f>SUMIF($G$16:$G$47,"STATE",$L$16:$L$47)</f>
        <v>19.600000000000001</v>
      </c>
      <c r="AB5" s="176">
        <f>SUMIF($G$16:$G$47,"STATE",$T$16:$T$47)</f>
        <v>0</v>
      </c>
    </row>
    <row r="6" spans="1:29" s="57" customFormat="1" ht="16" thickBot="1" x14ac:dyDescent="0.3">
      <c r="A6" s="576" t="s">
        <v>10</v>
      </c>
      <c r="B6" s="577"/>
      <c r="C6" s="577"/>
      <c r="D6" s="581" t="s">
        <v>327</v>
      </c>
      <c r="E6" s="724"/>
      <c r="F6" s="574" t="s">
        <v>15</v>
      </c>
      <c r="G6" s="575"/>
      <c r="H6" s="185"/>
      <c r="I6" s="840" t="s">
        <v>327</v>
      </c>
      <c r="J6" s="840"/>
      <c r="K6" s="840"/>
      <c r="L6" s="840"/>
      <c r="M6" s="840"/>
      <c r="N6" s="710" t="s">
        <v>190</v>
      </c>
      <c r="O6" s="710"/>
      <c r="P6" s="204">
        <f>P4+P5*10</f>
        <v>0</v>
      </c>
      <c r="Q6" s="217"/>
      <c r="R6" s="725" t="s">
        <v>313</v>
      </c>
      <c r="S6" s="726"/>
      <c r="T6" s="726"/>
      <c r="U6" s="726"/>
      <c r="V6" s="726"/>
      <c r="W6" s="726"/>
      <c r="X6" s="727"/>
      <c r="Z6" s="172" t="s">
        <v>26</v>
      </c>
      <c r="AA6" s="176">
        <f>SUMIF($G$16:$G$47,"COUNTY",$L$16:$L$47)</f>
        <v>-19.599999999999994</v>
      </c>
      <c r="AB6" s="176">
        <f>SUMIF($G$16:$G$47,"COUNTY",$T$16:$T$47)</f>
        <v>0</v>
      </c>
    </row>
    <row r="7" spans="1:29" s="57" customFormat="1" ht="16" thickBot="1" x14ac:dyDescent="0.3">
      <c r="A7" s="576" t="s">
        <v>4</v>
      </c>
      <c r="B7" s="577"/>
      <c r="C7" s="577"/>
      <c r="D7" s="586" t="s">
        <v>327</v>
      </c>
      <c r="E7" s="582"/>
      <c r="F7" s="572" t="s">
        <v>16</v>
      </c>
      <c r="G7" s="573"/>
      <c r="H7" s="220"/>
      <c r="I7" s="844" t="s">
        <v>327</v>
      </c>
      <c r="J7" s="844"/>
      <c r="K7" s="844"/>
      <c r="L7" s="844"/>
      <c r="M7" s="845"/>
      <c r="N7" s="318"/>
      <c r="O7" s="221"/>
      <c r="P7" s="215"/>
      <c r="Q7" s="217"/>
      <c r="R7" s="698" t="s">
        <v>192</v>
      </c>
      <c r="S7" s="699"/>
      <c r="T7" s="699"/>
      <c r="U7" s="699"/>
      <c r="V7" s="699"/>
      <c r="W7" s="699"/>
      <c r="X7" s="700"/>
      <c r="Z7" s="172" t="s">
        <v>45</v>
      </c>
      <c r="AA7" s="176">
        <f>SUMIF($G$16:$G$47,"CITY",$L$16:$L$47)</f>
        <v>0</v>
      </c>
      <c r="AB7" s="176">
        <f>SUMIF($G$16:$G$47,"CITY",$T$16:$T$47)</f>
        <v>0</v>
      </c>
    </row>
    <row r="8" spans="1:29" s="57" customFormat="1" ht="15.75" customHeight="1" x14ac:dyDescent="0.25">
      <c r="A8" s="701" t="s">
        <v>47</v>
      </c>
      <c r="B8" s="702"/>
      <c r="C8" s="702"/>
      <c r="D8" s="703">
        <v>1</v>
      </c>
      <c r="E8" s="846"/>
      <c r="F8" s="847" t="s">
        <v>300</v>
      </c>
      <c r="G8" s="848"/>
      <c r="H8" s="320"/>
      <c r="I8" s="849"/>
      <c r="J8" s="849"/>
      <c r="K8" s="849"/>
      <c r="L8" s="849"/>
      <c r="M8" s="849"/>
      <c r="N8" s="583" t="s">
        <v>214</v>
      </c>
      <c r="O8" s="583"/>
      <c r="P8" s="55">
        <v>0</v>
      </c>
      <c r="Q8" s="218"/>
      <c r="R8" s="682" t="s">
        <v>243</v>
      </c>
      <c r="S8" s="546"/>
      <c r="T8" s="546"/>
      <c r="U8" s="546"/>
      <c r="V8" s="546"/>
      <c r="W8" s="546"/>
      <c r="X8" s="683"/>
      <c r="Z8" s="172" t="s">
        <v>187</v>
      </c>
      <c r="AA8" s="176">
        <f>SUMIF($G$16:$G$47,"COURT",$L$16:$L$47)</f>
        <v>0</v>
      </c>
      <c r="AB8" s="176">
        <f>SUMIF($G$16:$G$47,"COURT",$T$16:$T$47)</f>
        <v>0</v>
      </c>
    </row>
    <row r="9" spans="1:29" s="57" customFormat="1" ht="18" customHeight="1" thickBot="1" x14ac:dyDescent="0.3">
      <c r="A9" s="686" t="s">
        <v>46</v>
      </c>
      <c r="B9" s="687"/>
      <c r="C9" s="687"/>
      <c r="D9" s="596">
        <f>100%-D8</f>
        <v>0</v>
      </c>
      <c r="E9" s="851"/>
      <c r="F9" s="574" t="s">
        <v>201</v>
      </c>
      <c r="G9" s="575"/>
      <c r="H9" s="319"/>
      <c r="I9" s="840"/>
      <c r="J9" s="840"/>
      <c r="K9" s="840"/>
      <c r="L9" s="840"/>
      <c r="M9" s="840"/>
      <c r="N9" s="575" t="s">
        <v>17</v>
      </c>
      <c r="O9" s="575"/>
      <c r="P9" s="58"/>
      <c r="Q9" s="218"/>
      <c r="R9" s="684"/>
      <c r="S9" s="549"/>
      <c r="T9" s="549"/>
      <c r="U9" s="549"/>
      <c r="V9" s="549"/>
      <c r="W9" s="549"/>
      <c r="X9" s="685"/>
      <c r="Z9" s="153" t="s">
        <v>267</v>
      </c>
      <c r="AA9" s="176">
        <f>SUMIF($G$16:$G$47,"CNTY or CTY",$L$16:$L$47)</f>
        <v>0</v>
      </c>
      <c r="AB9" s="176">
        <f>SUMIF($G$16:$G$47,"CNTY or CTY",$T$16:$T$47)</f>
        <v>0</v>
      </c>
    </row>
    <row r="10" spans="1:29" s="57" customFormat="1" ht="16.5" customHeight="1" thickBot="1" x14ac:dyDescent="0.3">
      <c r="A10" s="628" t="s">
        <v>224</v>
      </c>
      <c r="B10" s="629"/>
      <c r="C10" s="629"/>
      <c r="D10" s="624">
        <f>P6+P10</f>
        <v>0</v>
      </c>
      <c r="E10" s="850"/>
      <c r="F10" s="574" t="s">
        <v>15</v>
      </c>
      <c r="G10" s="575"/>
      <c r="H10" s="319"/>
      <c r="I10" s="840"/>
      <c r="J10" s="840"/>
      <c r="K10" s="840"/>
      <c r="L10" s="840"/>
      <c r="M10" s="840"/>
      <c r="N10" s="575" t="s">
        <v>190</v>
      </c>
      <c r="O10" s="575"/>
      <c r="P10" s="317">
        <f>P8+P9*10</f>
        <v>0</v>
      </c>
      <c r="Q10" s="219"/>
      <c r="R10" s="711" t="s">
        <v>196</v>
      </c>
      <c r="S10" s="712"/>
      <c r="T10" s="712"/>
      <c r="U10" s="712"/>
      <c r="V10" s="712"/>
      <c r="W10" s="712"/>
      <c r="X10" s="713"/>
      <c r="Z10" s="283" t="s">
        <v>203</v>
      </c>
      <c r="AA10" s="148">
        <f>SUM(AA5:AA9)</f>
        <v>7.1054273576010019E-15</v>
      </c>
      <c r="AB10" s="148">
        <f>SUM(AB5:AB9)</f>
        <v>0</v>
      </c>
    </row>
    <row r="11" spans="1:29" s="57" customFormat="1" ht="16.5" customHeight="1" thickBot="1" x14ac:dyDescent="0.3">
      <c r="A11" s="626" t="s">
        <v>225</v>
      </c>
      <c r="B11" s="627"/>
      <c r="C11" s="627"/>
      <c r="D11" s="622">
        <f>ROUNDUP(D10/10,0)</f>
        <v>0</v>
      </c>
      <c r="E11" s="854"/>
      <c r="F11" s="855" t="s">
        <v>16</v>
      </c>
      <c r="G11" s="571"/>
      <c r="H11" s="321"/>
      <c r="I11" s="856"/>
      <c r="J11" s="856"/>
      <c r="K11" s="856"/>
      <c r="L11" s="856"/>
      <c r="M11" s="856"/>
      <c r="N11" s="857" t="s">
        <v>301</v>
      </c>
      <c r="O11" s="857"/>
      <c r="P11" s="322">
        <f>'Local Penalties'!B8</f>
        <v>7</v>
      </c>
      <c r="Q11" s="219"/>
      <c r="R11" s="670" t="s">
        <v>261</v>
      </c>
      <c r="S11" s="671"/>
      <c r="T11" s="671"/>
      <c r="U11" s="671"/>
      <c r="V11" s="671"/>
      <c r="W11" s="671"/>
      <c r="X11" s="672"/>
      <c r="AA11" s="228">
        <f>AA10-L49</f>
        <v>7.1054273576010019E-15</v>
      </c>
      <c r="AB11" s="228">
        <f>AB10-T49</f>
        <v>0</v>
      </c>
    </row>
    <row r="12" spans="1:29" s="57" customFormat="1" ht="15.75" customHeight="1" thickBot="1" x14ac:dyDescent="0.3">
      <c r="A12" s="203"/>
      <c r="B12" s="203"/>
      <c r="C12" s="191"/>
      <c r="D12" s="191"/>
      <c r="E12" s="191"/>
      <c r="F12" s="66"/>
      <c r="G12" s="59"/>
      <c r="H12" s="60"/>
      <c r="I12" s="61"/>
      <c r="J12" s="61"/>
      <c r="K12" s="61"/>
      <c r="L12" s="61"/>
      <c r="M12" s="61"/>
      <c r="P12" s="62"/>
      <c r="Q12" s="56"/>
      <c r="R12" s="56"/>
      <c r="S12" s="56"/>
      <c r="T12" s="56"/>
      <c r="U12" s="56"/>
      <c r="V12" s="63"/>
      <c r="W12" s="63"/>
      <c r="X12" s="64"/>
      <c r="AB12" s="65"/>
    </row>
    <row r="13" spans="1:29" s="109" customFormat="1" ht="18.75" customHeight="1" thickBot="1" x14ac:dyDescent="0.3">
      <c r="A13" s="192"/>
      <c r="B13" s="192"/>
      <c r="C13" s="192"/>
      <c r="D13" s="192"/>
      <c r="E13" s="192"/>
      <c r="F13" s="107"/>
      <c r="G13" s="108"/>
      <c r="I13" s="679" t="s">
        <v>237</v>
      </c>
      <c r="J13" s="680"/>
      <c r="K13" s="680"/>
      <c r="L13" s="681"/>
      <c r="M13" s="110"/>
      <c r="N13" s="691" t="s">
        <v>186</v>
      </c>
      <c r="O13" s="692"/>
      <c r="P13" s="693"/>
      <c r="Q13" s="111"/>
      <c r="R13" s="694" t="s">
        <v>236</v>
      </c>
      <c r="S13" s="695"/>
      <c r="T13" s="696"/>
      <c r="U13" s="207"/>
      <c r="V13" s="158"/>
      <c r="W13" s="158"/>
      <c r="X13" s="159"/>
      <c r="Y13" s="108"/>
      <c r="Z13" s="108"/>
      <c r="AA13" s="108"/>
      <c r="AB13" s="108"/>
      <c r="AC13" s="108"/>
    </row>
    <row r="14" spans="1:29" ht="44.25" customHeight="1" thickBot="1" x14ac:dyDescent="0.3">
      <c r="A14" s="289">
        <v>0.02</v>
      </c>
      <c r="B14" s="289" t="s">
        <v>51</v>
      </c>
      <c r="C14" s="632" t="s">
        <v>183</v>
      </c>
      <c r="D14" s="633"/>
      <c r="E14" s="633"/>
      <c r="F14" s="634"/>
      <c r="G14" s="291" t="s">
        <v>206</v>
      </c>
      <c r="H14" s="114" t="s">
        <v>0</v>
      </c>
      <c r="I14" s="287" t="s">
        <v>238</v>
      </c>
      <c r="J14" s="294" t="s">
        <v>209</v>
      </c>
      <c r="K14" s="673" t="s">
        <v>5</v>
      </c>
      <c r="L14" s="293" t="s">
        <v>239</v>
      </c>
      <c r="M14" s="67"/>
      <c r="N14" s="536" t="s">
        <v>217</v>
      </c>
      <c r="O14" s="537"/>
      <c r="P14" s="294" t="s">
        <v>205</v>
      </c>
      <c r="Q14" s="121"/>
      <c r="R14" s="295" t="s">
        <v>260</v>
      </c>
      <c r="S14" s="673" t="s">
        <v>5</v>
      </c>
      <c r="T14" s="293" t="s">
        <v>239</v>
      </c>
      <c r="U14" s="208"/>
      <c r="V14" s="286" t="s">
        <v>213</v>
      </c>
      <c r="W14" s="675" t="s">
        <v>54</v>
      </c>
      <c r="X14" s="853" t="s">
        <v>252</v>
      </c>
    </row>
    <row r="15" spans="1:29" ht="30.75" customHeight="1" thickBot="1" x14ac:dyDescent="0.3">
      <c r="A15" s="290"/>
      <c r="B15" s="290"/>
      <c r="C15" s="635"/>
      <c r="D15" s="636"/>
      <c r="E15" s="636"/>
      <c r="F15" s="637"/>
      <c r="G15" s="292"/>
      <c r="H15" s="292"/>
      <c r="I15" s="288"/>
      <c r="J15" s="161" t="e">
        <f>J35/I35</f>
        <v>#DIV/0!</v>
      </c>
      <c r="K15" s="674"/>
      <c r="L15" s="223" t="s">
        <v>35</v>
      </c>
      <c r="M15" s="68"/>
      <c r="N15" s="534"/>
      <c r="O15" s="535"/>
      <c r="P15" s="224" t="s">
        <v>36</v>
      </c>
      <c r="Q15" s="121"/>
      <c r="R15" s="225" t="e">
        <f>(R35-R32)/(I35-I32)</f>
        <v>#DIV/0!</v>
      </c>
      <c r="S15" s="674"/>
      <c r="T15" s="223" t="s">
        <v>37</v>
      </c>
      <c r="U15" s="208"/>
      <c r="V15" s="241" t="s">
        <v>240</v>
      </c>
      <c r="W15" s="852"/>
      <c r="X15" s="678"/>
    </row>
    <row r="16" spans="1:29" s="74" customFormat="1" ht="16" thickTop="1" x14ac:dyDescent="0.25">
      <c r="A16" s="69" t="s">
        <v>7</v>
      </c>
      <c r="B16" s="647" t="s">
        <v>198</v>
      </c>
      <c r="C16" s="858" t="s">
        <v>273</v>
      </c>
      <c r="D16" s="569"/>
      <c r="E16" s="569"/>
      <c r="F16" s="569"/>
      <c r="G16" s="297" t="s">
        <v>26</v>
      </c>
      <c r="H16" s="71" t="s">
        <v>12</v>
      </c>
      <c r="I16" s="154">
        <v>50</v>
      </c>
      <c r="J16" s="160">
        <f>I16</f>
        <v>50</v>
      </c>
      <c r="K16" s="162">
        <f>IF(A16="Y", I16*2%,0)</f>
        <v>1</v>
      </c>
      <c r="L16" s="196">
        <f>I16-K16</f>
        <v>49</v>
      </c>
      <c r="M16" s="164"/>
      <c r="N16" s="551"/>
      <c r="O16" s="552"/>
      <c r="P16" s="190"/>
      <c r="Q16" s="72"/>
      <c r="R16" s="155">
        <f>IF($R$49=0,,IF($R$15*$I$16&gt;50,$I$16,$R$15*$I$16))</f>
        <v>0</v>
      </c>
      <c r="S16" s="162">
        <f>IF(A16="Y", R16*2%,)</f>
        <v>0</v>
      </c>
      <c r="T16" s="166">
        <f>R16-S16</f>
        <v>0</v>
      </c>
      <c r="U16" s="209"/>
      <c r="V16" s="181">
        <f>IF($V$15="BASE-UP   (B-A)", P16-L16,P16-T16)</f>
        <v>-49</v>
      </c>
      <c r="W16" s="281"/>
      <c r="X16" s="275"/>
      <c r="Y16" s="125"/>
      <c r="Z16" s="125"/>
      <c r="AA16" s="125"/>
      <c r="AB16" s="125"/>
      <c r="AC16" s="125"/>
    </row>
    <row r="17" spans="1:29" s="74" customFormat="1" ht="15.5" x14ac:dyDescent="0.25">
      <c r="A17" s="69" t="s">
        <v>7</v>
      </c>
      <c r="B17" s="647"/>
      <c r="C17" s="859" t="s">
        <v>274</v>
      </c>
      <c r="D17" s="555"/>
      <c r="E17" s="555"/>
      <c r="F17" s="555"/>
      <c r="G17" s="296" t="s">
        <v>26</v>
      </c>
      <c r="H17" s="77" t="s">
        <v>12</v>
      </c>
      <c r="I17" s="156">
        <v>50</v>
      </c>
      <c r="J17" s="155">
        <f>I17</f>
        <v>50</v>
      </c>
      <c r="K17" s="162">
        <f t="shared" ref="K17:K45" si="0">IF(A17="Y", I17*2%,0)</f>
        <v>1</v>
      </c>
      <c r="L17" s="167">
        <f t="shared" ref="L17:L45" si="1">I17-K17</f>
        <v>49</v>
      </c>
      <c r="M17" s="164"/>
      <c r="N17" s="532"/>
      <c r="O17" s="533"/>
      <c r="P17" s="78"/>
      <c r="Q17" s="72"/>
      <c r="R17" s="155">
        <f>IF($R$49=0,,IF($R$15*$I$17&gt;50,$I$17,$R$15*$I$17))</f>
        <v>0</v>
      </c>
      <c r="S17" s="162">
        <f t="shared" ref="S17:S34" si="2">IF(A17="Y", R17*2%,)</f>
        <v>0</v>
      </c>
      <c r="T17" s="167">
        <f>R17-S17</f>
        <v>0</v>
      </c>
      <c r="U17" s="209"/>
      <c r="V17" s="181">
        <f t="shared" ref="V17:V47" si="3">IF($V$15="BASE-UP   (B-A)", P17-L17,P17-T17)</f>
        <v>-49</v>
      </c>
      <c r="W17" s="281"/>
      <c r="X17" s="268"/>
      <c r="Y17" s="125"/>
      <c r="Z17" s="125"/>
      <c r="AA17" s="125"/>
      <c r="AB17" s="125"/>
      <c r="AC17" s="125"/>
    </row>
    <row r="18" spans="1:29" s="74" customFormat="1" ht="15.5" x14ac:dyDescent="0.25">
      <c r="A18" s="69" t="s">
        <v>7</v>
      </c>
      <c r="B18" s="647"/>
      <c r="C18" s="859" t="s">
        <v>276</v>
      </c>
      <c r="D18" s="555"/>
      <c r="E18" s="555"/>
      <c r="F18" s="555"/>
      <c r="G18" s="296" t="s">
        <v>25</v>
      </c>
      <c r="H18" s="77" t="s">
        <v>44</v>
      </c>
      <c r="I18" s="156">
        <v>20</v>
      </c>
      <c r="J18" s="155">
        <f>I18</f>
        <v>20</v>
      </c>
      <c r="K18" s="162">
        <f t="shared" si="0"/>
        <v>0.4</v>
      </c>
      <c r="L18" s="167">
        <f t="shared" si="1"/>
        <v>19.600000000000001</v>
      </c>
      <c r="M18" s="164"/>
      <c r="N18" s="532"/>
      <c r="O18" s="533"/>
      <c r="P18" s="78"/>
      <c r="Q18" s="72"/>
      <c r="R18" s="155">
        <f>IF($R$49=0,,IF($R$15*$I$18&gt;20,$I$18,$R$15*$I$18))</f>
        <v>0</v>
      </c>
      <c r="S18" s="162">
        <f t="shared" si="2"/>
        <v>0</v>
      </c>
      <c r="T18" s="167">
        <f t="shared" ref="T18:T45" si="4">R18-S18</f>
        <v>0</v>
      </c>
      <c r="U18" s="209"/>
      <c r="V18" s="181">
        <f t="shared" si="3"/>
        <v>-19.600000000000001</v>
      </c>
      <c r="W18" s="281"/>
      <c r="X18" s="268"/>
      <c r="Y18" s="125"/>
      <c r="Z18" s="125"/>
      <c r="AA18" s="125"/>
      <c r="AB18" s="125"/>
      <c r="AC18" s="125"/>
    </row>
    <row r="19" spans="1:29" s="74" customFormat="1" ht="15.5" x14ac:dyDescent="0.25">
      <c r="A19" s="69" t="s">
        <v>7</v>
      </c>
      <c r="B19" s="647"/>
      <c r="C19" s="555" t="s">
        <v>169</v>
      </c>
      <c r="D19" s="555"/>
      <c r="E19" s="555"/>
      <c r="F19" s="555"/>
      <c r="G19" s="296" t="s">
        <v>26</v>
      </c>
      <c r="H19" s="77" t="s">
        <v>21</v>
      </c>
      <c r="I19" s="155">
        <f>(D10-SUM(I16:I18))*D8</f>
        <v>-120</v>
      </c>
      <c r="J19" s="155" t="e">
        <f>((SUM(I16:I20)*J15)-SUM(J16:J18))*D8</f>
        <v>#DIV/0!</v>
      </c>
      <c r="K19" s="162">
        <f t="shared" si="0"/>
        <v>-2.4</v>
      </c>
      <c r="L19" s="167">
        <f t="shared" si="1"/>
        <v>-117.6</v>
      </c>
      <c r="M19" s="164"/>
      <c r="N19" s="532"/>
      <c r="O19" s="533"/>
      <c r="P19" s="78"/>
      <c r="Q19" s="72"/>
      <c r="R19" s="155">
        <f>IF($R$49=0,,(($R$15*$D$10)-SUM($R$16:$R$18))*D8)</f>
        <v>0</v>
      </c>
      <c r="S19" s="162">
        <f t="shared" si="2"/>
        <v>0</v>
      </c>
      <c r="T19" s="167">
        <f t="shared" si="4"/>
        <v>0</v>
      </c>
      <c r="U19" s="209"/>
      <c r="V19" s="181">
        <f t="shared" si="3"/>
        <v>117.6</v>
      </c>
      <c r="W19" s="305"/>
      <c r="X19" s="306"/>
      <c r="Y19" s="125"/>
      <c r="Z19" s="125"/>
      <c r="AA19" s="125"/>
      <c r="AB19" s="125"/>
      <c r="AC19" s="125"/>
    </row>
    <row r="20" spans="1:29" s="74" customFormat="1" ht="15.5" x14ac:dyDescent="0.25">
      <c r="A20" s="69" t="s">
        <v>7</v>
      </c>
      <c r="B20" s="648"/>
      <c r="C20" s="555" t="s">
        <v>170</v>
      </c>
      <c r="D20" s="555"/>
      <c r="E20" s="555"/>
      <c r="F20" s="555"/>
      <c r="G20" s="296" t="s">
        <v>45</v>
      </c>
      <c r="H20" s="77" t="s">
        <v>19</v>
      </c>
      <c r="I20" s="155">
        <f>(D10-SUM(I16:I18))*D9</f>
        <v>0</v>
      </c>
      <c r="J20" s="155" t="e">
        <f>((SUM(I16:I20)*J15)-SUM(J16:J18))*D9</f>
        <v>#DIV/0!</v>
      </c>
      <c r="K20" s="162">
        <f t="shared" si="0"/>
        <v>0</v>
      </c>
      <c r="L20" s="167">
        <f t="shared" si="1"/>
        <v>0</v>
      </c>
      <c r="M20" s="164"/>
      <c r="N20" s="532"/>
      <c r="O20" s="533"/>
      <c r="P20" s="78"/>
      <c r="Q20" s="72"/>
      <c r="R20" s="155">
        <f>IF($R$49=0,,(($R$15*$D$10)-SUM($R$16:$R$18))*D9)</f>
        <v>0</v>
      </c>
      <c r="S20" s="162">
        <f t="shared" si="2"/>
        <v>0</v>
      </c>
      <c r="T20" s="167">
        <f t="shared" si="4"/>
        <v>0</v>
      </c>
      <c r="U20" s="209"/>
      <c r="V20" s="181">
        <f t="shared" si="3"/>
        <v>0</v>
      </c>
      <c r="W20" s="305"/>
      <c r="X20" s="306"/>
      <c r="Y20" s="125"/>
      <c r="Z20" s="125"/>
      <c r="AA20" s="125"/>
      <c r="AB20" s="125"/>
      <c r="AC20" s="125"/>
    </row>
    <row r="21" spans="1:29" s="74" customFormat="1" ht="15.5" x14ac:dyDescent="0.25">
      <c r="A21" s="69" t="s">
        <v>7</v>
      </c>
      <c r="B21" s="75">
        <v>7</v>
      </c>
      <c r="C21" s="555" t="s">
        <v>294</v>
      </c>
      <c r="D21" s="555"/>
      <c r="E21" s="555"/>
      <c r="F21" s="555"/>
      <c r="G21" s="296" t="s">
        <v>25</v>
      </c>
      <c r="H21" s="77" t="s">
        <v>20</v>
      </c>
      <c r="I21" s="155">
        <f>$D$11*B21</f>
        <v>0</v>
      </c>
      <c r="J21" s="155" t="e">
        <f>$J$15*I21</f>
        <v>#DIV/0!</v>
      </c>
      <c r="K21" s="162">
        <f t="shared" si="0"/>
        <v>0</v>
      </c>
      <c r="L21" s="167">
        <f t="shared" si="1"/>
        <v>0</v>
      </c>
      <c r="M21" s="164"/>
      <c r="N21" s="532"/>
      <c r="O21" s="533"/>
      <c r="P21" s="267"/>
      <c r="Q21" s="81"/>
      <c r="R21" s="155">
        <f t="shared" ref="R21:R31" si="5">IF($R$49=0,,$R$15*I21)</f>
        <v>0</v>
      </c>
      <c r="S21" s="162">
        <f t="shared" si="2"/>
        <v>0</v>
      </c>
      <c r="T21" s="167">
        <f t="shared" si="4"/>
        <v>0</v>
      </c>
      <c r="U21" s="209"/>
      <c r="V21" s="181">
        <f t="shared" si="3"/>
        <v>0</v>
      </c>
      <c r="W21" s="281"/>
      <c r="X21" s="268"/>
      <c r="Y21" s="125"/>
      <c r="AA21" s="125"/>
      <c r="AB21" s="125"/>
      <c r="AC21" s="125"/>
    </row>
    <row r="22" spans="1:29" s="74" customFormat="1" ht="15.75" customHeight="1" x14ac:dyDescent="0.25">
      <c r="A22" s="69" t="s">
        <v>7</v>
      </c>
      <c r="B22" s="75">
        <v>3</v>
      </c>
      <c r="C22" s="555" t="s">
        <v>295</v>
      </c>
      <c r="D22" s="555"/>
      <c r="E22" s="555"/>
      <c r="F22" s="555"/>
      <c r="G22" s="296" t="s">
        <v>26</v>
      </c>
      <c r="H22" s="77" t="s">
        <v>21</v>
      </c>
      <c r="I22" s="155">
        <f t="shared" ref="I22:I31" si="6">$D$11*B22</f>
        <v>0</v>
      </c>
      <c r="J22" s="155" t="e">
        <f t="shared" ref="J22:J34" si="7">$J$15*I22</f>
        <v>#DIV/0!</v>
      </c>
      <c r="K22" s="162">
        <f t="shared" si="0"/>
        <v>0</v>
      </c>
      <c r="L22" s="167">
        <f t="shared" si="1"/>
        <v>0</v>
      </c>
      <c r="M22" s="164"/>
      <c r="N22" s="532"/>
      <c r="O22" s="533"/>
      <c r="P22" s="78"/>
      <c r="Q22" s="72"/>
      <c r="R22" s="155">
        <f t="shared" si="5"/>
        <v>0</v>
      </c>
      <c r="S22" s="162">
        <f t="shared" si="2"/>
        <v>0</v>
      </c>
      <c r="T22" s="167">
        <f t="shared" si="4"/>
        <v>0</v>
      </c>
      <c r="U22" s="209"/>
      <c r="V22" s="181">
        <f t="shared" si="3"/>
        <v>0</v>
      </c>
      <c r="W22" s="281"/>
      <c r="X22" s="268"/>
      <c r="Y22" s="125"/>
      <c r="Z22" s="125"/>
      <c r="AA22" s="125"/>
      <c r="AB22" s="125"/>
      <c r="AC22" s="125"/>
    </row>
    <row r="23" spans="1:29" s="74" customFormat="1" ht="17.25" customHeight="1" x14ac:dyDescent="0.25">
      <c r="A23" s="69" t="s">
        <v>7</v>
      </c>
      <c r="B23" s="344">
        <v>0.75</v>
      </c>
      <c r="C23" s="532" t="s">
        <v>309</v>
      </c>
      <c r="D23" s="553"/>
      <c r="E23" s="553"/>
      <c r="F23" s="554"/>
      <c r="G23" s="296" t="s">
        <v>26</v>
      </c>
      <c r="H23" s="77" t="s">
        <v>48</v>
      </c>
      <c r="I23" s="155">
        <f t="shared" si="6"/>
        <v>0</v>
      </c>
      <c r="J23" s="155" t="e">
        <f t="shared" si="7"/>
        <v>#DIV/0!</v>
      </c>
      <c r="K23" s="162">
        <f t="shared" si="0"/>
        <v>0</v>
      </c>
      <c r="L23" s="167">
        <f t="shared" si="1"/>
        <v>0</v>
      </c>
      <c r="M23" s="164"/>
      <c r="N23" s="532"/>
      <c r="O23" s="533"/>
      <c r="P23" s="78"/>
      <c r="Q23" s="72"/>
      <c r="R23" s="155">
        <f t="shared" si="5"/>
        <v>0</v>
      </c>
      <c r="S23" s="162">
        <f t="shared" si="2"/>
        <v>0</v>
      </c>
      <c r="T23" s="167">
        <f t="shared" si="4"/>
        <v>0</v>
      </c>
      <c r="U23" s="209"/>
      <c r="V23" s="181">
        <f t="shared" si="3"/>
        <v>0</v>
      </c>
      <c r="W23" s="281"/>
      <c r="X23" s="269"/>
      <c r="Y23" s="125"/>
      <c r="Z23" s="125"/>
      <c r="AA23" s="125"/>
      <c r="AB23" s="125"/>
      <c r="AC23" s="125"/>
    </row>
    <row r="24" spans="1:29" s="74" customFormat="1" ht="17.25" customHeight="1" x14ac:dyDescent="0.25">
      <c r="A24" s="69" t="s">
        <v>7</v>
      </c>
      <c r="B24" s="344">
        <v>0.25</v>
      </c>
      <c r="C24" s="532" t="s">
        <v>310</v>
      </c>
      <c r="D24" s="553"/>
      <c r="E24" s="553"/>
      <c r="F24" s="554"/>
      <c r="G24" s="343" t="s">
        <v>25</v>
      </c>
      <c r="H24" s="77" t="s">
        <v>48</v>
      </c>
      <c r="I24" s="155">
        <f t="shared" ref="I24" si="8">$D$11*B24</f>
        <v>0</v>
      </c>
      <c r="J24" s="155" t="e">
        <f t="shared" ref="J24" si="9">$J$15*I24</f>
        <v>#DIV/0!</v>
      </c>
      <c r="K24" s="162">
        <f t="shared" ref="K24" si="10">IF(A24="Y", I24*2%,0)</f>
        <v>0</v>
      </c>
      <c r="L24" s="167">
        <f t="shared" ref="L24" si="11">I24-K24</f>
        <v>0</v>
      </c>
      <c r="M24" s="164"/>
      <c r="N24" s="532"/>
      <c r="O24" s="533"/>
      <c r="P24" s="78"/>
      <c r="Q24" s="72"/>
      <c r="R24" s="155">
        <f t="shared" si="5"/>
        <v>0</v>
      </c>
      <c r="S24" s="162">
        <f t="shared" ref="S24" si="12">IF(A24="Y", R24*2%,)</f>
        <v>0</v>
      </c>
      <c r="T24" s="167">
        <f t="shared" ref="T24" si="13">R24-S24</f>
        <v>0</v>
      </c>
      <c r="U24" s="209"/>
      <c r="V24" s="181">
        <f t="shared" ref="V24" si="14">IF($V$15="BASE-UP   (B-A)", P24-L24,P24-T24)</f>
        <v>0</v>
      </c>
      <c r="W24" s="281"/>
      <c r="X24" s="269"/>
      <c r="Y24" s="125"/>
      <c r="Z24" s="125"/>
      <c r="AA24" s="125"/>
      <c r="AB24" s="125"/>
      <c r="AC24" s="125"/>
    </row>
    <row r="25" spans="1:29" s="74" customFormat="1" ht="15.5" x14ac:dyDescent="0.25">
      <c r="A25" s="69" t="s">
        <v>7</v>
      </c>
      <c r="B25" s="75">
        <v>4</v>
      </c>
      <c r="C25" s="532" t="s">
        <v>270</v>
      </c>
      <c r="D25" s="553"/>
      <c r="E25" s="553"/>
      <c r="F25" s="554"/>
      <c r="G25" s="296" t="s">
        <v>25</v>
      </c>
      <c r="H25" s="77" t="s">
        <v>60</v>
      </c>
      <c r="I25" s="155">
        <f t="shared" si="6"/>
        <v>0</v>
      </c>
      <c r="J25" s="155" t="e">
        <f t="shared" si="7"/>
        <v>#DIV/0!</v>
      </c>
      <c r="K25" s="162">
        <f t="shared" si="0"/>
        <v>0</v>
      </c>
      <c r="L25" s="167">
        <f t="shared" si="1"/>
        <v>0</v>
      </c>
      <c r="M25" s="164"/>
      <c r="N25" s="532"/>
      <c r="O25" s="533"/>
      <c r="P25" s="78"/>
      <c r="Q25" s="72"/>
      <c r="R25" s="155">
        <f t="shared" si="5"/>
        <v>0</v>
      </c>
      <c r="S25" s="162">
        <f t="shared" si="2"/>
        <v>0</v>
      </c>
      <c r="T25" s="167">
        <f t="shared" si="4"/>
        <v>0</v>
      </c>
      <c r="U25" s="209"/>
      <c r="V25" s="181">
        <f t="shared" si="3"/>
        <v>0</v>
      </c>
      <c r="W25" s="282"/>
      <c r="X25" s="273"/>
      <c r="Y25" s="125"/>
      <c r="Z25" s="125"/>
      <c r="AA25" s="125"/>
      <c r="AB25" s="125"/>
      <c r="AC25" s="125"/>
    </row>
    <row r="26" spans="1:29" s="74" customFormat="1" ht="15" customHeight="1" x14ac:dyDescent="0.25">
      <c r="A26" s="69" t="s">
        <v>7</v>
      </c>
      <c r="B26" s="178">
        <v>0</v>
      </c>
      <c r="C26" s="555" t="s">
        <v>174</v>
      </c>
      <c r="D26" s="555"/>
      <c r="E26" s="662" t="str">
        <f>IF(SUM(B26:B30)=P11,"GC 76000 PA ($" &amp;P11 &amp; " for every 10) breakdown = local Board of Supervisor resolution (BOS).","ERROR! GC 76000 PA total is not $" &amp;P11&amp; ". Check local Board of Supervisor resolution.")</f>
        <v>ERROR! GC 76000 PA total is not $7. Check local Board of Supervisor resolution.</v>
      </c>
      <c r="F26" s="663"/>
      <c r="G26" s="296" t="s">
        <v>26</v>
      </c>
      <c r="H26" s="77" t="s">
        <v>56</v>
      </c>
      <c r="I26" s="155">
        <f t="shared" si="6"/>
        <v>0</v>
      </c>
      <c r="J26" s="155" t="e">
        <f t="shared" si="7"/>
        <v>#DIV/0!</v>
      </c>
      <c r="K26" s="162">
        <f t="shared" si="0"/>
        <v>0</v>
      </c>
      <c r="L26" s="167">
        <f t="shared" si="1"/>
        <v>0</v>
      </c>
      <c r="M26" s="164"/>
      <c r="N26" s="532"/>
      <c r="O26" s="533"/>
      <c r="P26" s="78"/>
      <c r="Q26" s="72"/>
      <c r="R26" s="155">
        <f t="shared" si="5"/>
        <v>0</v>
      </c>
      <c r="S26" s="162">
        <f t="shared" ref="S26:S31" si="15">IF(A26="Y", R26*2%,)</f>
        <v>0</v>
      </c>
      <c r="T26" s="167">
        <f t="shared" ref="T26:T31" si="16">R26-S26</f>
        <v>0</v>
      </c>
      <c r="U26" s="209"/>
      <c r="V26" s="181">
        <f t="shared" si="3"/>
        <v>0</v>
      </c>
      <c r="W26" s="305"/>
      <c r="X26" s="269"/>
      <c r="Y26" s="125"/>
      <c r="Z26" s="125"/>
      <c r="AA26" s="125"/>
      <c r="AB26" s="125"/>
      <c r="AC26" s="125"/>
    </row>
    <row r="27" spans="1:29" s="74" customFormat="1" ht="15" customHeight="1" x14ac:dyDescent="0.25">
      <c r="A27" s="69" t="s">
        <v>7</v>
      </c>
      <c r="B27" s="178">
        <v>0</v>
      </c>
      <c r="C27" s="555" t="s">
        <v>175</v>
      </c>
      <c r="D27" s="555"/>
      <c r="E27" s="664"/>
      <c r="F27" s="665"/>
      <c r="G27" s="296" t="s">
        <v>26</v>
      </c>
      <c r="H27" s="77" t="s">
        <v>28</v>
      </c>
      <c r="I27" s="155">
        <f t="shared" si="6"/>
        <v>0</v>
      </c>
      <c r="J27" s="155" t="e">
        <f t="shared" si="7"/>
        <v>#DIV/0!</v>
      </c>
      <c r="K27" s="162">
        <f t="shared" si="0"/>
        <v>0</v>
      </c>
      <c r="L27" s="167">
        <f t="shared" si="1"/>
        <v>0</v>
      </c>
      <c r="M27" s="164"/>
      <c r="N27" s="532"/>
      <c r="O27" s="533"/>
      <c r="P27" s="78"/>
      <c r="Q27" s="72"/>
      <c r="R27" s="155">
        <f t="shared" si="5"/>
        <v>0</v>
      </c>
      <c r="S27" s="162">
        <f t="shared" si="15"/>
        <v>0</v>
      </c>
      <c r="T27" s="167">
        <f t="shared" si="16"/>
        <v>0</v>
      </c>
      <c r="U27" s="209"/>
      <c r="V27" s="181">
        <f t="shared" si="3"/>
        <v>0</v>
      </c>
      <c r="W27" s="281"/>
      <c r="X27" s="269"/>
      <c r="Y27" s="125"/>
      <c r="Z27" s="125"/>
      <c r="AA27" s="125"/>
      <c r="AB27" s="125"/>
      <c r="AC27" s="125"/>
    </row>
    <row r="28" spans="1:29" s="74" customFormat="1" ht="15" customHeight="1" x14ac:dyDescent="0.25">
      <c r="A28" s="69" t="s">
        <v>7</v>
      </c>
      <c r="B28" s="178">
        <v>0</v>
      </c>
      <c r="C28" s="555" t="s">
        <v>176</v>
      </c>
      <c r="D28" s="555"/>
      <c r="E28" s="664"/>
      <c r="F28" s="665"/>
      <c r="G28" s="296" t="s">
        <v>26</v>
      </c>
      <c r="H28" s="77" t="s">
        <v>57</v>
      </c>
      <c r="I28" s="155">
        <f t="shared" si="6"/>
        <v>0</v>
      </c>
      <c r="J28" s="155" t="e">
        <f t="shared" si="7"/>
        <v>#DIV/0!</v>
      </c>
      <c r="K28" s="162">
        <f t="shared" si="0"/>
        <v>0</v>
      </c>
      <c r="L28" s="167">
        <f t="shared" si="1"/>
        <v>0</v>
      </c>
      <c r="M28" s="164"/>
      <c r="N28" s="532"/>
      <c r="O28" s="533"/>
      <c r="P28" s="78"/>
      <c r="Q28" s="72"/>
      <c r="R28" s="155">
        <f t="shared" si="5"/>
        <v>0</v>
      </c>
      <c r="S28" s="162">
        <f t="shared" si="15"/>
        <v>0</v>
      </c>
      <c r="T28" s="167">
        <f t="shared" si="16"/>
        <v>0</v>
      </c>
      <c r="U28" s="209"/>
      <c r="V28" s="181">
        <f t="shared" si="3"/>
        <v>0</v>
      </c>
      <c r="W28" s="281"/>
      <c r="X28" s="269"/>
      <c r="Y28" s="125"/>
      <c r="Z28" s="125"/>
      <c r="AA28" s="125"/>
      <c r="AB28" s="125"/>
      <c r="AC28" s="125"/>
    </row>
    <row r="29" spans="1:29" s="74" customFormat="1" ht="15" customHeight="1" x14ac:dyDescent="0.25">
      <c r="A29" s="69" t="s">
        <v>7</v>
      </c>
      <c r="B29" s="178">
        <v>0</v>
      </c>
      <c r="C29" s="555" t="s">
        <v>256</v>
      </c>
      <c r="D29" s="555"/>
      <c r="E29" s="664"/>
      <c r="F29" s="665"/>
      <c r="G29" s="296" t="s">
        <v>26</v>
      </c>
      <c r="H29" s="77" t="s">
        <v>57</v>
      </c>
      <c r="I29" s="155">
        <f>$D$11*B29</f>
        <v>0</v>
      </c>
      <c r="J29" s="155" t="e">
        <f>$J$15*I29</f>
        <v>#DIV/0!</v>
      </c>
      <c r="K29" s="162">
        <f>IF(A29="Y", I29*2%,0)</f>
        <v>0</v>
      </c>
      <c r="L29" s="167">
        <f>I29-K29</f>
        <v>0</v>
      </c>
      <c r="M29" s="164"/>
      <c r="N29" s="532"/>
      <c r="O29" s="533"/>
      <c r="P29" s="78"/>
      <c r="Q29" s="72"/>
      <c r="R29" s="155">
        <f t="shared" si="5"/>
        <v>0</v>
      </c>
      <c r="S29" s="162">
        <f t="shared" si="15"/>
        <v>0</v>
      </c>
      <c r="T29" s="167">
        <f t="shared" si="16"/>
        <v>0</v>
      </c>
      <c r="U29" s="209"/>
      <c r="V29" s="181">
        <f>IF($V$15="BASE-UP   (B-A)", P29-L29,P29-T29)</f>
        <v>0</v>
      </c>
      <c r="W29" s="281"/>
      <c r="X29" s="269"/>
      <c r="Y29" s="125"/>
      <c r="Z29" s="125"/>
      <c r="AA29" s="125"/>
      <c r="AB29" s="125"/>
      <c r="AC29" s="125"/>
    </row>
    <row r="30" spans="1:29" s="74" customFormat="1" ht="15.5" x14ac:dyDescent="0.25">
      <c r="A30" s="69" t="s">
        <v>7</v>
      </c>
      <c r="B30" s="178">
        <v>0</v>
      </c>
      <c r="C30" s="555" t="s">
        <v>211</v>
      </c>
      <c r="D30" s="555"/>
      <c r="E30" s="666"/>
      <c r="F30" s="667"/>
      <c r="G30" s="296" t="s">
        <v>26</v>
      </c>
      <c r="H30" s="77"/>
      <c r="I30" s="155">
        <f t="shared" si="6"/>
        <v>0</v>
      </c>
      <c r="J30" s="155" t="e">
        <f t="shared" si="7"/>
        <v>#DIV/0!</v>
      </c>
      <c r="K30" s="162">
        <f t="shared" si="0"/>
        <v>0</v>
      </c>
      <c r="L30" s="167">
        <f t="shared" si="1"/>
        <v>0</v>
      </c>
      <c r="M30" s="164"/>
      <c r="N30" s="532"/>
      <c r="O30" s="533"/>
      <c r="P30" s="78"/>
      <c r="Q30" s="72"/>
      <c r="R30" s="155">
        <f t="shared" si="5"/>
        <v>0</v>
      </c>
      <c r="S30" s="162">
        <f t="shared" si="15"/>
        <v>0</v>
      </c>
      <c r="T30" s="167">
        <f t="shared" si="16"/>
        <v>0</v>
      </c>
      <c r="U30" s="209"/>
      <c r="V30" s="181">
        <f t="shared" si="3"/>
        <v>0</v>
      </c>
      <c r="W30" s="281"/>
      <c r="X30" s="269"/>
      <c r="Y30" s="125"/>
      <c r="Z30" s="125"/>
      <c r="AA30" s="125"/>
      <c r="AB30" s="125"/>
      <c r="AC30" s="125"/>
    </row>
    <row r="31" spans="1:29" s="85" customFormat="1" ht="15.5" x14ac:dyDescent="0.25">
      <c r="A31" s="69" t="s">
        <v>7</v>
      </c>
      <c r="B31" s="178">
        <v>0</v>
      </c>
      <c r="C31" s="556" t="s">
        <v>234</v>
      </c>
      <c r="D31" s="557"/>
      <c r="E31" s="557"/>
      <c r="F31" s="558"/>
      <c r="G31" s="298" t="s">
        <v>26</v>
      </c>
      <c r="H31" s="84" t="s">
        <v>29</v>
      </c>
      <c r="I31" s="155">
        <f t="shared" si="6"/>
        <v>0</v>
      </c>
      <c r="J31" s="155" t="e">
        <f t="shared" si="7"/>
        <v>#DIV/0!</v>
      </c>
      <c r="K31" s="162">
        <f t="shared" si="0"/>
        <v>0</v>
      </c>
      <c r="L31" s="167">
        <f t="shared" si="1"/>
        <v>0</v>
      </c>
      <c r="M31" s="164"/>
      <c r="N31" s="532"/>
      <c r="O31" s="533"/>
      <c r="P31" s="78"/>
      <c r="Q31" s="72"/>
      <c r="R31" s="155">
        <f t="shared" si="5"/>
        <v>0</v>
      </c>
      <c r="S31" s="162">
        <f t="shared" si="15"/>
        <v>0</v>
      </c>
      <c r="T31" s="167">
        <f t="shared" si="16"/>
        <v>0</v>
      </c>
      <c r="U31" s="209"/>
      <c r="V31" s="181">
        <f t="shared" si="3"/>
        <v>0</v>
      </c>
      <c r="W31" s="281"/>
      <c r="X31" s="269"/>
      <c r="Y31" s="127"/>
      <c r="Z31" s="127"/>
      <c r="AA31" s="127"/>
      <c r="AB31" s="127"/>
      <c r="AC31" s="127"/>
    </row>
    <row r="32" spans="1:29" s="90" customFormat="1" ht="15" customHeight="1" x14ac:dyDescent="0.25">
      <c r="A32" s="69" t="s">
        <v>7</v>
      </c>
      <c r="B32" s="86"/>
      <c r="C32" s="556" t="s">
        <v>253</v>
      </c>
      <c r="D32" s="557"/>
      <c r="E32" s="557"/>
      <c r="F32" s="558"/>
      <c r="G32" s="298" t="s">
        <v>25</v>
      </c>
      <c r="H32" s="88"/>
      <c r="I32" s="197">
        <v>0</v>
      </c>
      <c r="J32" s="155" t="e">
        <f>$J$15*I32</f>
        <v>#DIV/0!</v>
      </c>
      <c r="K32" s="162">
        <f>IF(A32="Y", I32*2%,0)</f>
        <v>0</v>
      </c>
      <c r="L32" s="167">
        <f>I32-K32</f>
        <v>0</v>
      </c>
      <c r="M32" s="165"/>
      <c r="N32" s="532"/>
      <c r="O32" s="533"/>
      <c r="P32" s="184"/>
      <c r="Q32" s="122"/>
      <c r="R32" s="155">
        <f>IF($R$49=0,,I32)</f>
        <v>0</v>
      </c>
      <c r="S32" s="162">
        <f>IF(A32="Y", R32*2%,)</f>
        <v>0</v>
      </c>
      <c r="T32" s="167">
        <f>R32-S32</f>
        <v>0</v>
      </c>
      <c r="U32" s="209"/>
      <c r="V32" s="181">
        <f>IF($V$15="BASE-UP   (B-A)", P32-L32,P32-T32)</f>
        <v>0</v>
      </c>
      <c r="W32" s="282"/>
      <c r="X32" s="276"/>
      <c r="Y32" s="143"/>
      <c r="Z32" s="143"/>
      <c r="AA32" s="143"/>
      <c r="AB32" s="143"/>
      <c r="AC32" s="143"/>
    </row>
    <row r="33" spans="1:29" s="74" customFormat="1" ht="15.5" customHeight="1" x14ac:dyDescent="0.25">
      <c r="A33" s="75" t="s">
        <v>7</v>
      </c>
      <c r="B33" s="345">
        <v>5</v>
      </c>
      <c r="C33" s="556" t="s">
        <v>312</v>
      </c>
      <c r="D33" s="557"/>
      <c r="E33" s="557"/>
      <c r="F33" s="558"/>
      <c r="G33" s="346" t="s">
        <v>25</v>
      </c>
      <c r="H33" s="84"/>
      <c r="I33" s="347">
        <f>$D$11*B33</f>
        <v>0</v>
      </c>
      <c r="J33" s="155"/>
      <c r="K33" s="348">
        <f>IF(A33="Y", I33*2%,0)</f>
        <v>0</v>
      </c>
      <c r="L33" s="309">
        <f>I33-K33</f>
        <v>0</v>
      </c>
      <c r="M33" s="164"/>
      <c r="N33" s="860"/>
      <c r="O33" s="861"/>
      <c r="P33" s="233"/>
      <c r="Q33" s="72"/>
      <c r="R33" s="347">
        <f>IF($R$49=0,,$R$15*I33)</f>
        <v>0</v>
      </c>
      <c r="S33" s="348">
        <f>IF(A33="Y", R33*2%,)</f>
        <v>0</v>
      </c>
      <c r="T33" s="309">
        <f>R33-S33</f>
        <v>0</v>
      </c>
      <c r="U33" s="209"/>
      <c r="V33" s="349">
        <f>IF($V$15="BASE-UP   (B-A)", P33-L33,P33-T33)</f>
        <v>0</v>
      </c>
      <c r="W33" s="350"/>
      <c r="X33" s="351"/>
      <c r="Y33" s="125"/>
      <c r="Z33" s="125"/>
      <c r="AA33" s="125"/>
      <c r="AB33" s="125"/>
      <c r="AC33" s="125"/>
    </row>
    <row r="34" spans="1:29" s="85" customFormat="1" ht="15.5" x14ac:dyDescent="0.25">
      <c r="A34" s="69" t="s">
        <v>6</v>
      </c>
      <c r="B34" s="75"/>
      <c r="C34" s="556" t="s">
        <v>177</v>
      </c>
      <c r="D34" s="557"/>
      <c r="E34" s="557"/>
      <c r="F34" s="558"/>
      <c r="G34" s="298" t="s">
        <v>25</v>
      </c>
      <c r="H34" s="84" t="s">
        <v>9</v>
      </c>
      <c r="I34" s="155">
        <f>$D$10*20%</f>
        <v>0</v>
      </c>
      <c r="J34" s="155" t="e">
        <f t="shared" si="7"/>
        <v>#DIV/0!</v>
      </c>
      <c r="K34" s="162">
        <f t="shared" si="0"/>
        <v>0</v>
      </c>
      <c r="L34" s="167">
        <f t="shared" si="1"/>
        <v>0</v>
      </c>
      <c r="M34" s="164"/>
      <c r="N34" s="532"/>
      <c r="O34" s="533"/>
      <c r="P34" s="78"/>
      <c r="Q34" s="72"/>
      <c r="R34" s="155">
        <f>IF($R$49=0,,$R$15*I34)</f>
        <v>0</v>
      </c>
      <c r="S34" s="162">
        <f t="shared" si="2"/>
        <v>0</v>
      </c>
      <c r="T34" s="167">
        <f t="shared" si="4"/>
        <v>0</v>
      </c>
      <c r="U34" s="209"/>
      <c r="V34" s="181">
        <f t="shared" si="3"/>
        <v>0</v>
      </c>
      <c r="W34" s="281"/>
      <c r="X34" s="269"/>
      <c r="Y34" s="127"/>
      <c r="Z34" s="127"/>
      <c r="AA34" s="127"/>
      <c r="AB34" s="127"/>
      <c r="AC34" s="127"/>
    </row>
    <row r="35" spans="1:29" s="90" customFormat="1" ht="15.5" x14ac:dyDescent="0.25">
      <c r="A35" s="69"/>
      <c r="B35" s="86"/>
      <c r="C35" s="560" t="s">
        <v>178</v>
      </c>
      <c r="D35" s="561"/>
      <c r="E35" s="561"/>
      <c r="F35" s="562"/>
      <c r="G35" s="299"/>
      <c r="H35" s="88"/>
      <c r="I35" s="157">
        <f>SUM(I16:I34)</f>
        <v>0</v>
      </c>
      <c r="J35" s="157">
        <f>J49-SUM(J36:J45)</f>
        <v>1940</v>
      </c>
      <c r="K35" s="162"/>
      <c r="L35" s="168">
        <f>SUM(L16:L34)</f>
        <v>0</v>
      </c>
      <c r="M35" s="165"/>
      <c r="N35" s="556"/>
      <c r="O35" s="559"/>
      <c r="P35" s="184">
        <f>SUM(P16:P34)</f>
        <v>0</v>
      </c>
      <c r="Q35" s="122"/>
      <c r="R35" s="157">
        <f>IF($R$49=0,,R49-SUM(R36:R45))</f>
        <v>0</v>
      </c>
      <c r="S35" s="162"/>
      <c r="T35" s="168">
        <f>SUM(T16:T34)</f>
        <v>0</v>
      </c>
      <c r="U35" s="210"/>
      <c r="V35" s="181">
        <f>SUM(V16:V34)</f>
        <v>0</v>
      </c>
      <c r="W35" s="281"/>
      <c r="X35" s="270"/>
      <c r="Y35" s="143"/>
      <c r="Z35" s="143"/>
      <c r="AA35" s="143"/>
      <c r="AB35" s="143"/>
      <c r="AC35" s="143"/>
    </row>
    <row r="36" spans="1:29" s="85" customFormat="1" ht="15.75" customHeight="1" x14ac:dyDescent="0.25">
      <c r="A36" s="69" t="s">
        <v>6</v>
      </c>
      <c r="B36" s="75"/>
      <c r="C36" s="556" t="s">
        <v>257</v>
      </c>
      <c r="D36" s="557"/>
      <c r="E36" s="557"/>
      <c r="F36" s="558"/>
      <c r="G36" s="298" t="s">
        <v>25</v>
      </c>
      <c r="H36" s="91" t="s">
        <v>32</v>
      </c>
      <c r="I36" s="197">
        <v>0</v>
      </c>
      <c r="J36" s="155">
        <f>I36</f>
        <v>0</v>
      </c>
      <c r="K36" s="162">
        <f t="shared" si="0"/>
        <v>0</v>
      </c>
      <c r="L36" s="167">
        <f t="shared" si="1"/>
        <v>0</v>
      </c>
      <c r="M36" s="164"/>
      <c r="N36" s="532"/>
      <c r="O36" s="533"/>
      <c r="P36" s="78"/>
      <c r="Q36" s="72"/>
      <c r="R36" s="155">
        <f t="shared" ref="R36:R46" si="17">IF($R$49=0,,I36)</f>
        <v>0</v>
      </c>
      <c r="S36" s="162">
        <f t="shared" ref="S36:S45" si="18">IF(A36="Y", R36*2%,)</f>
        <v>0</v>
      </c>
      <c r="T36" s="167">
        <f t="shared" si="4"/>
        <v>0</v>
      </c>
      <c r="U36" s="209"/>
      <c r="V36" s="181">
        <f t="shared" si="3"/>
        <v>0</v>
      </c>
      <c r="W36" s="282"/>
      <c r="X36" s="273"/>
      <c r="Y36" s="127"/>
      <c r="Z36" s="127"/>
      <c r="AA36" s="127"/>
      <c r="AB36" s="127"/>
      <c r="AC36" s="127"/>
    </row>
    <row r="37" spans="1:29" s="85" customFormat="1" ht="15.5" x14ac:dyDescent="0.25">
      <c r="A37" s="69" t="s">
        <v>6</v>
      </c>
      <c r="B37" s="75"/>
      <c r="C37" s="563" t="s">
        <v>216</v>
      </c>
      <c r="D37" s="564"/>
      <c r="E37" s="564"/>
      <c r="F37" s="565"/>
      <c r="G37" s="300" t="s">
        <v>25</v>
      </c>
      <c r="H37" s="92" t="s">
        <v>158</v>
      </c>
      <c r="I37" s="197">
        <v>0</v>
      </c>
      <c r="J37" s="155">
        <f t="shared" ref="J37:J46" si="19">I37</f>
        <v>0</v>
      </c>
      <c r="K37" s="162">
        <f t="shared" si="0"/>
        <v>0</v>
      </c>
      <c r="L37" s="167">
        <f t="shared" si="1"/>
        <v>0</v>
      </c>
      <c r="M37" s="164"/>
      <c r="N37" s="532"/>
      <c r="O37" s="533"/>
      <c r="P37" s="78"/>
      <c r="Q37" s="72"/>
      <c r="R37" s="155">
        <f t="shared" si="17"/>
        <v>0</v>
      </c>
      <c r="S37" s="162">
        <f t="shared" si="18"/>
        <v>0</v>
      </c>
      <c r="T37" s="167">
        <f t="shared" si="4"/>
        <v>0</v>
      </c>
      <c r="U37" s="209"/>
      <c r="V37" s="181">
        <f t="shared" si="3"/>
        <v>0</v>
      </c>
      <c r="W37" s="305"/>
      <c r="X37" s="268"/>
      <c r="Y37" s="127"/>
      <c r="Z37" s="127"/>
      <c r="AA37" s="127"/>
      <c r="AB37" s="127"/>
      <c r="AC37" s="127"/>
    </row>
    <row r="38" spans="1:29" s="74" customFormat="1" ht="15.5" x14ac:dyDescent="0.25">
      <c r="A38" s="69" t="s">
        <v>6</v>
      </c>
      <c r="B38" s="94"/>
      <c r="C38" s="563" t="s">
        <v>258</v>
      </c>
      <c r="D38" s="564"/>
      <c r="E38" s="564"/>
      <c r="F38" s="565"/>
      <c r="G38" s="300" t="s">
        <v>187</v>
      </c>
      <c r="H38" s="92" t="s">
        <v>18</v>
      </c>
      <c r="I38" s="197">
        <v>0</v>
      </c>
      <c r="J38" s="155">
        <f t="shared" si="19"/>
        <v>0</v>
      </c>
      <c r="K38" s="162">
        <f t="shared" si="0"/>
        <v>0</v>
      </c>
      <c r="L38" s="167">
        <f t="shared" si="1"/>
        <v>0</v>
      </c>
      <c r="M38" s="164"/>
      <c r="N38" s="532"/>
      <c r="O38" s="533"/>
      <c r="P38" s="78"/>
      <c r="Q38" s="72"/>
      <c r="R38" s="155">
        <f t="shared" si="17"/>
        <v>0</v>
      </c>
      <c r="S38" s="162">
        <f t="shared" si="18"/>
        <v>0</v>
      </c>
      <c r="T38" s="167">
        <f t="shared" si="4"/>
        <v>0</v>
      </c>
      <c r="U38" s="209"/>
      <c r="V38" s="181">
        <f t="shared" si="3"/>
        <v>0</v>
      </c>
      <c r="W38" s="281"/>
      <c r="X38" s="268"/>
      <c r="Y38" s="125"/>
      <c r="Z38" s="125"/>
      <c r="AA38" s="125"/>
      <c r="AB38" s="125"/>
      <c r="AC38" s="125"/>
    </row>
    <row r="39" spans="1:29" s="74" customFormat="1" ht="15.5" x14ac:dyDescent="0.25">
      <c r="A39" s="69" t="s">
        <v>6</v>
      </c>
      <c r="B39" s="94"/>
      <c r="C39" s="563" t="s">
        <v>232</v>
      </c>
      <c r="D39" s="564"/>
      <c r="E39" s="564"/>
      <c r="F39" s="565"/>
      <c r="G39" s="300" t="s">
        <v>26</v>
      </c>
      <c r="H39" s="92" t="s">
        <v>21</v>
      </c>
      <c r="I39" s="197">
        <v>0</v>
      </c>
      <c r="J39" s="155">
        <f t="shared" si="19"/>
        <v>0</v>
      </c>
      <c r="K39" s="162">
        <f t="shared" si="0"/>
        <v>0</v>
      </c>
      <c r="L39" s="167">
        <f t="shared" si="1"/>
        <v>0</v>
      </c>
      <c r="M39" s="164"/>
      <c r="N39" s="532"/>
      <c r="O39" s="533"/>
      <c r="P39" s="78"/>
      <c r="Q39" s="72"/>
      <c r="R39" s="155">
        <f t="shared" si="17"/>
        <v>0</v>
      </c>
      <c r="S39" s="162">
        <f t="shared" si="18"/>
        <v>0</v>
      </c>
      <c r="T39" s="167">
        <f t="shared" si="4"/>
        <v>0</v>
      </c>
      <c r="U39" s="209"/>
      <c r="V39" s="181">
        <f t="shared" si="3"/>
        <v>0</v>
      </c>
      <c r="W39" s="281"/>
      <c r="X39" s="268"/>
      <c r="Y39" s="125"/>
      <c r="Z39" s="125"/>
      <c r="AA39" s="125"/>
      <c r="AB39" s="125"/>
      <c r="AC39" s="125"/>
    </row>
    <row r="40" spans="1:29" s="74" customFormat="1" ht="15.5" x14ac:dyDescent="0.25">
      <c r="A40" s="69" t="s">
        <v>7</v>
      </c>
      <c r="B40" s="94"/>
      <c r="C40" s="563" t="s">
        <v>277</v>
      </c>
      <c r="D40" s="564"/>
      <c r="E40" s="564"/>
      <c r="F40" s="565"/>
      <c r="G40" s="300" t="s">
        <v>267</v>
      </c>
      <c r="H40" s="92"/>
      <c r="I40" s="197">
        <v>0</v>
      </c>
      <c r="J40" s="155"/>
      <c r="K40" s="162">
        <f t="shared" si="0"/>
        <v>0</v>
      </c>
      <c r="L40" s="167">
        <f t="shared" si="1"/>
        <v>0</v>
      </c>
      <c r="M40" s="164"/>
      <c r="N40" s="532"/>
      <c r="O40" s="533"/>
      <c r="P40" s="78"/>
      <c r="Q40" s="72"/>
      <c r="R40" s="155">
        <f t="shared" si="17"/>
        <v>0</v>
      </c>
      <c r="S40" s="162">
        <f>IF(A40="Y", R40*2%,)</f>
        <v>0</v>
      </c>
      <c r="T40" s="167">
        <f>R40-S40</f>
        <v>0</v>
      </c>
      <c r="U40" s="209"/>
      <c r="V40" s="181">
        <f>IF($V$15="BASE-UP   (B-A)", P40-L40,P40-T40)</f>
        <v>0</v>
      </c>
      <c r="W40" s="281"/>
      <c r="X40" s="268"/>
      <c r="Y40" s="125"/>
      <c r="Z40" s="125"/>
      <c r="AA40" s="125"/>
      <c r="AB40" s="125"/>
      <c r="AC40" s="125"/>
    </row>
    <row r="41" spans="1:29" s="74" customFormat="1" ht="15.5" x14ac:dyDescent="0.25">
      <c r="A41" s="69" t="s">
        <v>7</v>
      </c>
      <c r="B41" s="94"/>
      <c r="C41" s="563" t="s">
        <v>325</v>
      </c>
      <c r="D41" s="564"/>
      <c r="E41" s="564"/>
      <c r="F41" s="565"/>
      <c r="G41" s="300" t="s">
        <v>26</v>
      </c>
      <c r="H41" s="92" t="s">
        <v>13</v>
      </c>
      <c r="I41" s="197">
        <v>0</v>
      </c>
      <c r="J41" s="155">
        <f>I41</f>
        <v>0</v>
      </c>
      <c r="K41" s="162">
        <f>IF(A41="Y", I41*2%,0)</f>
        <v>0</v>
      </c>
      <c r="L41" s="167">
        <f>I41-K41</f>
        <v>0</v>
      </c>
      <c r="M41" s="164"/>
      <c r="N41" s="532"/>
      <c r="O41" s="533"/>
      <c r="P41" s="78"/>
      <c r="Q41" s="72"/>
      <c r="R41" s="155">
        <f t="shared" si="17"/>
        <v>0</v>
      </c>
      <c r="S41" s="162">
        <f>IF(A41="Y", R41*2%,)</f>
        <v>0</v>
      </c>
      <c r="T41" s="167">
        <f>R41-S41</f>
        <v>0</v>
      </c>
      <c r="U41" s="209"/>
      <c r="V41" s="181">
        <f>IF($V$15="BASE-UP   (B-A)", P41-L41,P41-T41)</f>
        <v>0</v>
      </c>
      <c r="W41" s="281"/>
      <c r="X41" s="272"/>
      <c r="Y41" s="125"/>
      <c r="Z41" s="125"/>
      <c r="AA41" s="125"/>
      <c r="AB41" s="125"/>
      <c r="AC41" s="125"/>
    </row>
    <row r="42" spans="1:29" s="74" customFormat="1" ht="15.5" x14ac:dyDescent="0.25">
      <c r="A42" s="69" t="s">
        <v>6</v>
      </c>
      <c r="B42" s="94"/>
      <c r="C42" s="563" t="s">
        <v>266</v>
      </c>
      <c r="D42" s="564"/>
      <c r="E42" s="564"/>
      <c r="F42" s="565"/>
      <c r="G42" s="300" t="s">
        <v>26</v>
      </c>
      <c r="H42" s="92"/>
      <c r="I42" s="197">
        <v>0</v>
      </c>
      <c r="J42" s="155">
        <f>I42</f>
        <v>0</v>
      </c>
      <c r="K42" s="162">
        <f t="shared" si="0"/>
        <v>0</v>
      </c>
      <c r="L42" s="167">
        <f t="shared" si="1"/>
        <v>0</v>
      </c>
      <c r="M42" s="164"/>
      <c r="N42" s="284"/>
      <c r="O42" s="285"/>
      <c r="P42" s="78"/>
      <c r="Q42" s="72"/>
      <c r="R42" s="155">
        <f t="shared" si="17"/>
        <v>0</v>
      </c>
      <c r="S42" s="162">
        <f t="shared" ref="S42:S43" si="20">IF(A42="Y", R42*2%,)</f>
        <v>0</v>
      </c>
      <c r="T42" s="167">
        <f t="shared" ref="T42:T43" si="21">R42-S42</f>
        <v>0</v>
      </c>
      <c r="U42" s="209"/>
      <c r="V42" s="181">
        <f>IF($V$15="BASE-UP   (B-A)", P42-L42,P42-T42)</f>
        <v>0</v>
      </c>
      <c r="W42" s="282"/>
      <c r="X42" s="277"/>
      <c r="Y42" s="125"/>
      <c r="Z42" s="125"/>
      <c r="AA42" s="125"/>
      <c r="AB42" s="125"/>
      <c r="AC42" s="125"/>
    </row>
    <row r="43" spans="1:29" s="74" customFormat="1" ht="15.5" x14ac:dyDescent="0.25">
      <c r="A43" s="69" t="s">
        <v>7</v>
      </c>
      <c r="B43" s="94"/>
      <c r="C43" s="563" t="s">
        <v>297</v>
      </c>
      <c r="D43" s="564"/>
      <c r="E43" s="564"/>
      <c r="F43" s="565"/>
      <c r="G43" s="300" t="s">
        <v>25</v>
      </c>
      <c r="H43" s="92" t="s">
        <v>11</v>
      </c>
      <c r="I43" s="197">
        <v>0</v>
      </c>
      <c r="J43" s="155">
        <f t="shared" si="19"/>
        <v>0</v>
      </c>
      <c r="K43" s="162">
        <f t="shared" si="0"/>
        <v>0</v>
      </c>
      <c r="L43" s="167">
        <f t="shared" si="1"/>
        <v>0</v>
      </c>
      <c r="M43" s="164"/>
      <c r="N43" s="532"/>
      <c r="O43" s="533"/>
      <c r="P43" s="78"/>
      <c r="Q43" s="72"/>
      <c r="R43" s="155">
        <f t="shared" si="17"/>
        <v>0</v>
      </c>
      <c r="S43" s="162">
        <f t="shared" si="20"/>
        <v>0</v>
      </c>
      <c r="T43" s="167">
        <f t="shared" si="21"/>
        <v>0</v>
      </c>
      <c r="U43" s="209"/>
      <c r="V43" s="181">
        <f t="shared" si="3"/>
        <v>0</v>
      </c>
      <c r="W43" s="305"/>
      <c r="X43" s="274"/>
      <c r="Y43" s="125"/>
      <c r="Z43" s="125"/>
      <c r="AA43" s="125"/>
      <c r="AB43" s="125"/>
      <c r="AC43" s="125"/>
    </row>
    <row r="44" spans="1:29" s="74" customFormat="1" ht="15.5" x14ac:dyDescent="0.25">
      <c r="A44" s="69" t="s">
        <v>6</v>
      </c>
      <c r="B44" s="94"/>
      <c r="C44" s="563" t="s">
        <v>268</v>
      </c>
      <c r="D44" s="564"/>
      <c r="E44" s="564"/>
      <c r="F44" s="565"/>
      <c r="G44" s="300" t="s">
        <v>26</v>
      </c>
      <c r="H44" s="92" t="s">
        <v>21</v>
      </c>
      <c r="I44" s="197">
        <v>0</v>
      </c>
      <c r="J44" s="155">
        <f t="shared" si="19"/>
        <v>0</v>
      </c>
      <c r="K44" s="162">
        <f t="shared" si="0"/>
        <v>0</v>
      </c>
      <c r="L44" s="167">
        <f t="shared" si="1"/>
        <v>0</v>
      </c>
      <c r="M44" s="164"/>
      <c r="N44" s="532"/>
      <c r="O44" s="533"/>
      <c r="P44" s="78"/>
      <c r="Q44" s="72"/>
      <c r="R44" s="155">
        <f t="shared" si="17"/>
        <v>0</v>
      </c>
      <c r="S44" s="162">
        <f t="shared" si="18"/>
        <v>0</v>
      </c>
      <c r="T44" s="167">
        <f t="shared" si="4"/>
        <v>0</v>
      </c>
      <c r="U44" s="209"/>
      <c r="V44" s="181">
        <f t="shared" si="3"/>
        <v>0</v>
      </c>
      <c r="W44" s="281"/>
      <c r="X44" s="268"/>
      <c r="Y44" s="125"/>
      <c r="Z44" s="125"/>
      <c r="AA44" s="125"/>
      <c r="AB44" s="125"/>
      <c r="AC44" s="125"/>
    </row>
    <row r="45" spans="1:29" s="74" customFormat="1" ht="31" customHeight="1" x14ac:dyDescent="0.25">
      <c r="A45" s="69" t="s">
        <v>6</v>
      </c>
      <c r="B45" s="94"/>
      <c r="C45" s="556" t="s">
        <v>293</v>
      </c>
      <c r="D45" s="557"/>
      <c r="E45" s="557"/>
      <c r="F45" s="558"/>
      <c r="G45" s="300" t="s">
        <v>187</v>
      </c>
      <c r="H45" s="92" t="s">
        <v>68</v>
      </c>
      <c r="I45" s="197">
        <v>0</v>
      </c>
      <c r="J45" s="155">
        <f t="shared" si="19"/>
        <v>0</v>
      </c>
      <c r="K45" s="162">
        <f t="shared" si="0"/>
        <v>0</v>
      </c>
      <c r="L45" s="167">
        <f t="shared" si="1"/>
        <v>0</v>
      </c>
      <c r="M45" s="164"/>
      <c r="N45" s="532"/>
      <c r="O45" s="533"/>
      <c r="P45" s="78"/>
      <c r="Q45" s="72"/>
      <c r="R45" s="155">
        <f t="shared" si="17"/>
        <v>0</v>
      </c>
      <c r="S45" s="162">
        <f t="shared" si="18"/>
        <v>0</v>
      </c>
      <c r="T45" s="167">
        <f t="shared" si="4"/>
        <v>0</v>
      </c>
      <c r="U45" s="209"/>
      <c r="V45" s="181">
        <f t="shared" si="3"/>
        <v>0</v>
      </c>
      <c r="W45" s="281"/>
      <c r="X45" s="268"/>
      <c r="Y45" s="125"/>
      <c r="Z45" s="125"/>
      <c r="AA45" s="125"/>
      <c r="AB45" s="125"/>
      <c r="AC45" s="125"/>
    </row>
    <row r="46" spans="1:29" s="74" customFormat="1" ht="15.5" x14ac:dyDescent="0.25">
      <c r="A46" s="69" t="s">
        <v>6</v>
      </c>
      <c r="B46" s="94"/>
      <c r="C46" s="563" t="s">
        <v>182</v>
      </c>
      <c r="D46" s="564"/>
      <c r="E46" s="564"/>
      <c r="F46" s="565"/>
      <c r="G46" s="300" t="s">
        <v>25</v>
      </c>
      <c r="H46" s="92"/>
      <c r="I46" s="198">
        <v>0</v>
      </c>
      <c r="J46" s="155">
        <f t="shared" si="19"/>
        <v>0</v>
      </c>
      <c r="K46" s="162">
        <f>IF(A47="Y", I46*2%,0)</f>
        <v>0</v>
      </c>
      <c r="L46" s="167">
        <f t="shared" ref="L46" si="22">I46-K46</f>
        <v>0</v>
      </c>
      <c r="M46" s="164"/>
      <c r="N46" s="532"/>
      <c r="O46" s="533"/>
      <c r="P46" s="78"/>
      <c r="Q46" s="72"/>
      <c r="R46" s="155">
        <f t="shared" si="17"/>
        <v>0</v>
      </c>
      <c r="S46" s="162">
        <f>IF(A47="Y", R46*2%,)</f>
        <v>0</v>
      </c>
      <c r="T46" s="167">
        <f t="shared" ref="T46" si="23">R46-S46</f>
        <v>0</v>
      </c>
      <c r="U46" s="209"/>
      <c r="V46" s="181">
        <f t="shared" si="3"/>
        <v>0</v>
      </c>
      <c r="W46" s="281"/>
      <c r="X46" s="268"/>
      <c r="Y46" s="125"/>
      <c r="Z46" s="125"/>
      <c r="AA46" s="125"/>
      <c r="AB46" s="125"/>
      <c r="AC46" s="125"/>
    </row>
    <row r="47" spans="1:29" s="74" customFormat="1" ht="31.5" customHeight="1" x14ac:dyDescent="0.25">
      <c r="A47" s="93" t="s">
        <v>6</v>
      </c>
      <c r="B47" s="94"/>
      <c r="C47" s="532" t="s">
        <v>272</v>
      </c>
      <c r="D47" s="567"/>
      <c r="E47" s="567"/>
      <c r="F47" s="568"/>
      <c r="G47" s="301" t="s">
        <v>25</v>
      </c>
      <c r="H47" s="96" t="s">
        <v>34</v>
      </c>
      <c r="I47" s="97"/>
      <c r="J47" s="104"/>
      <c r="K47" s="163"/>
      <c r="L47" s="169">
        <f>K48</f>
        <v>0</v>
      </c>
      <c r="M47" s="164"/>
      <c r="N47" s="532"/>
      <c r="O47" s="533"/>
      <c r="P47" s="78"/>
      <c r="Q47" s="72"/>
      <c r="R47" s="104"/>
      <c r="S47" s="163"/>
      <c r="T47" s="169">
        <f>S48</f>
        <v>0</v>
      </c>
      <c r="U47" s="211"/>
      <c r="V47" s="181">
        <f t="shared" si="3"/>
        <v>0</v>
      </c>
      <c r="W47" s="281"/>
      <c r="X47" s="271"/>
      <c r="Y47" s="125"/>
      <c r="Z47" s="125"/>
      <c r="AA47" s="125"/>
      <c r="AB47" s="125"/>
      <c r="AC47" s="125"/>
    </row>
    <row r="48" spans="1:29" s="125" customFormat="1" ht="14.5" x14ac:dyDescent="0.25">
      <c r="A48" s="123"/>
      <c r="B48" s="123"/>
      <c r="C48" s="123"/>
      <c r="D48" s="123"/>
      <c r="E48" s="124"/>
      <c r="F48" s="124"/>
      <c r="K48" s="126">
        <f>SUM(K16:K47)</f>
        <v>0</v>
      </c>
      <c r="L48" s="170"/>
      <c r="M48" s="127"/>
      <c r="P48" s="128"/>
      <c r="Q48" s="129"/>
      <c r="S48" s="126">
        <f>SUM(S16:S47)</f>
        <v>0</v>
      </c>
      <c r="T48" s="170"/>
      <c r="U48" s="212"/>
      <c r="V48" s="180"/>
      <c r="W48" s="180"/>
      <c r="X48" s="130"/>
    </row>
    <row r="49" spans="1:24" s="106" customFormat="1" ht="16" thickBot="1" x14ac:dyDescent="0.3">
      <c r="A49" s="144"/>
      <c r="B49" s="144"/>
      <c r="C49" s="144"/>
      <c r="D49" s="144"/>
      <c r="E49" s="131"/>
      <c r="F49" s="145" t="s">
        <v>67</v>
      </c>
      <c r="G49" s="146"/>
      <c r="H49" s="147" t="s">
        <v>1</v>
      </c>
      <c r="I49" s="148">
        <f>SUM(I35:I48)</f>
        <v>0</v>
      </c>
      <c r="J49" s="199">
        <v>1940</v>
      </c>
      <c r="K49" s="149"/>
      <c r="L49" s="171">
        <f>SUM(L35:L48)</f>
        <v>0</v>
      </c>
      <c r="M49" s="150"/>
      <c r="N49" s="144" t="s">
        <v>1</v>
      </c>
      <c r="O49" s="144"/>
      <c r="P49" s="151">
        <f>SUM(P35:P48)</f>
        <v>0</v>
      </c>
      <c r="Q49" s="150"/>
      <c r="R49" s="199"/>
      <c r="S49" s="149"/>
      <c r="T49" s="171">
        <f>SUM(T35:T48)</f>
        <v>0</v>
      </c>
      <c r="U49" s="213"/>
      <c r="V49" s="193">
        <f>SUM(V35:V48)</f>
        <v>0</v>
      </c>
      <c r="W49" s="278"/>
      <c r="X49" s="152"/>
    </row>
    <row r="50" spans="1:24" s="106" customFormat="1" ht="16" thickTop="1" x14ac:dyDescent="0.25">
      <c r="A50" s="144"/>
      <c r="B50" s="144"/>
      <c r="C50" s="144"/>
      <c r="D50" s="144"/>
      <c r="E50" s="131"/>
      <c r="F50" s="145"/>
      <c r="G50" s="146"/>
      <c r="H50" s="147"/>
      <c r="I50" s="149"/>
      <c r="J50" s="366"/>
      <c r="K50" s="149"/>
      <c r="L50" s="149"/>
      <c r="M50" s="150"/>
      <c r="N50" s="144"/>
      <c r="O50" s="144"/>
      <c r="P50" s="149"/>
      <c r="Q50" s="150"/>
      <c r="R50" s="342"/>
      <c r="S50" s="149"/>
      <c r="T50" s="149"/>
      <c r="U50" s="149"/>
      <c r="V50" s="278"/>
      <c r="W50" s="278"/>
      <c r="X50" s="152"/>
    </row>
    <row r="51" spans="1:24" s="54" customFormat="1" ht="15.75" customHeight="1" x14ac:dyDescent="0.25">
      <c r="A51" s="654" t="s">
        <v>54</v>
      </c>
      <c r="B51" s="654"/>
      <c r="C51" s="654"/>
      <c r="D51" s="202"/>
      <c r="E51" s="133"/>
      <c r="F51" s="133"/>
      <c r="J51" s="134"/>
      <c r="L51" s="135"/>
      <c r="M51" s="136"/>
      <c r="Q51" s="137"/>
      <c r="R51" s="137"/>
      <c r="S51" s="137"/>
      <c r="T51" s="137"/>
      <c r="U51" s="137"/>
      <c r="V51" s="138"/>
      <c r="W51" s="138"/>
      <c r="X51" s="139"/>
    </row>
    <row r="52" spans="1:24" s="141" customFormat="1" ht="18" customHeight="1" x14ac:dyDescent="0.25">
      <c r="A52" s="308">
        <v>1</v>
      </c>
      <c r="B52" s="862"/>
      <c r="C52" s="863"/>
      <c r="D52" s="863"/>
      <c r="E52" s="863"/>
      <c r="F52" s="863"/>
      <c r="G52" s="863"/>
      <c r="H52" s="863"/>
      <c r="I52" s="863"/>
      <c r="J52" s="863"/>
      <c r="K52" s="863"/>
      <c r="L52" s="863"/>
      <c r="M52" s="863"/>
      <c r="N52" s="863"/>
      <c r="O52" s="863"/>
      <c r="P52" s="863"/>
      <c r="Q52" s="863"/>
      <c r="R52" s="863"/>
      <c r="S52" s="863"/>
      <c r="T52" s="863"/>
      <c r="U52" s="863"/>
      <c r="V52" s="863"/>
      <c r="W52" s="863"/>
      <c r="X52" s="864"/>
    </row>
    <row r="53" spans="1:24" s="141" customFormat="1" ht="18" customHeight="1" x14ac:dyDescent="0.25">
      <c r="A53" s="308">
        <v>2</v>
      </c>
      <c r="B53" s="862"/>
      <c r="C53" s="863"/>
      <c r="D53" s="863"/>
      <c r="E53" s="863"/>
      <c r="F53" s="863"/>
      <c r="G53" s="863"/>
      <c r="H53" s="863"/>
      <c r="I53" s="863"/>
      <c r="J53" s="863"/>
      <c r="K53" s="863"/>
      <c r="L53" s="863"/>
      <c r="M53" s="863"/>
      <c r="N53" s="863"/>
      <c r="O53" s="863"/>
      <c r="P53" s="863"/>
      <c r="Q53" s="863"/>
      <c r="R53" s="863"/>
      <c r="S53" s="863"/>
      <c r="T53" s="863"/>
      <c r="U53" s="863"/>
      <c r="V53" s="863"/>
      <c r="W53" s="863"/>
      <c r="X53" s="864"/>
    </row>
    <row r="54" spans="1:24" s="141" customFormat="1" ht="18" customHeight="1" x14ac:dyDescent="0.25">
      <c r="A54" s="308">
        <v>3</v>
      </c>
      <c r="B54" s="862"/>
      <c r="C54" s="863"/>
      <c r="D54" s="863"/>
      <c r="E54" s="863"/>
      <c r="F54" s="863"/>
      <c r="G54" s="863"/>
      <c r="H54" s="863"/>
      <c r="I54" s="863"/>
      <c r="J54" s="863"/>
      <c r="K54" s="863"/>
      <c r="L54" s="863"/>
      <c r="M54" s="863"/>
      <c r="N54" s="863"/>
      <c r="O54" s="863"/>
      <c r="P54" s="863"/>
      <c r="Q54" s="863"/>
      <c r="R54" s="863"/>
      <c r="S54" s="863"/>
      <c r="T54" s="863"/>
      <c r="U54" s="863"/>
      <c r="V54" s="863"/>
      <c r="W54" s="863"/>
      <c r="X54" s="864"/>
    </row>
    <row r="55" spans="1:24" s="54" customFormat="1" ht="18" customHeight="1" x14ac:dyDescent="0.25">
      <c r="A55" s="308">
        <v>4</v>
      </c>
      <c r="B55" s="862"/>
      <c r="C55" s="863"/>
      <c r="D55" s="863"/>
      <c r="E55" s="863"/>
      <c r="F55" s="863"/>
      <c r="G55" s="863"/>
      <c r="H55" s="863"/>
      <c r="I55" s="863"/>
      <c r="J55" s="863"/>
      <c r="K55" s="863"/>
      <c r="L55" s="863"/>
      <c r="M55" s="863"/>
      <c r="N55" s="863"/>
      <c r="O55" s="863"/>
      <c r="P55" s="863"/>
      <c r="Q55" s="863"/>
      <c r="R55" s="863"/>
      <c r="S55" s="863"/>
      <c r="T55" s="863"/>
      <c r="U55" s="863"/>
      <c r="V55" s="863"/>
      <c r="W55" s="863"/>
      <c r="X55" s="864"/>
    </row>
  </sheetData>
  <sheetProtection insertRows="0"/>
  <mergeCells count="130">
    <mergeCell ref="B55:X55"/>
    <mergeCell ref="C47:F47"/>
    <mergeCell ref="N47:O47"/>
    <mergeCell ref="A51:C51"/>
    <mergeCell ref="B52:X52"/>
    <mergeCell ref="B53:X53"/>
    <mergeCell ref="B54:X54"/>
    <mergeCell ref="C44:F44"/>
    <mergeCell ref="N44:O44"/>
    <mergeCell ref="C45:F45"/>
    <mergeCell ref="N45:O45"/>
    <mergeCell ref="C46:F46"/>
    <mergeCell ref="N46:O46"/>
    <mergeCell ref="C40:F40"/>
    <mergeCell ref="N40:O40"/>
    <mergeCell ref="C42:F42"/>
    <mergeCell ref="C43:F43"/>
    <mergeCell ref="N43:O43"/>
    <mergeCell ref="C37:F37"/>
    <mergeCell ref="N37:O37"/>
    <mergeCell ref="C38:F38"/>
    <mergeCell ref="N38:O38"/>
    <mergeCell ref="C41:F41"/>
    <mergeCell ref="N41:O41"/>
    <mergeCell ref="C34:F34"/>
    <mergeCell ref="N34:O34"/>
    <mergeCell ref="C35:F35"/>
    <mergeCell ref="N35:O35"/>
    <mergeCell ref="C36:F36"/>
    <mergeCell ref="N36:O36"/>
    <mergeCell ref="C32:F32"/>
    <mergeCell ref="N32:O32"/>
    <mergeCell ref="C39:F39"/>
    <mergeCell ref="N39:O39"/>
    <mergeCell ref="C33:F33"/>
    <mergeCell ref="N33:O33"/>
    <mergeCell ref="N28:O28"/>
    <mergeCell ref="C29:D29"/>
    <mergeCell ref="N29:O29"/>
    <mergeCell ref="C30:D30"/>
    <mergeCell ref="N30:O30"/>
    <mergeCell ref="C31:F31"/>
    <mergeCell ref="N31:O31"/>
    <mergeCell ref="C23:F23"/>
    <mergeCell ref="N23:O23"/>
    <mergeCell ref="C25:F25"/>
    <mergeCell ref="N25:O25"/>
    <mergeCell ref="C26:D26"/>
    <mergeCell ref="E26:F30"/>
    <mergeCell ref="N26:O26"/>
    <mergeCell ref="C27:D27"/>
    <mergeCell ref="N27:O27"/>
    <mergeCell ref="C28:D28"/>
    <mergeCell ref="C24:F24"/>
    <mergeCell ref="N24:O24"/>
    <mergeCell ref="C20:F20"/>
    <mergeCell ref="N20:O20"/>
    <mergeCell ref="C21:F21"/>
    <mergeCell ref="N21:O21"/>
    <mergeCell ref="C22:F22"/>
    <mergeCell ref="N22:O22"/>
    <mergeCell ref="B16:B20"/>
    <mergeCell ref="C16:F16"/>
    <mergeCell ref="N16:O16"/>
    <mergeCell ref="C17:F17"/>
    <mergeCell ref="N17:O17"/>
    <mergeCell ref="C18:F18"/>
    <mergeCell ref="N18:O18"/>
    <mergeCell ref="C19:F19"/>
    <mergeCell ref="N19:O19"/>
    <mergeCell ref="C14:F15"/>
    <mergeCell ref="K14:K15"/>
    <mergeCell ref="N14:O14"/>
    <mergeCell ref="S14:S15"/>
    <mergeCell ref="W14:W15"/>
    <mergeCell ref="X14:X15"/>
    <mergeCell ref="N15:O15"/>
    <mergeCell ref="A11:C11"/>
    <mergeCell ref="D11:E11"/>
    <mergeCell ref="F11:G11"/>
    <mergeCell ref="I11:M11"/>
    <mergeCell ref="R11:X11"/>
    <mergeCell ref="I13:L13"/>
    <mergeCell ref="N13:P13"/>
    <mergeCell ref="R13:T13"/>
    <mergeCell ref="N11:O11"/>
    <mergeCell ref="A10:C10"/>
    <mergeCell ref="D10:E10"/>
    <mergeCell ref="F10:G10"/>
    <mergeCell ref="I10:M10"/>
    <mergeCell ref="N10:O10"/>
    <mergeCell ref="R10:X10"/>
    <mergeCell ref="R8:X9"/>
    <mergeCell ref="A9:C9"/>
    <mergeCell ref="D9:E9"/>
    <mergeCell ref="F9:G9"/>
    <mergeCell ref="I9:M9"/>
    <mergeCell ref="N9:O9"/>
    <mergeCell ref="A7:C7"/>
    <mergeCell ref="D7:E7"/>
    <mergeCell ref="F7:G7"/>
    <mergeCell ref="I7:M7"/>
    <mergeCell ref="R7:X7"/>
    <mergeCell ref="A8:C8"/>
    <mergeCell ref="D8:E8"/>
    <mergeCell ref="F8:G8"/>
    <mergeCell ref="I8:M8"/>
    <mergeCell ref="N8:O8"/>
    <mergeCell ref="A1:L1"/>
    <mergeCell ref="R3:X3"/>
    <mergeCell ref="A4:C4"/>
    <mergeCell ref="D4:E4"/>
    <mergeCell ref="F4:G4"/>
    <mergeCell ref="I4:M4"/>
    <mergeCell ref="N4:O4"/>
    <mergeCell ref="R4:X4"/>
    <mergeCell ref="M1:V1"/>
    <mergeCell ref="A3:P3"/>
    <mergeCell ref="A6:C6"/>
    <mergeCell ref="D6:E6"/>
    <mergeCell ref="F6:G6"/>
    <mergeCell ref="I6:M6"/>
    <mergeCell ref="N6:O6"/>
    <mergeCell ref="R6:X6"/>
    <mergeCell ref="A5:C5"/>
    <mergeCell ref="D5:E5"/>
    <mergeCell ref="F5:G5"/>
    <mergeCell ref="I5:M5"/>
    <mergeCell ref="N5:O5"/>
    <mergeCell ref="R5:X5"/>
  </mergeCells>
  <conditionalFormatting sqref="R16:T47">
    <cfRule type="cellIs" dxfId="8" priority="14" stopIfTrue="1" operator="equal">
      <formula>0</formula>
    </cfRule>
  </conditionalFormatting>
  <conditionalFormatting sqref="H31 H16:H25 H33:H34">
    <cfRule type="expression" dxfId="7" priority="13" stopIfTrue="1">
      <formula>MOD(ROW(),2)=0</formula>
    </cfRule>
  </conditionalFormatting>
  <conditionalFormatting sqref="V51:W51 V56:W65535 V12:W13">
    <cfRule type="cellIs" dxfId="6" priority="12" stopIfTrue="1" operator="notEqual">
      <formula>0</formula>
    </cfRule>
  </conditionalFormatting>
  <conditionalFormatting sqref="H26:H31">
    <cfRule type="expression" dxfId="5" priority="11" stopIfTrue="1">
      <formula>MOD(ROW(), 2)=0</formula>
    </cfRule>
  </conditionalFormatting>
  <conditionalFormatting sqref="I16:I18">
    <cfRule type="cellIs" dxfId="4" priority="10" stopIfTrue="1" operator="equal">
      <formula>0</formula>
    </cfRule>
  </conditionalFormatting>
  <conditionalFormatting sqref="E26">
    <cfRule type="cellIs" dxfId="3" priority="9" operator="notEqual">
      <formula>"GC 76000 PA ($" &amp;P11&amp;" for every 10) breakdown = local Board of Supervisor resolution (BOS)."</formula>
    </cfRule>
  </conditionalFormatting>
  <conditionalFormatting sqref="N16:P47">
    <cfRule type="expression" dxfId="2" priority="8">
      <formula>MOD(ROW(),2)=0</formula>
    </cfRule>
  </conditionalFormatting>
  <conditionalFormatting sqref="I19:I31 I33:I35 K16:L47">
    <cfRule type="cellIs" dxfId="1" priority="7" operator="equal">
      <formula>0</formula>
    </cfRule>
  </conditionalFormatting>
  <conditionalFormatting sqref="W16:W47">
    <cfRule type="cellIs" dxfId="0" priority="6" operator="greaterThan">
      <formula>0</formula>
    </cfRule>
  </conditionalFormatting>
  <dataValidations count="1">
    <dataValidation type="list" allowBlank="1" showInputMessage="1" showErrorMessage="1" sqref="V15" xr:uid="{00000000-0002-0000-1000-000000000000}">
      <formula1>Distribution_Method</formula1>
    </dataValidation>
  </dataValidations>
  <printOptions horizontalCentered="1"/>
  <pageMargins left="0.25" right="0.25" top="0.75" bottom="0.5" header="0.25" footer="0.25"/>
  <pageSetup scale="54" orientation="landscape" cellComments="asDisplayed" r:id="rId1"/>
  <headerFooter alignWithMargins="0">
    <oddHeader>&amp;CSUPERIOR OF COURT OF _________ COUNTY
Revenue Calculation and Distribution Worksheet</oddHeader>
    <oddFooter>&amp;L&amp;F&amp;R&amp;P of &amp;N</oddFooter>
  </headerFooter>
  <ignoredErrors>
    <ignoredError sqref="L35 R32 T35 V35" formula="1"/>
    <ignoredError sqref="E26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5874" r:id="rId4" name="Button 2">
              <controlPr defaultSize="0" print="0" autoFill="0" autoPict="0" macro="[0]!mcrDisableTwoPercentUnprotect">
                <anchor moveWithCells="1">
                  <from>
                    <xdr:col>0</xdr:col>
                    <xdr:colOff>12700</xdr:colOff>
                    <xdr:row>13</xdr:row>
                    <xdr:rowOff>527050</xdr:rowOff>
                  </from>
                  <to>
                    <xdr:col>0</xdr:col>
                    <xdr:colOff>279400</xdr:colOff>
                    <xdr:row>14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75" r:id="rId5" name="Button 3">
              <controlPr defaultSize="0" print="0" autoFill="0" autoPict="0" macro="[0]!mcrEnableTwoPercentUnprotect">
                <anchor moveWithCells="1">
                  <from>
                    <xdr:col>0</xdr:col>
                    <xdr:colOff>0</xdr:colOff>
                    <xdr:row>13</xdr:row>
                    <xdr:rowOff>222250</xdr:rowOff>
                  </from>
                  <to>
                    <xdr:col>0</xdr:col>
                    <xdr:colOff>266700</xdr:colOff>
                    <xdr:row>13</xdr:row>
                    <xdr:rowOff>552450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C00000"/>
  </sheetPr>
  <dimension ref="A1:H19"/>
  <sheetViews>
    <sheetView workbookViewId="0">
      <selection activeCell="N29" sqref="N29:O29"/>
    </sheetView>
  </sheetViews>
  <sheetFormatPr defaultColWidth="9.1796875" defaultRowHeight="12.5" x14ac:dyDescent="0.25"/>
  <cols>
    <col min="1" max="1" width="27.54296875" style="3" customWidth="1"/>
    <col min="2" max="2" width="11.7265625" style="3" customWidth="1"/>
    <col min="3" max="3" width="14.7265625" style="3" customWidth="1"/>
    <col min="4" max="4" width="20.54296875" style="3" customWidth="1"/>
    <col min="5" max="5" width="45.81640625" style="3" customWidth="1"/>
    <col min="6" max="6" width="18.54296875" style="3" bestFit="1" customWidth="1"/>
    <col min="7" max="16384" width="9.1796875" style="3"/>
  </cols>
  <sheetData>
    <row r="1" spans="1:8" s="43" customFormat="1" ht="18" x14ac:dyDescent="0.25">
      <c r="A1" s="43" t="s">
        <v>159</v>
      </c>
    </row>
    <row r="2" spans="1:8" ht="13" thickBot="1" x14ac:dyDescent="0.3">
      <c r="A2" s="40" t="s">
        <v>152</v>
      </c>
    </row>
    <row r="3" spans="1:8" ht="15" customHeight="1" x14ac:dyDescent="0.25">
      <c r="A3" s="40"/>
      <c r="F3" s="509" t="s">
        <v>249</v>
      </c>
      <c r="G3" s="510"/>
      <c r="H3" s="511"/>
    </row>
    <row r="4" spans="1:8" s="2" customFormat="1" ht="26" x14ac:dyDescent="0.25">
      <c r="A4" s="42" t="s">
        <v>135</v>
      </c>
      <c r="B4" s="42" t="s">
        <v>8</v>
      </c>
      <c r="C4" s="42" t="s">
        <v>138</v>
      </c>
      <c r="D4" s="42" t="s">
        <v>139</v>
      </c>
      <c r="E4" s="262" t="s">
        <v>167</v>
      </c>
      <c r="F4" s="512"/>
      <c r="G4" s="513"/>
      <c r="H4" s="514"/>
    </row>
    <row r="5" spans="1:8" s="1" customFormat="1" ht="25" x14ac:dyDescent="0.25">
      <c r="A5" s="41" t="s">
        <v>134</v>
      </c>
      <c r="B5" s="41" t="s">
        <v>136</v>
      </c>
      <c r="C5" s="41" t="s">
        <v>250</v>
      </c>
      <c r="D5" s="41" t="s">
        <v>140</v>
      </c>
      <c r="E5" s="263" t="s">
        <v>142</v>
      </c>
      <c r="F5" s="512"/>
      <c r="G5" s="513"/>
      <c r="H5" s="514"/>
    </row>
    <row r="6" spans="1:8" s="1" customFormat="1" ht="25.5" thickBot="1" x14ac:dyDescent="0.3">
      <c r="A6" s="41" t="s">
        <v>143</v>
      </c>
      <c r="B6" s="41" t="s">
        <v>144</v>
      </c>
      <c r="C6" s="41" t="s">
        <v>145</v>
      </c>
      <c r="D6" s="41" t="s">
        <v>154</v>
      </c>
      <c r="E6" s="264" t="s">
        <v>168</v>
      </c>
      <c r="F6" s="515"/>
      <c r="G6" s="516"/>
      <c r="H6" s="517"/>
    </row>
    <row r="7" spans="1:8" s="1" customFormat="1" ht="25" x14ac:dyDescent="0.25">
      <c r="A7" s="41" t="s">
        <v>146</v>
      </c>
      <c r="B7" s="41" t="s">
        <v>52</v>
      </c>
      <c r="C7" s="41" t="s">
        <v>137</v>
      </c>
      <c r="D7" s="41" t="s">
        <v>147</v>
      </c>
      <c r="E7" s="41" t="s">
        <v>148</v>
      </c>
    </row>
    <row r="8" spans="1:8" s="1" customFormat="1" ht="25" x14ac:dyDescent="0.25">
      <c r="A8" s="41" t="s">
        <v>58</v>
      </c>
      <c r="B8" s="41" t="s">
        <v>59</v>
      </c>
      <c r="C8" s="41" t="s">
        <v>149</v>
      </c>
      <c r="D8" s="41" t="s">
        <v>150</v>
      </c>
      <c r="E8" s="41" t="s">
        <v>151</v>
      </c>
    </row>
    <row r="9" spans="1:8" s="1" customFormat="1" x14ac:dyDescent="0.25">
      <c r="A9" s="45"/>
      <c r="B9" s="45"/>
      <c r="C9" s="45"/>
      <c r="D9" s="45"/>
      <c r="E9" s="45"/>
    </row>
    <row r="10" spans="1:8" s="43" customFormat="1" ht="18" x14ac:dyDescent="0.25">
      <c r="A10" s="43" t="s">
        <v>161</v>
      </c>
    </row>
    <row r="11" spans="1:8" s="5" customFormat="1" x14ac:dyDescent="0.25">
      <c r="A11" s="45"/>
      <c r="B11" s="45"/>
      <c r="C11" s="45"/>
      <c r="D11" s="45"/>
      <c r="E11" s="45"/>
    </row>
    <row r="12" spans="1:8" s="5" customFormat="1" ht="26" x14ac:dyDescent="0.25">
      <c r="A12" s="42" t="s">
        <v>135</v>
      </c>
      <c r="B12" s="42" t="s">
        <v>8</v>
      </c>
      <c r="C12" s="42" t="s">
        <v>138</v>
      </c>
      <c r="D12" s="42" t="s">
        <v>139</v>
      </c>
      <c r="E12" s="42" t="s">
        <v>165</v>
      </c>
      <c r="F12" s="49"/>
    </row>
    <row r="13" spans="1:8" ht="62.5" x14ac:dyDescent="0.25">
      <c r="A13" s="44" t="s">
        <v>162</v>
      </c>
      <c r="B13" s="44" t="s">
        <v>65</v>
      </c>
      <c r="C13" s="47" t="s">
        <v>164</v>
      </c>
      <c r="D13" s="44" t="s">
        <v>163</v>
      </c>
      <c r="E13" s="47" t="s">
        <v>166</v>
      </c>
      <c r="F13" s="48"/>
    </row>
    <row r="14" spans="1:8" s="1" customFormat="1" x14ac:dyDescent="0.25">
      <c r="A14" s="45"/>
      <c r="B14" s="45"/>
      <c r="C14" s="45"/>
      <c r="D14" s="45"/>
      <c r="E14" s="45"/>
    </row>
    <row r="15" spans="1:8" s="43" customFormat="1" ht="18" x14ac:dyDescent="0.25">
      <c r="A15" s="43" t="s">
        <v>160</v>
      </c>
    </row>
    <row r="16" spans="1:8" s="5" customFormat="1" ht="13" x14ac:dyDescent="0.25">
      <c r="A16" s="46" t="s">
        <v>156</v>
      </c>
      <c r="B16" s="45"/>
      <c r="C16" s="45"/>
      <c r="D16" s="45"/>
      <c r="E16" s="45"/>
    </row>
    <row r="17" spans="1:6" s="5" customFormat="1" x14ac:dyDescent="0.25">
      <c r="A17" s="45"/>
      <c r="B17" s="45"/>
      <c r="C17" s="45"/>
      <c r="D17" s="45"/>
      <c r="E17" s="45"/>
    </row>
    <row r="18" spans="1:6" s="5" customFormat="1" ht="26" x14ac:dyDescent="0.25">
      <c r="A18" s="42" t="s">
        <v>135</v>
      </c>
      <c r="B18" s="42" t="s">
        <v>8</v>
      </c>
      <c r="C18" s="42" t="s">
        <v>138</v>
      </c>
      <c r="D18" s="42" t="s">
        <v>139</v>
      </c>
      <c r="E18" s="42" t="s">
        <v>141</v>
      </c>
      <c r="F18" s="42" t="s">
        <v>157</v>
      </c>
    </row>
    <row r="19" spans="1:6" ht="50" x14ac:dyDescent="0.25">
      <c r="A19" s="44" t="s">
        <v>31</v>
      </c>
      <c r="B19" s="44" t="s">
        <v>61</v>
      </c>
      <c r="C19" s="44" t="s">
        <v>251</v>
      </c>
      <c r="D19" s="44" t="s">
        <v>155</v>
      </c>
      <c r="E19" s="44" t="s">
        <v>153</v>
      </c>
      <c r="F19" s="41" t="s">
        <v>248</v>
      </c>
    </row>
  </sheetData>
  <mergeCells count="1">
    <mergeCell ref="F3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77"/>
  <sheetViews>
    <sheetView workbookViewId="0">
      <selection activeCell="B1" sqref="B1"/>
    </sheetView>
  </sheetViews>
  <sheetFormatPr defaultRowHeight="12.5" x14ac:dyDescent="0.25"/>
  <cols>
    <col min="1" max="1" width="51.7265625" bestFit="1" customWidth="1"/>
    <col min="2" max="2" width="18.54296875" bestFit="1" customWidth="1"/>
    <col min="5" max="5" width="15.54296875" bestFit="1" customWidth="1"/>
  </cols>
  <sheetData>
    <row r="1" spans="1:2" s="315" customFormat="1" ht="18" thickBot="1" x14ac:dyDescent="0.4">
      <c r="A1" s="324" t="s">
        <v>303</v>
      </c>
      <c r="B1" s="328" t="s">
        <v>109</v>
      </c>
    </row>
    <row r="3" spans="1:2" ht="17.5" x14ac:dyDescent="0.35">
      <c r="A3" s="518" t="s">
        <v>305</v>
      </c>
      <c r="B3" s="518"/>
    </row>
    <row r="4" spans="1:2" ht="13" thickBot="1" x14ac:dyDescent="0.3"/>
    <row r="5" spans="1:2" s="314" customFormat="1" ht="31" x14ac:dyDescent="0.35">
      <c r="A5" s="325" t="s">
        <v>306</v>
      </c>
      <c r="B5" s="329" t="s">
        <v>262</v>
      </c>
    </row>
    <row r="6" spans="1:2" s="314" customFormat="1" ht="31.5" thickBot="1" x14ac:dyDescent="0.4">
      <c r="A6" s="326" t="s">
        <v>307</v>
      </c>
      <c r="B6" s="330" t="s">
        <v>262</v>
      </c>
    </row>
    <row r="7" spans="1:2" ht="13" thickBot="1" x14ac:dyDescent="0.3"/>
    <row r="8" spans="1:2" s="323" customFormat="1" ht="16" thickBot="1" x14ac:dyDescent="0.4">
      <c r="A8" s="327" t="str">
        <f>"GC 76000 Local Penalties for " &amp;B1&amp; " County"</f>
        <v>GC 76000 Local Penalties for San Diego County</v>
      </c>
      <c r="B8" s="331">
        <f>IF(AND(B5="Yes", B6="Yes"), VLOOKUP(B1,A12:B69,2), 7)</f>
        <v>7</v>
      </c>
    </row>
    <row r="9" spans="1:2" s="323" customFormat="1" ht="15.5" x14ac:dyDescent="0.35">
      <c r="A9" s="340"/>
      <c r="B9" s="341"/>
    </row>
    <row r="10" spans="1:2" ht="13" thickBot="1" x14ac:dyDescent="0.3"/>
    <row r="11" spans="1:2" x14ac:dyDescent="0.25">
      <c r="A11" s="336" t="s">
        <v>298</v>
      </c>
      <c r="B11" s="333" t="s">
        <v>308</v>
      </c>
    </row>
    <row r="12" spans="1:2" x14ac:dyDescent="0.25">
      <c r="A12" s="334" t="s">
        <v>73</v>
      </c>
      <c r="B12" s="337">
        <v>5</v>
      </c>
    </row>
    <row r="13" spans="1:2" x14ac:dyDescent="0.25">
      <c r="A13" s="334" t="s">
        <v>74</v>
      </c>
      <c r="B13" s="337">
        <v>5</v>
      </c>
    </row>
    <row r="14" spans="1:2" x14ac:dyDescent="0.25">
      <c r="A14" s="334" t="s">
        <v>75</v>
      </c>
      <c r="B14" s="337">
        <v>5</v>
      </c>
    </row>
    <row r="15" spans="1:2" x14ac:dyDescent="0.25">
      <c r="A15" s="334" t="s">
        <v>76</v>
      </c>
      <c r="B15" s="337">
        <v>7</v>
      </c>
    </row>
    <row r="16" spans="1:2" x14ac:dyDescent="0.25">
      <c r="A16" s="334" t="s">
        <v>296</v>
      </c>
      <c r="B16" s="337">
        <v>3</v>
      </c>
    </row>
    <row r="17" spans="1:2" x14ac:dyDescent="0.25">
      <c r="A17" s="334" t="s">
        <v>78</v>
      </c>
      <c r="B17" s="337">
        <v>6</v>
      </c>
    </row>
    <row r="18" spans="1:2" x14ac:dyDescent="0.25">
      <c r="A18" s="334" t="s">
        <v>79</v>
      </c>
      <c r="B18" s="337">
        <v>5</v>
      </c>
    </row>
    <row r="19" spans="1:2" x14ac:dyDescent="0.25">
      <c r="A19" s="334" t="s">
        <v>80</v>
      </c>
      <c r="B19" s="337">
        <v>7</v>
      </c>
    </row>
    <row r="20" spans="1:2" x14ac:dyDescent="0.25">
      <c r="A20" s="334" t="s">
        <v>81</v>
      </c>
      <c r="B20" s="337">
        <v>5</v>
      </c>
    </row>
    <row r="21" spans="1:2" x14ac:dyDescent="0.25">
      <c r="A21" s="334" t="s">
        <v>82</v>
      </c>
      <c r="B21" s="337">
        <v>7</v>
      </c>
    </row>
    <row r="22" spans="1:2" x14ac:dyDescent="0.25">
      <c r="A22" s="334" t="s">
        <v>83</v>
      </c>
      <c r="B22" s="337">
        <v>4</v>
      </c>
    </row>
    <row r="23" spans="1:2" x14ac:dyDescent="0.25">
      <c r="A23" s="334" t="s">
        <v>84</v>
      </c>
      <c r="B23" s="337">
        <v>5</v>
      </c>
    </row>
    <row r="24" spans="1:2" x14ac:dyDescent="0.25">
      <c r="A24" s="334" t="s">
        <v>85</v>
      </c>
      <c r="B24" s="337">
        <v>6</v>
      </c>
    </row>
    <row r="25" spans="1:2" x14ac:dyDescent="0.25">
      <c r="A25" s="334" t="s">
        <v>86</v>
      </c>
      <c r="B25" s="337">
        <v>4</v>
      </c>
    </row>
    <row r="26" spans="1:2" x14ac:dyDescent="0.25">
      <c r="A26" s="334" t="s">
        <v>87</v>
      </c>
      <c r="B26" s="337">
        <v>7</v>
      </c>
    </row>
    <row r="27" spans="1:2" x14ac:dyDescent="0.25">
      <c r="A27" s="334" t="s">
        <v>88</v>
      </c>
      <c r="B27" s="337">
        <v>7</v>
      </c>
    </row>
    <row r="28" spans="1:2" x14ac:dyDescent="0.25">
      <c r="A28" s="334" t="s">
        <v>89</v>
      </c>
      <c r="B28" s="337">
        <v>7</v>
      </c>
    </row>
    <row r="29" spans="1:2" x14ac:dyDescent="0.25">
      <c r="A29" s="334" t="s">
        <v>90</v>
      </c>
      <c r="B29" s="337">
        <v>2</v>
      </c>
    </row>
    <row r="30" spans="1:2" x14ac:dyDescent="0.25">
      <c r="A30" s="334" t="s">
        <v>91</v>
      </c>
      <c r="B30" s="337">
        <v>5</v>
      </c>
    </row>
    <row r="31" spans="1:2" ht="13.5" x14ac:dyDescent="0.3">
      <c r="A31" s="334" t="s">
        <v>92</v>
      </c>
      <c r="B31" s="338">
        <v>7</v>
      </c>
    </row>
    <row r="32" spans="1:2" x14ac:dyDescent="0.25">
      <c r="A32" s="334" t="s">
        <v>93</v>
      </c>
      <c r="B32" s="337">
        <v>5</v>
      </c>
    </row>
    <row r="33" spans="1:2" x14ac:dyDescent="0.25">
      <c r="A33" s="334" t="s">
        <v>94</v>
      </c>
      <c r="B33" s="337">
        <v>2.5</v>
      </c>
    </row>
    <row r="34" spans="1:2" x14ac:dyDescent="0.25">
      <c r="A34" s="334" t="s">
        <v>95</v>
      </c>
      <c r="B34" s="337">
        <v>7</v>
      </c>
    </row>
    <row r="35" spans="1:2" x14ac:dyDescent="0.25">
      <c r="A35" s="334" t="s">
        <v>96</v>
      </c>
      <c r="B35" s="337">
        <v>4.75</v>
      </c>
    </row>
    <row r="36" spans="1:2" x14ac:dyDescent="0.25">
      <c r="A36" s="334" t="s">
        <v>97</v>
      </c>
      <c r="B36" s="337">
        <v>3.5</v>
      </c>
    </row>
    <row r="37" spans="1:2" x14ac:dyDescent="0.25">
      <c r="A37" s="334" t="s">
        <v>98</v>
      </c>
      <c r="B37" s="337">
        <v>4</v>
      </c>
    </row>
    <row r="38" spans="1:2" x14ac:dyDescent="0.25">
      <c r="A38" s="334" t="s">
        <v>99</v>
      </c>
      <c r="B38" s="337">
        <v>5</v>
      </c>
    </row>
    <row r="39" spans="1:2" x14ac:dyDescent="0.25">
      <c r="A39" s="334" t="s">
        <v>100</v>
      </c>
      <c r="B39" s="337">
        <v>3</v>
      </c>
    </row>
    <row r="40" spans="1:2" x14ac:dyDescent="0.25">
      <c r="A40" s="334" t="s">
        <v>101</v>
      </c>
      <c r="B40" s="337">
        <v>4.75</v>
      </c>
    </row>
    <row r="41" spans="1:2" x14ac:dyDescent="0.25">
      <c r="A41" s="334" t="s">
        <v>102</v>
      </c>
      <c r="B41" s="337">
        <v>5.29</v>
      </c>
    </row>
    <row r="42" spans="1:2" x14ac:dyDescent="0.25">
      <c r="A42" s="334" t="s">
        <v>104</v>
      </c>
      <c r="B42" s="337">
        <v>4.75</v>
      </c>
    </row>
    <row r="43" spans="1:2" x14ac:dyDescent="0.25">
      <c r="A43" s="334" t="s">
        <v>103</v>
      </c>
      <c r="B43" s="337">
        <v>7</v>
      </c>
    </row>
    <row r="44" spans="1:2" x14ac:dyDescent="0.25">
      <c r="A44" s="334" t="s">
        <v>105</v>
      </c>
      <c r="B44" s="337">
        <v>4.5999999999999996</v>
      </c>
    </row>
    <row r="45" spans="1:2" x14ac:dyDescent="0.25">
      <c r="A45" s="334" t="s">
        <v>106</v>
      </c>
      <c r="B45" s="337">
        <v>5</v>
      </c>
    </row>
    <row r="46" spans="1:2" x14ac:dyDescent="0.25">
      <c r="A46" s="334" t="s">
        <v>107</v>
      </c>
      <c r="B46" s="337">
        <v>5</v>
      </c>
    </row>
    <row r="47" spans="1:2" x14ac:dyDescent="0.25">
      <c r="A47" s="334" t="s">
        <v>108</v>
      </c>
      <c r="B47" s="337">
        <v>5</v>
      </c>
    </row>
    <row r="48" spans="1:2" x14ac:dyDescent="0.25">
      <c r="A48" s="334" t="s">
        <v>109</v>
      </c>
      <c r="B48" s="337">
        <v>7</v>
      </c>
    </row>
    <row r="49" spans="1:2" x14ac:dyDescent="0.25">
      <c r="A49" s="334" t="s">
        <v>110</v>
      </c>
      <c r="B49" s="337">
        <v>6.99</v>
      </c>
    </row>
    <row r="50" spans="1:2" x14ac:dyDescent="0.25">
      <c r="A50" s="334" t="s">
        <v>111</v>
      </c>
      <c r="B50" s="337">
        <v>3.75</v>
      </c>
    </row>
    <row r="51" spans="1:2" x14ac:dyDescent="0.25">
      <c r="A51" s="334" t="s">
        <v>112</v>
      </c>
      <c r="B51" s="337">
        <v>5</v>
      </c>
    </row>
    <row r="52" spans="1:2" x14ac:dyDescent="0.25">
      <c r="A52" s="334" t="s">
        <v>113</v>
      </c>
      <c r="B52" s="337">
        <v>4.75</v>
      </c>
    </row>
    <row r="53" spans="1:2" x14ac:dyDescent="0.25">
      <c r="A53" s="334" t="s">
        <v>114</v>
      </c>
      <c r="B53" s="337">
        <v>3.5</v>
      </c>
    </row>
    <row r="54" spans="1:2" x14ac:dyDescent="0.25">
      <c r="A54" s="334" t="s">
        <v>115</v>
      </c>
      <c r="B54" s="337">
        <v>5.5</v>
      </c>
    </row>
    <row r="55" spans="1:2" x14ac:dyDescent="0.25">
      <c r="A55" s="334" t="s">
        <v>116</v>
      </c>
      <c r="B55" s="337">
        <v>7</v>
      </c>
    </row>
    <row r="56" spans="1:2" x14ac:dyDescent="0.25">
      <c r="A56" s="334" t="s">
        <v>117</v>
      </c>
      <c r="B56" s="337">
        <v>3.5</v>
      </c>
    </row>
    <row r="57" spans="1:2" x14ac:dyDescent="0.25">
      <c r="A57" s="334" t="s">
        <v>118</v>
      </c>
      <c r="B57" s="337">
        <v>7</v>
      </c>
    </row>
    <row r="58" spans="1:2" x14ac:dyDescent="0.25">
      <c r="A58" s="334" t="s">
        <v>119</v>
      </c>
      <c r="B58" s="337">
        <v>5</v>
      </c>
    </row>
    <row r="59" spans="1:2" x14ac:dyDescent="0.25">
      <c r="A59" s="334" t="s">
        <v>120</v>
      </c>
      <c r="B59" s="337">
        <v>5</v>
      </c>
    </row>
    <row r="60" spans="1:2" x14ac:dyDescent="0.25">
      <c r="A60" s="334" t="s">
        <v>121</v>
      </c>
      <c r="B60" s="337">
        <v>5</v>
      </c>
    </row>
    <row r="61" spans="1:2" x14ac:dyDescent="0.25">
      <c r="A61" s="334" t="s">
        <v>122</v>
      </c>
      <c r="B61" s="337">
        <v>5</v>
      </c>
    </row>
    <row r="62" spans="1:2" x14ac:dyDescent="0.25">
      <c r="A62" s="334" t="s">
        <v>123</v>
      </c>
      <c r="B62" s="337">
        <v>6</v>
      </c>
    </row>
    <row r="63" spans="1:2" x14ac:dyDescent="0.25">
      <c r="A63" s="334" t="s">
        <v>124</v>
      </c>
      <c r="B63" s="337">
        <v>7</v>
      </c>
    </row>
    <row r="64" spans="1:2" x14ac:dyDescent="0.25">
      <c r="A64" s="334" t="s">
        <v>125</v>
      </c>
      <c r="B64" s="337">
        <v>4.5</v>
      </c>
    </row>
    <row r="65" spans="1:2" x14ac:dyDescent="0.25">
      <c r="A65" s="334" t="s">
        <v>126</v>
      </c>
      <c r="B65" s="337">
        <v>5</v>
      </c>
    </row>
    <row r="66" spans="1:2" x14ac:dyDescent="0.25">
      <c r="A66" s="334" t="s">
        <v>127</v>
      </c>
      <c r="B66" s="337">
        <v>7</v>
      </c>
    </row>
    <row r="67" spans="1:2" x14ac:dyDescent="0.25">
      <c r="A67" s="334" t="s">
        <v>128</v>
      </c>
      <c r="B67" s="337">
        <v>5</v>
      </c>
    </row>
    <row r="68" spans="1:2" x14ac:dyDescent="0.25">
      <c r="A68" s="334" t="s">
        <v>129</v>
      </c>
      <c r="B68" s="337">
        <v>7</v>
      </c>
    </row>
    <row r="69" spans="1:2" ht="13" thickBot="1" x14ac:dyDescent="0.3">
      <c r="A69" s="335" t="s">
        <v>130</v>
      </c>
      <c r="B69" s="339">
        <v>3</v>
      </c>
    </row>
    <row r="75" spans="1:2" x14ac:dyDescent="0.25">
      <c r="A75" s="332" t="s">
        <v>302</v>
      </c>
    </row>
    <row r="76" spans="1:2" x14ac:dyDescent="0.25">
      <c r="A76" s="332" t="s">
        <v>262</v>
      </c>
    </row>
    <row r="77" spans="1:2" x14ac:dyDescent="0.25">
      <c r="A77" s="332" t="s">
        <v>263</v>
      </c>
    </row>
  </sheetData>
  <mergeCells count="1">
    <mergeCell ref="A3:B3"/>
  </mergeCells>
  <dataValidations count="2">
    <dataValidation type="list" allowBlank="1" showInputMessage="1" showErrorMessage="1" sqref="B5:B6" xr:uid="{00000000-0002-0000-0A00-000000000000}">
      <formula1>$A$76:$A$77</formula1>
    </dataValidation>
    <dataValidation type="list" allowBlank="1" showInputMessage="1" showErrorMessage="1" sqref="B1" xr:uid="{00000000-0002-0000-0A00-000001000000}">
      <formula1>Counties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"/>
  <dimension ref="A1:D59"/>
  <sheetViews>
    <sheetView workbookViewId="0">
      <selection activeCell="D2" sqref="D2"/>
    </sheetView>
  </sheetViews>
  <sheetFormatPr defaultRowHeight="14.5" x14ac:dyDescent="0.35"/>
  <cols>
    <col min="4" max="4" width="38" style="39" bestFit="1" customWidth="1"/>
  </cols>
  <sheetData>
    <row r="1" spans="1:4" ht="15" thickBot="1" x14ac:dyDescent="0.4">
      <c r="D1" s="39" t="s">
        <v>133</v>
      </c>
    </row>
    <row r="2" spans="1:4" x14ac:dyDescent="0.35">
      <c r="A2" s="36" t="s">
        <v>73</v>
      </c>
      <c r="B2" s="38" t="s">
        <v>131</v>
      </c>
      <c r="C2" s="38" t="s">
        <v>132</v>
      </c>
      <c r="D2" s="39" t="str">
        <f>CONCATENATE($B$2,A2,$C$2)</f>
        <v>Superior Court of Alameda County</v>
      </c>
    </row>
    <row r="3" spans="1:4" x14ac:dyDescent="0.35">
      <c r="A3" s="37" t="s">
        <v>74</v>
      </c>
      <c r="D3" s="39" t="str">
        <f t="shared" ref="D3:D59" si="0">CONCATENATE($B$2,A3,$C$2)</f>
        <v>Superior Court of Alpine County</v>
      </c>
    </row>
    <row r="4" spans="1:4" x14ac:dyDescent="0.35">
      <c r="A4" s="37" t="s">
        <v>75</v>
      </c>
      <c r="D4" s="39" t="str">
        <f t="shared" si="0"/>
        <v>Superior Court of Amador County</v>
      </c>
    </row>
    <row r="5" spans="1:4" x14ac:dyDescent="0.35">
      <c r="A5" s="37" t="s">
        <v>76</v>
      </c>
      <c r="D5" s="39" t="str">
        <f t="shared" si="0"/>
        <v>Superior Court of Butte County</v>
      </c>
    </row>
    <row r="6" spans="1:4" x14ac:dyDescent="0.35">
      <c r="A6" s="37" t="s">
        <v>77</v>
      </c>
      <c r="D6" s="39" t="str">
        <f t="shared" si="0"/>
        <v>Superior Court of Claveras County</v>
      </c>
    </row>
    <row r="7" spans="1:4" x14ac:dyDescent="0.35">
      <c r="A7" s="37" t="s">
        <v>78</v>
      </c>
      <c r="D7" s="39" t="str">
        <f t="shared" si="0"/>
        <v>Superior Court of Colusa County</v>
      </c>
    </row>
    <row r="8" spans="1:4" x14ac:dyDescent="0.35">
      <c r="A8" s="37" t="s">
        <v>79</v>
      </c>
      <c r="D8" s="39" t="str">
        <f t="shared" si="0"/>
        <v>Superior Court of Contra Costa County</v>
      </c>
    </row>
    <row r="9" spans="1:4" x14ac:dyDescent="0.35">
      <c r="A9" s="37" t="s">
        <v>80</v>
      </c>
      <c r="D9" s="39" t="str">
        <f t="shared" si="0"/>
        <v>Superior Court of Del Norte County</v>
      </c>
    </row>
    <row r="10" spans="1:4" x14ac:dyDescent="0.35">
      <c r="A10" s="37" t="s">
        <v>81</v>
      </c>
      <c r="D10" s="39" t="str">
        <f t="shared" si="0"/>
        <v>Superior Court of El Dorado County</v>
      </c>
    </row>
    <row r="11" spans="1:4" x14ac:dyDescent="0.35">
      <c r="A11" s="37" t="s">
        <v>82</v>
      </c>
      <c r="D11" s="39" t="str">
        <f t="shared" si="0"/>
        <v>Superior Court of Fresno County</v>
      </c>
    </row>
    <row r="12" spans="1:4" x14ac:dyDescent="0.35">
      <c r="A12" s="37" t="s">
        <v>83</v>
      </c>
      <c r="D12" s="39" t="str">
        <f t="shared" si="0"/>
        <v>Superior Court of Glenn County</v>
      </c>
    </row>
    <row r="13" spans="1:4" x14ac:dyDescent="0.35">
      <c r="A13" s="37" t="s">
        <v>84</v>
      </c>
      <c r="D13" s="39" t="str">
        <f t="shared" si="0"/>
        <v>Superior Court of Humboldt County</v>
      </c>
    </row>
    <row r="14" spans="1:4" x14ac:dyDescent="0.35">
      <c r="A14" s="37" t="s">
        <v>85</v>
      </c>
      <c r="D14" s="39" t="str">
        <f t="shared" si="0"/>
        <v>Superior Court of Imperial County</v>
      </c>
    </row>
    <row r="15" spans="1:4" x14ac:dyDescent="0.35">
      <c r="A15" s="37" t="s">
        <v>86</v>
      </c>
      <c r="D15" s="39" t="str">
        <f t="shared" si="0"/>
        <v>Superior Court of Inyo County</v>
      </c>
    </row>
    <row r="16" spans="1:4" x14ac:dyDescent="0.35">
      <c r="A16" s="37" t="s">
        <v>87</v>
      </c>
      <c r="D16" s="39" t="str">
        <f t="shared" si="0"/>
        <v>Superior Court of Kern County</v>
      </c>
    </row>
    <row r="17" spans="1:4" x14ac:dyDescent="0.35">
      <c r="A17" s="37" t="s">
        <v>88</v>
      </c>
      <c r="D17" s="39" t="str">
        <f t="shared" si="0"/>
        <v>Superior Court of Kings County</v>
      </c>
    </row>
    <row r="18" spans="1:4" x14ac:dyDescent="0.35">
      <c r="A18" s="37" t="s">
        <v>89</v>
      </c>
      <c r="D18" s="39" t="str">
        <f t="shared" si="0"/>
        <v>Superior Court of Lake County</v>
      </c>
    </row>
    <row r="19" spans="1:4" x14ac:dyDescent="0.35">
      <c r="A19" s="37" t="s">
        <v>90</v>
      </c>
      <c r="D19" s="39" t="str">
        <f t="shared" si="0"/>
        <v>Superior Court of Lassen County</v>
      </c>
    </row>
    <row r="20" spans="1:4" x14ac:dyDescent="0.35">
      <c r="A20" s="37" t="s">
        <v>91</v>
      </c>
      <c r="D20" s="39" t="str">
        <f t="shared" si="0"/>
        <v>Superior Court of Los Angeles County</v>
      </c>
    </row>
    <row r="21" spans="1:4" x14ac:dyDescent="0.35">
      <c r="A21" s="37" t="s">
        <v>92</v>
      </c>
      <c r="D21" s="39" t="str">
        <f t="shared" si="0"/>
        <v>Superior Court of Madera County</v>
      </c>
    </row>
    <row r="22" spans="1:4" x14ac:dyDescent="0.35">
      <c r="A22" s="37" t="s">
        <v>93</v>
      </c>
      <c r="D22" s="39" t="str">
        <f t="shared" si="0"/>
        <v>Superior Court of Marin County</v>
      </c>
    </row>
    <row r="23" spans="1:4" x14ac:dyDescent="0.35">
      <c r="A23" s="37" t="s">
        <v>94</v>
      </c>
      <c r="D23" s="39" t="str">
        <f t="shared" si="0"/>
        <v>Superior Court of Mariposa County</v>
      </c>
    </row>
    <row r="24" spans="1:4" x14ac:dyDescent="0.35">
      <c r="A24" s="37" t="s">
        <v>95</v>
      </c>
      <c r="D24" s="39" t="str">
        <f t="shared" si="0"/>
        <v>Superior Court of Mendocino County</v>
      </c>
    </row>
    <row r="25" spans="1:4" x14ac:dyDescent="0.35">
      <c r="A25" s="37" t="s">
        <v>96</v>
      </c>
      <c r="D25" s="39" t="str">
        <f t="shared" si="0"/>
        <v>Superior Court of Merced County</v>
      </c>
    </row>
    <row r="26" spans="1:4" x14ac:dyDescent="0.35">
      <c r="A26" s="37" t="s">
        <v>97</v>
      </c>
      <c r="D26" s="39" t="str">
        <f t="shared" si="0"/>
        <v>Superior Court of Modoc County</v>
      </c>
    </row>
    <row r="27" spans="1:4" x14ac:dyDescent="0.35">
      <c r="A27" s="37" t="s">
        <v>98</v>
      </c>
      <c r="D27" s="39" t="str">
        <f t="shared" si="0"/>
        <v>Superior Court of Mono County</v>
      </c>
    </row>
    <row r="28" spans="1:4" x14ac:dyDescent="0.35">
      <c r="A28" s="37" t="s">
        <v>99</v>
      </c>
      <c r="D28" s="39" t="str">
        <f t="shared" si="0"/>
        <v>Superior Court of Monterey County</v>
      </c>
    </row>
    <row r="29" spans="1:4" x14ac:dyDescent="0.35">
      <c r="A29" s="37" t="s">
        <v>100</v>
      </c>
      <c r="D29" s="39" t="str">
        <f t="shared" si="0"/>
        <v>Superior Court of Napa County</v>
      </c>
    </row>
    <row r="30" spans="1:4" x14ac:dyDescent="0.35">
      <c r="A30" s="37" t="s">
        <v>101</v>
      </c>
      <c r="D30" s="39" t="str">
        <f t="shared" si="0"/>
        <v>Superior Court of Nevada County</v>
      </c>
    </row>
    <row r="31" spans="1:4" x14ac:dyDescent="0.35">
      <c r="A31" s="37" t="s">
        <v>102</v>
      </c>
      <c r="D31" s="39" t="str">
        <f t="shared" si="0"/>
        <v>Superior Court of Orange County</v>
      </c>
    </row>
    <row r="32" spans="1:4" x14ac:dyDescent="0.35">
      <c r="A32" s="37" t="s">
        <v>103</v>
      </c>
      <c r="D32" s="39" t="str">
        <f t="shared" si="0"/>
        <v>Superior Court of Plumas County</v>
      </c>
    </row>
    <row r="33" spans="1:4" x14ac:dyDescent="0.35">
      <c r="A33" s="37" t="s">
        <v>104</v>
      </c>
      <c r="D33" s="39" t="str">
        <f t="shared" si="0"/>
        <v>Superior Court of Placer County</v>
      </c>
    </row>
    <row r="34" spans="1:4" x14ac:dyDescent="0.35">
      <c r="A34" s="37" t="s">
        <v>105</v>
      </c>
      <c r="D34" s="39" t="str">
        <f t="shared" si="0"/>
        <v>Superior Court of Riverside County</v>
      </c>
    </row>
    <row r="35" spans="1:4" x14ac:dyDescent="0.35">
      <c r="A35" s="37" t="s">
        <v>106</v>
      </c>
      <c r="D35" s="39" t="str">
        <f t="shared" si="0"/>
        <v>Superior Court of Sacramento County</v>
      </c>
    </row>
    <row r="36" spans="1:4" x14ac:dyDescent="0.35">
      <c r="A36" s="37" t="s">
        <v>107</v>
      </c>
      <c r="D36" s="39" t="str">
        <f t="shared" si="0"/>
        <v>Superior Court of San Benito County</v>
      </c>
    </row>
    <row r="37" spans="1:4" x14ac:dyDescent="0.35">
      <c r="A37" s="37" t="s">
        <v>108</v>
      </c>
      <c r="D37" s="39" t="str">
        <f t="shared" si="0"/>
        <v>Superior Court of San Bernardino County</v>
      </c>
    </row>
    <row r="38" spans="1:4" x14ac:dyDescent="0.35">
      <c r="A38" s="37" t="s">
        <v>109</v>
      </c>
      <c r="D38" s="39" t="str">
        <f t="shared" si="0"/>
        <v>Superior Court of San Diego County</v>
      </c>
    </row>
    <row r="39" spans="1:4" x14ac:dyDescent="0.35">
      <c r="A39" s="37" t="s">
        <v>110</v>
      </c>
      <c r="D39" s="39" t="str">
        <f t="shared" si="0"/>
        <v>Superior Court of San Francisco County</v>
      </c>
    </row>
    <row r="40" spans="1:4" x14ac:dyDescent="0.35">
      <c r="A40" s="37" t="s">
        <v>111</v>
      </c>
      <c r="D40" s="39" t="str">
        <f t="shared" si="0"/>
        <v>Superior Court of San Joaquin County</v>
      </c>
    </row>
    <row r="41" spans="1:4" x14ac:dyDescent="0.35">
      <c r="A41" s="37" t="s">
        <v>112</v>
      </c>
      <c r="D41" s="39" t="str">
        <f t="shared" si="0"/>
        <v>Superior Court of San Luis Obispo County</v>
      </c>
    </row>
    <row r="42" spans="1:4" x14ac:dyDescent="0.35">
      <c r="A42" s="37" t="s">
        <v>113</v>
      </c>
      <c r="D42" s="39" t="str">
        <f t="shared" si="0"/>
        <v>Superior Court of San Mateo County</v>
      </c>
    </row>
    <row r="43" spans="1:4" x14ac:dyDescent="0.35">
      <c r="A43" s="37" t="s">
        <v>114</v>
      </c>
      <c r="D43" s="39" t="str">
        <f t="shared" si="0"/>
        <v>Superior Court of Santa Barbara County</v>
      </c>
    </row>
    <row r="44" spans="1:4" x14ac:dyDescent="0.35">
      <c r="A44" s="37" t="s">
        <v>115</v>
      </c>
      <c r="D44" s="39" t="str">
        <f t="shared" si="0"/>
        <v>Superior Court of Santa Clara County</v>
      </c>
    </row>
    <row r="45" spans="1:4" x14ac:dyDescent="0.35">
      <c r="A45" s="37" t="s">
        <v>116</v>
      </c>
      <c r="D45" s="39" t="str">
        <f t="shared" si="0"/>
        <v>Superior Court of Santa Cruz County</v>
      </c>
    </row>
    <row r="46" spans="1:4" x14ac:dyDescent="0.35">
      <c r="A46" s="37" t="s">
        <v>117</v>
      </c>
      <c r="D46" s="39" t="str">
        <f t="shared" si="0"/>
        <v>Superior Court of Shasta County</v>
      </c>
    </row>
    <row r="47" spans="1:4" x14ac:dyDescent="0.35">
      <c r="A47" s="37" t="s">
        <v>118</v>
      </c>
      <c r="D47" s="39" t="str">
        <f t="shared" si="0"/>
        <v>Superior Court of Sierra County</v>
      </c>
    </row>
    <row r="48" spans="1:4" x14ac:dyDescent="0.35">
      <c r="A48" s="37" t="s">
        <v>119</v>
      </c>
      <c r="D48" s="39" t="str">
        <f t="shared" si="0"/>
        <v>Superior Court of Siskiyou County</v>
      </c>
    </row>
    <row r="49" spans="1:4" x14ac:dyDescent="0.35">
      <c r="A49" s="37" t="s">
        <v>120</v>
      </c>
      <c r="D49" s="39" t="str">
        <f t="shared" si="0"/>
        <v>Superior Court of Solano County</v>
      </c>
    </row>
    <row r="50" spans="1:4" x14ac:dyDescent="0.35">
      <c r="A50" s="37" t="s">
        <v>121</v>
      </c>
      <c r="D50" s="39" t="str">
        <f t="shared" si="0"/>
        <v>Superior Court of Sonoma County</v>
      </c>
    </row>
    <row r="51" spans="1:4" x14ac:dyDescent="0.35">
      <c r="A51" s="37" t="s">
        <v>122</v>
      </c>
      <c r="D51" s="39" t="str">
        <f t="shared" si="0"/>
        <v>Superior Court of Stanislaus County</v>
      </c>
    </row>
    <row r="52" spans="1:4" x14ac:dyDescent="0.35">
      <c r="A52" s="37" t="s">
        <v>123</v>
      </c>
      <c r="D52" s="39" t="str">
        <f t="shared" si="0"/>
        <v>Superior Court of Sutter County</v>
      </c>
    </row>
    <row r="53" spans="1:4" x14ac:dyDescent="0.35">
      <c r="A53" s="37" t="s">
        <v>124</v>
      </c>
      <c r="D53" s="39" t="str">
        <f t="shared" si="0"/>
        <v>Superior Court of Tehama County</v>
      </c>
    </row>
    <row r="54" spans="1:4" x14ac:dyDescent="0.35">
      <c r="A54" s="37" t="s">
        <v>125</v>
      </c>
      <c r="D54" s="39" t="str">
        <f t="shared" si="0"/>
        <v>Superior Court of Trinity County</v>
      </c>
    </row>
    <row r="55" spans="1:4" x14ac:dyDescent="0.35">
      <c r="A55" s="37" t="s">
        <v>126</v>
      </c>
      <c r="D55" s="39" t="str">
        <f t="shared" si="0"/>
        <v>Superior Court of Tulare County</v>
      </c>
    </row>
    <row r="56" spans="1:4" x14ac:dyDescent="0.35">
      <c r="A56" s="37" t="s">
        <v>127</v>
      </c>
      <c r="D56" s="39" t="str">
        <f t="shared" si="0"/>
        <v>Superior Court of Tuolumne County</v>
      </c>
    </row>
    <row r="57" spans="1:4" x14ac:dyDescent="0.35">
      <c r="A57" s="37" t="s">
        <v>128</v>
      </c>
      <c r="D57" s="39" t="str">
        <f t="shared" si="0"/>
        <v>Superior Court of Ventura County</v>
      </c>
    </row>
    <row r="58" spans="1:4" x14ac:dyDescent="0.35">
      <c r="A58" s="37" t="s">
        <v>129</v>
      </c>
      <c r="D58" s="39" t="str">
        <f t="shared" si="0"/>
        <v>Superior Court of Yolo County</v>
      </c>
    </row>
    <row r="59" spans="1:4" x14ac:dyDescent="0.35">
      <c r="A59" s="37" t="s">
        <v>130</v>
      </c>
      <c r="D59" s="39" t="str">
        <f t="shared" si="0"/>
        <v>Superior Court of Yuba County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">
    <tabColor indexed="42"/>
  </sheetPr>
  <dimension ref="A2:B7"/>
  <sheetViews>
    <sheetView workbookViewId="0">
      <selection activeCell="E39" sqref="E39"/>
    </sheetView>
  </sheetViews>
  <sheetFormatPr defaultRowHeight="12.5" x14ac:dyDescent="0.25"/>
  <cols>
    <col min="2" max="2" width="30.81640625" bestFit="1" customWidth="1"/>
  </cols>
  <sheetData>
    <row r="2" spans="1:2" s="6" customFormat="1" ht="13" x14ac:dyDescent="0.3">
      <c r="A2" s="7" t="s">
        <v>24</v>
      </c>
      <c r="B2" s="7" t="s">
        <v>40</v>
      </c>
    </row>
    <row r="3" spans="1:2" x14ac:dyDescent="0.25">
      <c r="A3" t="s">
        <v>35</v>
      </c>
      <c r="B3" t="s">
        <v>23</v>
      </c>
    </row>
    <row r="4" spans="1:2" x14ac:dyDescent="0.25">
      <c r="A4" t="s">
        <v>36</v>
      </c>
      <c r="B4" t="s">
        <v>41</v>
      </c>
    </row>
    <row r="5" spans="1:2" x14ac:dyDescent="0.25">
      <c r="A5" t="s">
        <v>37</v>
      </c>
      <c r="B5" t="s">
        <v>42</v>
      </c>
    </row>
    <row r="6" spans="1:2" x14ac:dyDescent="0.25">
      <c r="A6" t="s">
        <v>33</v>
      </c>
      <c r="B6" t="s">
        <v>43</v>
      </c>
    </row>
    <row r="7" spans="1:2" x14ac:dyDescent="0.25">
      <c r="A7" t="s">
        <v>39</v>
      </c>
      <c r="B7" t="s">
        <v>27</v>
      </c>
    </row>
  </sheetData>
  <customSheetViews>
    <customSheetView guid="{07F1F502-9FC7-4878-A746-52E1655BD4FA}" showRuler="0">
      <selection activeCell="E39" sqref="E39"/>
      <pageMargins left="0.75" right="0.75" top="1" bottom="1" header="0.5" footer="0.5"/>
      <pageSetup orientation="portrait" r:id="rId1"/>
      <headerFooter alignWithMargins="0"/>
    </customSheetView>
  </customSheetViews>
  <phoneticPr fontId="3" type="noConversion"/>
  <pageMargins left="0.75" right="0.75" top="1" bottom="1" header="0.5" footer="0.5"/>
  <pageSetup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>
    <tabColor theme="3" tint="0.39997558519241921"/>
  </sheetPr>
  <dimension ref="A1:D21"/>
  <sheetViews>
    <sheetView workbookViewId="0">
      <selection activeCell="C43" sqref="C43:F43"/>
    </sheetView>
  </sheetViews>
  <sheetFormatPr defaultColWidth="9.1796875" defaultRowHeight="12.5" x14ac:dyDescent="0.25"/>
  <cols>
    <col min="1" max="1" width="46.7265625" style="9" bestFit="1" customWidth="1"/>
    <col min="2" max="2" width="45.453125" style="9" bestFit="1" customWidth="1"/>
    <col min="3" max="3" width="30.7265625" style="9" customWidth="1"/>
    <col min="4" max="4" width="26.7265625" style="9" customWidth="1"/>
    <col min="5" max="16384" width="9.1796875" style="9"/>
  </cols>
  <sheetData>
    <row r="1" spans="1:4" s="8" customFormat="1" ht="14.25" customHeight="1" x14ac:dyDescent="0.35">
      <c r="A1" s="19" t="e">
        <f>#REF!</f>
        <v>#REF!</v>
      </c>
    </row>
    <row r="2" spans="1:4" s="8" customFormat="1" ht="14.25" customHeight="1" x14ac:dyDescent="0.35">
      <c r="A2" s="8" t="s">
        <v>50</v>
      </c>
    </row>
    <row r="3" spans="1:4" ht="14.25" customHeight="1" x14ac:dyDescent="0.25"/>
    <row r="4" spans="1:4" ht="14.25" customHeight="1" x14ac:dyDescent="0.25"/>
    <row r="5" spans="1:4" ht="14.25" customHeight="1" x14ac:dyDescent="0.25"/>
    <row r="6" spans="1:4" s="11" customFormat="1" ht="13" x14ac:dyDescent="0.3">
      <c r="A6" s="10" t="s">
        <v>49</v>
      </c>
      <c r="B6" s="10" t="s">
        <v>0</v>
      </c>
      <c r="C6" s="10" t="s">
        <v>254</v>
      </c>
      <c r="D6" s="10" t="s">
        <v>255</v>
      </c>
    </row>
    <row r="7" spans="1:4" ht="13" x14ac:dyDescent="0.25">
      <c r="A7" s="302" t="s">
        <v>280</v>
      </c>
      <c r="B7" s="302" t="s">
        <v>21</v>
      </c>
      <c r="C7" s="13"/>
      <c r="D7" s="14"/>
    </row>
    <row r="8" spans="1:4" ht="13" x14ac:dyDescent="0.25">
      <c r="A8" s="302" t="s">
        <v>281</v>
      </c>
      <c r="B8" s="12" t="s">
        <v>19</v>
      </c>
      <c r="C8" s="13"/>
      <c r="D8" s="14"/>
    </row>
    <row r="9" spans="1:4" x14ac:dyDescent="0.25">
      <c r="A9" s="302" t="s">
        <v>282</v>
      </c>
      <c r="B9" s="302" t="s">
        <v>290</v>
      </c>
      <c r="C9" s="14"/>
      <c r="D9" s="14"/>
    </row>
    <row r="10" spans="1:4" x14ac:dyDescent="0.25">
      <c r="A10" s="302" t="s">
        <v>283</v>
      </c>
      <c r="B10" s="302" t="s">
        <v>291</v>
      </c>
      <c r="C10" s="14"/>
      <c r="D10" s="14"/>
    </row>
    <row r="11" spans="1:4" x14ac:dyDescent="0.25">
      <c r="A11" s="15" t="s">
        <v>55</v>
      </c>
      <c r="B11" s="15" t="s">
        <v>259</v>
      </c>
      <c r="C11" s="14"/>
      <c r="D11" s="14"/>
    </row>
    <row r="12" spans="1:4" x14ac:dyDescent="0.25">
      <c r="A12" s="12" t="s">
        <v>53</v>
      </c>
      <c r="B12" s="12" t="s">
        <v>28</v>
      </c>
      <c r="C12" s="14"/>
      <c r="D12" s="14"/>
    </row>
    <row r="13" spans="1:4" x14ac:dyDescent="0.25">
      <c r="A13" s="303" t="s">
        <v>279</v>
      </c>
      <c r="B13" s="15" t="s">
        <v>29</v>
      </c>
      <c r="C13" s="14"/>
      <c r="D13" s="14"/>
    </row>
    <row r="14" spans="1:4" x14ac:dyDescent="0.25">
      <c r="A14" s="302" t="s">
        <v>278</v>
      </c>
      <c r="B14" s="302" t="s">
        <v>292</v>
      </c>
      <c r="C14" s="14"/>
      <c r="D14" s="16"/>
    </row>
    <row r="15" spans="1:4" x14ac:dyDescent="0.25">
      <c r="A15" s="303" t="s">
        <v>284</v>
      </c>
      <c r="B15" s="303" t="s">
        <v>29</v>
      </c>
      <c r="C15" s="16"/>
      <c r="D15" s="16"/>
    </row>
    <row r="16" spans="1:4" x14ac:dyDescent="0.25">
      <c r="A16" s="302" t="s">
        <v>285</v>
      </c>
      <c r="B16" s="302" t="s">
        <v>289</v>
      </c>
      <c r="C16" s="16"/>
      <c r="D16" s="16"/>
    </row>
    <row r="17" spans="1:4" x14ac:dyDescent="0.25">
      <c r="A17" s="302" t="s">
        <v>286</v>
      </c>
      <c r="B17" s="302" t="s">
        <v>269</v>
      </c>
      <c r="C17" s="16"/>
      <c r="D17" s="16"/>
    </row>
    <row r="18" spans="1:4" x14ac:dyDescent="0.25">
      <c r="A18" s="302" t="s">
        <v>287</v>
      </c>
      <c r="B18" s="12" t="s">
        <v>9</v>
      </c>
      <c r="C18" s="16"/>
      <c r="D18" s="16"/>
    </row>
    <row r="19" spans="1:4" x14ac:dyDescent="0.25">
      <c r="A19" s="302" t="s">
        <v>288</v>
      </c>
      <c r="B19" s="12" t="s">
        <v>32</v>
      </c>
      <c r="C19" s="16"/>
      <c r="D19" s="16"/>
    </row>
    <row r="20" spans="1:4" ht="13" x14ac:dyDescent="0.25">
      <c r="A20" s="14" t="s">
        <v>38</v>
      </c>
      <c r="B20" s="17" t="s">
        <v>34</v>
      </c>
      <c r="C20" s="13"/>
      <c r="D20" s="13"/>
    </row>
    <row r="21" spans="1:4" x14ac:dyDescent="0.25">
      <c r="A21" s="18"/>
      <c r="B21" s="18"/>
      <c r="C21" s="18"/>
      <c r="D21" s="18"/>
    </row>
  </sheetData>
  <customSheetViews>
    <customSheetView guid="{07F1F502-9FC7-4878-A746-52E1655BD4FA}" showRuler="0">
      <selection activeCell="A37" sqref="A37"/>
      <pageMargins left="0.75" right="0.75" top="1" bottom="1" header="0.5" footer="0.5"/>
      <pageSetup orientation="portrait" r:id="rId1"/>
      <headerFooter alignWithMargins="0"/>
    </customSheetView>
  </customSheetViews>
  <phoneticPr fontId="6" type="noConversion"/>
  <pageMargins left="0.75" right="0.75" top="1" bottom="1" header="0.5" footer="0.5"/>
  <pageSetup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">
    <tabColor theme="5" tint="0.59999389629810485"/>
  </sheetPr>
  <dimension ref="A1:H25"/>
  <sheetViews>
    <sheetView workbookViewId="0">
      <selection activeCell="C43" sqref="C43:F43"/>
    </sheetView>
  </sheetViews>
  <sheetFormatPr defaultColWidth="9.1796875" defaultRowHeight="12.5" x14ac:dyDescent="0.25"/>
  <cols>
    <col min="1" max="1" width="28.26953125" style="20" bestFit="1" customWidth="1"/>
    <col min="2" max="2" width="9.81640625" style="3" bestFit="1" customWidth="1"/>
    <col min="3" max="3" width="10.1796875" style="3" bestFit="1" customWidth="1"/>
    <col min="4" max="6" width="9.1796875" style="3"/>
    <col min="7" max="7" width="10.1796875" style="3" bestFit="1" customWidth="1"/>
    <col min="8" max="16384" width="9.1796875" style="3"/>
  </cols>
  <sheetData>
    <row r="1" spans="1:8" s="28" customFormat="1" ht="15.5" x14ac:dyDescent="0.25">
      <c r="A1" s="27" t="s">
        <v>70</v>
      </c>
    </row>
    <row r="3" spans="1:8" ht="13" x14ac:dyDescent="0.25">
      <c r="A3" s="24" t="s">
        <v>62</v>
      </c>
      <c r="B3" s="34"/>
    </row>
    <row r="4" spans="1:8" ht="13" x14ac:dyDescent="0.25">
      <c r="A4" s="24" t="s">
        <v>63</v>
      </c>
      <c r="B4" s="34"/>
    </row>
    <row r="5" spans="1:8" ht="13" x14ac:dyDescent="0.25">
      <c r="A5" s="24" t="s">
        <v>64</v>
      </c>
      <c r="B5" s="34"/>
    </row>
    <row r="6" spans="1:8" ht="13" x14ac:dyDescent="0.25">
      <c r="A6" s="24" t="s">
        <v>14</v>
      </c>
      <c r="B6" s="35"/>
    </row>
    <row r="7" spans="1:8" ht="13" x14ac:dyDescent="0.25">
      <c r="A7" s="29"/>
      <c r="B7" s="30"/>
    </row>
    <row r="8" spans="1:8" ht="13" x14ac:dyDescent="0.25">
      <c r="C8" s="519" t="s">
        <v>71</v>
      </c>
      <c r="D8" s="519"/>
      <c r="E8" s="519"/>
      <c r="F8" s="519"/>
      <c r="G8" s="519"/>
      <c r="H8" s="519"/>
    </row>
    <row r="9" spans="1:8" ht="13" x14ac:dyDescent="0.25">
      <c r="A9" s="25" t="s">
        <v>72</v>
      </c>
      <c r="B9" s="21" t="s">
        <v>69</v>
      </c>
      <c r="C9" s="22"/>
      <c r="D9" s="22"/>
      <c r="E9" s="22"/>
      <c r="F9" s="22"/>
      <c r="G9" s="22"/>
      <c r="H9" s="22"/>
    </row>
    <row r="10" spans="1:8" x14ac:dyDescent="0.25">
      <c r="A10" s="31"/>
      <c r="B10" s="26">
        <f t="shared" ref="B10:B22" si="0">SUM(C10:H10)</f>
        <v>0</v>
      </c>
      <c r="C10" s="33"/>
      <c r="D10" s="33"/>
      <c r="E10" s="33"/>
      <c r="F10" s="33"/>
      <c r="G10" s="33"/>
      <c r="H10" s="33"/>
    </row>
    <row r="11" spans="1:8" x14ac:dyDescent="0.25">
      <c r="A11" s="31"/>
      <c r="B11" s="26">
        <f t="shared" si="0"/>
        <v>0</v>
      </c>
      <c r="C11" s="33"/>
      <c r="D11" s="33"/>
      <c r="E11" s="33"/>
      <c r="F11" s="33"/>
      <c r="G11" s="33"/>
      <c r="H11" s="33"/>
    </row>
    <row r="12" spans="1:8" x14ac:dyDescent="0.25">
      <c r="A12" s="32"/>
      <c r="B12" s="26">
        <f t="shared" si="0"/>
        <v>0</v>
      </c>
      <c r="C12" s="33"/>
      <c r="D12" s="33"/>
      <c r="E12" s="33"/>
      <c r="F12" s="33"/>
      <c r="G12" s="33"/>
      <c r="H12" s="33"/>
    </row>
    <row r="13" spans="1:8" x14ac:dyDescent="0.25">
      <c r="A13" s="31"/>
      <c r="B13" s="26">
        <f t="shared" si="0"/>
        <v>0</v>
      </c>
      <c r="C13" s="33"/>
      <c r="D13" s="33"/>
      <c r="E13" s="33"/>
      <c r="F13" s="33"/>
      <c r="G13" s="33"/>
      <c r="H13" s="33"/>
    </row>
    <row r="14" spans="1:8" x14ac:dyDescent="0.25">
      <c r="A14" s="32"/>
      <c r="B14" s="26">
        <f t="shared" si="0"/>
        <v>0</v>
      </c>
      <c r="C14" s="33"/>
      <c r="D14" s="33"/>
      <c r="E14" s="33"/>
      <c r="F14" s="33"/>
      <c r="G14" s="33"/>
      <c r="H14" s="33"/>
    </row>
    <row r="15" spans="1:8" x14ac:dyDescent="0.25">
      <c r="A15" s="32"/>
      <c r="B15" s="26">
        <f t="shared" si="0"/>
        <v>0</v>
      </c>
      <c r="C15" s="33"/>
      <c r="D15" s="33"/>
      <c r="E15" s="33"/>
      <c r="F15" s="33"/>
      <c r="G15" s="33"/>
      <c r="H15" s="33"/>
    </row>
    <row r="16" spans="1:8" x14ac:dyDescent="0.25">
      <c r="A16" s="32"/>
      <c r="B16" s="26">
        <f t="shared" si="0"/>
        <v>0</v>
      </c>
      <c r="C16" s="33"/>
      <c r="D16" s="33"/>
      <c r="E16" s="33"/>
      <c r="F16" s="33"/>
      <c r="G16" s="33"/>
      <c r="H16" s="33"/>
    </row>
    <row r="17" spans="1:8" x14ac:dyDescent="0.25">
      <c r="A17" s="32"/>
      <c r="B17" s="26">
        <f t="shared" si="0"/>
        <v>0</v>
      </c>
      <c r="C17" s="33"/>
      <c r="D17" s="33"/>
      <c r="E17" s="33"/>
      <c r="F17" s="33"/>
      <c r="G17" s="33"/>
      <c r="H17" s="33"/>
    </row>
    <row r="18" spans="1:8" x14ac:dyDescent="0.25">
      <c r="A18" s="31"/>
      <c r="B18" s="26">
        <f t="shared" si="0"/>
        <v>0</v>
      </c>
      <c r="C18" s="33"/>
      <c r="D18" s="33"/>
      <c r="E18" s="33"/>
      <c r="F18" s="33"/>
      <c r="G18" s="33"/>
      <c r="H18" s="33"/>
    </row>
    <row r="19" spans="1:8" x14ac:dyDescent="0.25">
      <c r="A19" s="31"/>
      <c r="B19" s="26">
        <f t="shared" si="0"/>
        <v>0</v>
      </c>
      <c r="C19" s="33"/>
      <c r="D19" s="33"/>
      <c r="E19" s="33"/>
      <c r="F19" s="33"/>
      <c r="G19" s="33"/>
      <c r="H19" s="33"/>
    </row>
    <row r="20" spans="1:8" x14ac:dyDescent="0.25">
      <c r="A20" s="31"/>
      <c r="B20" s="26">
        <f t="shared" si="0"/>
        <v>0</v>
      </c>
      <c r="C20" s="33"/>
      <c r="D20" s="33"/>
      <c r="E20" s="33"/>
      <c r="F20" s="33"/>
      <c r="G20" s="33"/>
      <c r="H20" s="33"/>
    </row>
    <row r="21" spans="1:8" x14ac:dyDescent="0.25">
      <c r="A21" s="31"/>
      <c r="B21" s="26">
        <f t="shared" si="0"/>
        <v>0</v>
      </c>
      <c r="C21" s="33"/>
      <c r="D21" s="33"/>
      <c r="E21" s="33"/>
      <c r="F21" s="33"/>
      <c r="G21" s="33"/>
      <c r="H21" s="33"/>
    </row>
    <row r="22" spans="1:8" x14ac:dyDescent="0.25">
      <c r="A22" s="31"/>
      <c r="B22" s="26">
        <f t="shared" si="0"/>
        <v>0</v>
      </c>
      <c r="C22" s="33"/>
      <c r="D22" s="33"/>
      <c r="E22" s="33"/>
      <c r="F22" s="33"/>
      <c r="G22" s="33"/>
      <c r="H22" s="33"/>
    </row>
    <row r="24" spans="1:8" ht="13" x14ac:dyDescent="0.25">
      <c r="A24" s="23" t="s">
        <v>69</v>
      </c>
      <c r="B24" s="4">
        <f t="shared" ref="B24:H24" si="1">SUM(B10:B23)</f>
        <v>0</v>
      </c>
      <c r="C24" s="3">
        <f t="shared" si="1"/>
        <v>0</v>
      </c>
      <c r="D24" s="3">
        <f t="shared" si="1"/>
        <v>0</v>
      </c>
      <c r="E24" s="3">
        <f t="shared" si="1"/>
        <v>0</v>
      </c>
      <c r="F24" s="3">
        <f t="shared" si="1"/>
        <v>0</v>
      </c>
      <c r="G24" s="3">
        <f t="shared" si="1"/>
        <v>0</v>
      </c>
      <c r="H24" s="3">
        <f t="shared" si="1"/>
        <v>0</v>
      </c>
    </row>
    <row r="25" spans="1:8" x14ac:dyDescent="0.25">
      <c r="C25" s="3">
        <f>SUM(C24:H24)</f>
        <v>0</v>
      </c>
    </row>
  </sheetData>
  <customSheetViews>
    <customSheetView guid="{07F1F502-9FC7-4878-A746-52E1655BD4FA}" showRuler="0">
      <selection activeCell="H40" sqref="H40"/>
      <pageMargins left="0.75" right="0.75" top="1" bottom="1" header="0.5" footer="0.5"/>
      <headerFooter alignWithMargins="0"/>
    </customSheetView>
  </customSheetViews>
  <mergeCells count="1">
    <mergeCell ref="C8:H8"/>
  </mergeCells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0">
    <tabColor indexed="34"/>
    <pageSetUpPr fitToPage="1"/>
  </sheetPr>
  <dimension ref="A1:X50"/>
  <sheetViews>
    <sheetView zoomScale="90" zoomScaleNormal="90" workbookViewId="0">
      <pane ySplit="1" topLeftCell="A11" activePane="bottomLeft" state="frozen"/>
      <selection activeCell="N29" sqref="N29:O29"/>
      <selection pane="bottomLeft" activeCell="N29" sqref="N29:O29"/>
    </sheetView>
  </sheetViews>
  <sheetFormatPr defaultColWidth="9.1796875" defaultRowHeight="18.5" x14ac:dyDescent="0.25"/>
  <cols>
    <col min="1" max="1" width="4.26953125" style="98" customWidth="1"/>
    <col min="2" max="2" width="4.7265625" style="98" customWidth="1"/>
    <col min="3" max="3" width="15.54296875" style="98" customWidth="1"/>
    <col min="4" max="4" width="12" style="98" customWidth="1"/>
    <col min="5" max="5" width="12.81640625" style="99" customWidth="1"/>
    <col min="6" max="6" width="16" style="133" customWidth="1"/>
    <col min="7" max="7" width="9.1796875" style="50" customWidth="1"/>
    <col min="8" max="8" width="29.453125" style="50" hidden="1" customWidth="1"/>
    <col min="9" max="9" width="14" style="50" customWidth="1"/>
    <col min="10" max="10" width="14.1796875" style="50" customWidth="1"/>
    <col min="11" max="11" width="6" style="50" customWidth="1"/>
    <col min="12" max="12" width="14" style="103" customWidth="1"/>
    <col min="13" max="13" width="1.7265625" style="100" customWidth="1"/>
    <col min="14" max="14" width="17.54296875" style="50" customWidth="1"/>
    <col min="15" max="15" width="1.54296875" style="50" customWidth="1"/>
    <col min="16" max="16" width="14.26953125" style="50" customWidth="1"/>
    <col min="17" max="17" width="2.54296875" style="100" customWidth="1"/>
    <col min="18" max="18" width="12.26953125" style="101" customWidth="1"/>
    <col min="19" max="19" width="20.26953125" style="102" customWidth="1"/>
    <col min="20" max="20" width="2.1796875" style="54" customWidth="1"/>
    <col min="21" max="21" width="11.26953125" style="54" customWidth="1"/>
    <col min="22" max="22" width="13.26953125" style="54" customWidth="1"/>
    <col min="23" max="24" width="9.1796875" style="54"/>
    <col min="25" max="16384" width="9.1796875" style="50"/>
  </cols>
  <sheetData>
    <row r="1" spans="1:24" ht="20.25" customHeight="1" thickBot="1" x14ac:dyDescent="0.3">
      <c r="A1" s="594" t="s">
        <v>215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2" t="s">
        <v>230</v>
      </c>
      <c r="M1" s="592"/>
      <c r="N1" s="592"/>
      <c r="O1" s="592"/>
      <c r="P1" s="592"/>
      <c r="Q1" s="592"/>
      <c r="R1" s="592"/>
      <c r="S1" s="593"/>
    </row>
    <row r="2" spans="1:24" s="54" customFormat="1" ht="11.25" customHeight="1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52"/>
      <c r="O2" s="52"/>
      <c r="P2" s="53"/>
      <c r="Q2" s="53"/>
      <c r="R2" s="53"/>
      <c r="S2" s="53"/>
    </row>
    <row r="3" spans="1:24" s="54" customFormat="1" ht="19.5" thickTop="1" thickBot="1" x14ac:dyDescent="0.3">
      <c r="A3" s="607" t="s">
        <v>191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9"/>
      <c r="O3" s="175"/>
      <c r="P3" s="610" t="s">
        <v>218</v>
      </c>
      <c r="Q3" s="611"/>
      <c r="R3" s="611"/>
      <c r="S3" s="612"/>
      <c r="U3" s="174" t="s">
        <v>207</v>
      </c>
    </row>
    <row r="4" spans="1:24" s="57" customFormat="1" ht="15.5" x14ac:dyDescent="0.25">
      <c r="A4" s="604" t="s">
        <v>188</v>
      </c>
      <c r="B4" s="583"/>
      <c r="C4" s="583"/>
      <c r="D4" s="605" t="str">
        <f>L1</f>
        <v>CASE NUMBER</v>
      </c>
      <c r="E4" s="606"/>
      <c r="F4" s="619" t="s">
        <v>22</v>
      </c>
      <c r="G4" s="602"/>
      <c r="H4" s="200"/>
      <c r="I4" s="600" t="s">
        <v>220</v>
      </c>
      <c r="J4" s="601"/>
      <c r="K4" s="602" t="s">
        <v>214</v>
      </c>
      <c r="L4" s="602"/>
      <c r="M4" s="602"/>
      <c r="N4" s="201">
        <v>390</v>
      </c>
      <c r="O4" s="56"/>
      <c r="P4" s="613" t="s">
        <v>193</v>
      </c>
      <c r="Q4" s="614"/>
      <c r="R4" s="614"/>
      <c r="S4" s="615"/>
      <c r="U4" s="172" t="s">
        <v>25</v>
      </c>
      <c r="V4" s="176">
        <f>SUMIF(G16:G43,"STATE",L16:L43)</f>
        <v>860.54000000000008</v>
      </c>
    </row>
    <row r="5" spans="1:24" s="57" customFormat="1" ht="15.5" x14ac:dyDescent="0.25">
      <c r="A5" s="576" t="s">
        <v>3</v>
      </c>
      <c r="B5" s="577"/>
      <c r="C5" s="577"/>
      <c r="D5" s="581"/>
      <c r="E5" s="582"/>
      <c r="F5" s="578" t="s">
        <v>201</v>
      </c>
      <c r="G5" s="575"/>
      <c r="H5" s="185"/>
      <c r="I5" s="586" t="s">
        <v>222</v>
      </c>
      <c r="J5" s="587"/>
      <c r="K5" s="575" t="s">
        <v>17</v>
      </c>
      <c r="L5" s="575"/>
      <c r="M5" s="575"/>
      <c r="N5" s="58"/>
      <c r="O5" s="56"/>
      <c r="P5" s="616" t="s">
        <v>194</v>
      </c>
      <c r="Q5" s="617"/>
      <c r="R5" s="617"/>
      <c r="S5" s="618"/>
      <c r="U5" s="172" t="s">
        <v>26</v>
      </c>
      <c r="V5" s="176">
        <f>SUMIF(G16:G43,"COUNTY",L16:L43)</f>
        <v>1069.46</v>
      </c>
    </row>
    <row r="6" spans="1:24" s="57" customFormat="1" ht="16" thickBot="1" x14ac:dyDescent="0.3">
      <c r="A6" s="576" t="s">
        <v>10</v>
      </c>
      <c r="B6" s="577"/>
      <c r="C6" s="577"/>
      <c r="D6" s="586"/>
      <c r="E6" s="582"/>
      <c r="F6" s="578" t="s">
        <v>15</v>
      </c>
      <c r="G6" s="575"/>
      <c r="H6" s="185"/>
      <c r="I6" s="586" t="s">
        <v>223</v>
      </c>
      <c r="J6" s="587"/>
      <c r="K6" s="573" t="s">
        <v>190</v>
      </c>
      <c r="L6" s="573"/>
      <c r="M6" s="573"/>
      <c r="N6" s="204">
        <f>N4+N5*10</f>
        <v>390</v>
      </c>
      <c r="O6" s="56"/>
      <c r="P6" s="526" t="s">
        <v>195</v>
      </c>
      <c r="Q6" s="527"/>
      <c r="R6" s="527"/>
      <c r="S6" s="528"/>
      <c r="U6" s="172" t="s">
        <v>45</v>
      </c>
      <c r="V6" s="176">
        <f>SUMIF(G16:G43,"CITY",L16:L43)</f>
        <v>0</v>
      </c>
    </row>
    <row r="7" spans="1:24" s="57" customFormat="1" ht="16" thickBot="1" x14ac:dyDescent="0.3">
      <c r="A7" s="576" t="s">
        <v>4</v>
      </c>
      <c r="B7" s="577"/>
      <c r="C7" s="577"/>
      <c r="D7" s="586" t="s">
        <v>221</v>
      </c>
      <c r="E7" s="582"/>
      <c r="F7" s="570" t="s">
        <v>16</v>
      </c>
      <c r="G7" s="571"/>
      <c r="H7" s="186"/>
      <c r="I7" s="588"/>
      <c r="J7" s="589"/>
      <c r="K7" s="584"/>
      <c r="L7" s="585"/>
      <c r="M7" s="585"/>
      <c r="N7" s="205"/>
      <c r="O7" s="56"/>
      <c r="P7" s="529" t="s">
        <v>192</v>
      </c>
      <c r="Q7" s="530"/>
      <c r="R7" s="530"/>
      <c r="S7" s="531"/>
      <c r="U7" s="172" t="s">
        <v>187</v>
      </c>
      <c r="V7" s="176">
        <f>SUMIF(G16:G43,"COURT",L16:L43)</f>
        <v>0</v>
      </c>
    </row>
    <row r="8" spans="1:24" s="57" customFormat="1" ht="15.5" x14ac:dyDescent="0.25">
      <c r="A8" s="574" t="s">
        <v>47</v>
      </c>
      <c r="B8" s="575"/>
      <c r="C8" s="575"/>
      <c r="D8" s="598">
        <v>1</v>
      </c>
      <c r="E8" s="599"/>
      <c r="F8" s="603" t="s">
        <v>210</v>
      </c>
      <c r="G8" s="583"/>
      <c r="H8" s="187"/>
      <c r="I8" s="590"/>
      <c r="J8" s="591"/>
      <c r="K8" s="583" t="s">
        <v>214</v>
      </c>
      <c r="L8" s="583"/>
      <c r="M8" s="583"/>
      <c r="N8" s="55">
        <v>0</v>
      </c>
      <c r="O8" s="56"/>
      <c r="P8" s="545" t="s">
        <v>212</v>
      </c>
      <c r="Q8" s="546"/>
      <c r="R8" s="546"/>
      <c r="S8" s="547"/>
      <c r="U8" s="194" t="s">
        <v>208</v>
      </c>
      <c r="V8" s="176">
        <f>SUMIF(G16:G43,"Crt OR Cty",L16:L43)</f>
        <v>10</v>
      </c>
    </row>
    <row r="9" spans="1:24" s="57" customFormat="1" ht="18" customHeight="1" thickBot="1" x14ac:dyDescent="0.3">
      <c r="A9" s="572" t="s">
        <v>46</v>
      </c>
      <c r="B9" s="573"/>
      <c r="C9" s="573"/>
      <c r="D9" s="596">
        <f>100%-D8</f>
        <v>0</v>
      </c>
      <c r="E9" s="597"/>
      <c r="F9" s="578" t="s">
        <v>201</v>
      </c>
      <c r="G9" s="575"/>
      <c r="H9" s="185"/>
      <c r="I9" s="586"/>
      <c r="J9" s="587"/>
      <c r="K9" s="575" t="s">
        <v>17</v>
      </c>
      <c r="L9" s="575"/>
      <c r="M9" s="575"/>
      <c r="N9" s="58"/>
      <c r="P9" s="548"/>
      <c r="Q9" s="549"/>
      <c r="R9" s="549"/>
      <c r="S9" s="550"/>
      <c r="U9" s="173" t="s">
        <v>203</v>
      </c>
      <c r="V9" s="148">
        <f>SUM(V4:V8)</f>
        <v>1940</v>
      </c>
      <c r="W9" s="65"/>
    </row>
    <row r="10" spans="1:24" s="57" customFormat="1" ht="16.5" customHeight="1" thickBot="1" x14ac:dyDescent="0.3">
      <c r="A10" s="628" t="s">
        <v>224</v>
      </c>
      <c r="B10" s="629"/>
      <c r="C10" s="629"/>
      <c r="D10" s="624">
        <f>N6+N10</f>
        <v>390</v>
      </c>
      <c r="E10" s="625"/>
      <c r="F10" s="578" t="s">
        <v>15</v>
      </c>
      <c r="G10" s="575"/>
      <c r="H10" s="185"/>
      <c r="I10" s="586"/>
      <c r="J10" s="587"/>
      <c r="K10" s="573" t="s">
        <v>190</v>
      </c>
      <c r="L10" s="573"/>
      <c r="M10" s="573"/>
      <c r="N10" s="204">
        <f>N8+N9*10</f>
        <v>0</v>
      </c>
      <c r="P10" s="542" t="s">
        <v>196</v>
      </c>
      <c r="Q10" s="543"/>
      <c r="R10" s="543"/>
      <c r="S10" s="544"/>
      <c r="V10" s="177">
        <f>V9-L45</f>
        <v>0</v>
      </c>
      <c r="W10" s="65"/>
    </row>
    <row r="11" spans="1:24" s="57" customFormat="1" ht="16.5" customHeight="1" thickBot="1" x14ac:dyDescent="0.3">
      <c r="A11" s="626" t="s">
        <v>225</v>
      </c>
      <c r="B11" s="627"/>
      <c r="C11" s="627"/>
      <c r="D11" s="622">
        <f>ROUNDUP(D10/10,0)</f>
        <v>39</v>
      </c>
      <c r="E11" s="623"/>
      <c r="F11" s="570" t="s">
        <v>16</v>
      </c>
      <c r="G11" s="571"/>
      <c r="H11" s="186"/>
      <c r="I11" s="588"/>
      <c r="J11" s="589"/>
      <c r="K11" s="649"/>
      <c r="L11" s="650"/>
      <c r="M11" s="650"/>
      <c r="N11" s="206"/>
      <c r="P11" s="520" t="s">
        <v>202</v>
      </c>
      <c r="Q11" s="521"/>
      <c r="R11" s="521"/>
      <c r="S11" s="522"/>
      <c r="W11" s="65"/>
    </row>
    <row r="12" spans="1:24" s="57" customFormat="1" ht="15" customHeight="1" thickBot="1" x14ac:dyDescent="0.3">
      <c r="A12" s="203"/>
      <c r="B12" s="203"/>
      <c r="C12" s="191"/>
      <c r="D12" s="191"/>
      <c r="E12" s="191"/>
      <c r="F12" s="66"/>
      <c r="G12" s="59"/>
      <c r="H12" s="60"/>
      <c r="I12" s="61"/>
      <c r="J12" s="61"/>
      <c r="K12" s="61"/>
      <c r="L12" s="61"/>
      <c r="M12" s="61"/>
      <c r="P12" s="62"/>
      <c r="Q12" s="56"/>
      <c r="R12" s="63"/>
      <c r="S12" s="64"/>
      <c r="W12" s="65"/>
    </row>
    <row r="13" spans="1:24" s="109" customFormat="1" ht="15.75" customHeight="1" thickBot="1" x14ac:dyDescent="0.3">
      <c r="A13" s="192"/>
      <c r="B13" s="192"/>
      <c r="C13" s="192"/>
      <c r="D13" s="192"/>
      <c r="E13" s="192"/>
      <c r="F13" s="107"/>
      <c r="G13" s="108"/>
      <c r="I13" s="644" t="s">
        <v>185</v>
      </c>
      <c r="J13" s="645"/>
      <c r="K13" s="645"/>
      <c r="L13" s="646"/>
      <c r="M13" s="110"/>
      <c r="N13" s="523" t="s">
        <v>186</v>
      </c>
      <c r="O13" s="524"/>
      <c r="P13" s="525"/>
      <c r="Q13" s="111"/>
      <c r="R13" s="158"/>
      <c r="S13" s="159"/>
      <c r="T13" s="108"/>
      <c r="U13" s="108"/>
      <c r="V13" s="108"/>
      <c r="W13" s="108"/>
      <c r="X13" s="108"/>
    </row>
    <row r="14" spans="1:24" ht="44.25" customHeight="1" thickBot="1" x14ac:dyDescent="0.3">
      <c r="A14" s="112">
        <v>0.02</v>
      </c>
      <c r="B14" s="112" t="s">
        <v>51</v>
      </c>
      <c r="C14" s="632" t="s">
        <v>183</v>
      </c>
      <c r="D14" s="633"/>
      <c r="E14" s="633"/>
      <c r="F14" s="634"/>
      <c r="G14" s="113" t="s">
        <v>206</v>
      </c>
      <c r="H14" s="114" t="s">
        <v>0</v>
      </c>
      <c r="I14" s="188" t="s">
        <v>204</v>
      </c>
      <c r="J14" s="120" t="s">
        <v>209</v>
      </c>
      <c r="K14" s="118" t="s">
        <v>5</v>
      </c>
      <c r="L14" s="119" t="s">
        <v>197</v>
      </c>
      <c r="M14" s="67"/>
      <c r="N14" s="536" t="s">
        <v>217</v>
      </c>
      <c r="O14" s="537"/>
      <c r="P14" s="120" t="s">
        <v>205</v>
      </c>
      <c r="Q14" s="121"/>
      <c r="R14" s="540" t="s">
        <v>213</v>
      </c>
      <c r="S14" s="538" t="s">
        <v>54</v>
      </c>
    </row>
    <row r="15" spans="1:24" ht="19.5" customHeight="1" thickBot="1" x14ac:dyDescent="0.3">
      <c r="A15" s="115"/>
      <c r="B15" s="115"/>
      <c r="C15" s="635"/>
      <c r="D15" s="636"/>
      <c r="E15" s="636"/>
      <c r="F15" s="637"/>
      <c r="G15" s="116"/>
      <c r="H15" s="116"/>
      <c r="I15" s="117"/>
      <c r="J15" s="161">
        <f>J33/I33</f>
        <v>0.71794871794871795</v>
      </c>
      <c r="K15" s="579" t="s">
        <v>184</v>
      </c>
      <c r="L15" s="580"/>
      <c r="M15" s="68"/>
      <c r="N15" s="534"/>
      <c r="O15" s="535"/>
      <c r="P15" s="189"/>
      <c r="Q15" s="121"/>
      <c r="R15" s="541"/>
      <c r="S15" s="539"/>
    </row>
    <row r="16" spans="1:24" s="74" customFormat="1" ht="15.75" customHeight="1" thickTop="1" x14ac:dyDescent="0.25">
      <c r="A16" s="69" t="s">
        <v>7</v>
      </c>
      <c r="B16" s="647" t="s">
        <v>198</v>
      </c>
      <c r="C16" s="569" t="s">
        <v>199</v>
      </c>
      <c r="D16" s="569"/>
      <c r="E16" s="569"/>
      <c r="F16" s="569"/>
      <c r="G16" s="70" t="s">
        <v>26</v>
      </c>
      <c r="H16" s="71" t="s">
        <v>12</v>
      </c>
      <c r="I16" s="154">
        <v>50</v>
      </c>
      <c r="J16" s="160">
        <f>I16</f>
        <v>50</v>
      </c>
      <c r="K16" s="162">
        <f>IF(A16="Y", IF($K$15="BASE-UP",I16*2%, IF($K$15="TOP-DOWN", J16*2%,0)),0)</f>
        <v>1</v>
      </c>
      <c r="L16" s="166">
        <f t="shared" ref="L16:L32" si="0">IF($K$15="BASE-UP", I16-K16, IF($K$15="TOP-DOWN", J16-K16,0))</f>
        <v>49</v>
      </c>
      <c r="M16" s="164"/>
      <c r="N16" s="551"/>
      <c r="O16" s="552"/>
      <c r="P16" s="190">
        <v>50</v>
      </c>
      <c r="Q16" s="72"/>
      <c r="R16" s="181">
        <f>P16-L16</f>
        <v>1</v>
      </c>
      <c r="S16" s="105"/>
      <c r="T16" s="125"/>
      <c r="U16" s="125"/>
      <c r="V16" s="125"/>
      <c r="W16" s="125"/>
      <c r="X16" s="125"/>
    </row>
    <row r="17" spans="1:24" s="74" customFormat="1" ht="15.75" customHeight="1" x14ac:dyDescent="0.25">
      <c r="A17" s="69" t="s">
        <v>7</v>
      </c>
      <c r="B17" s="647"/>
      <c r="C17" s="555" t="s">
        <v>231</v>
      </c>
      <c r="D17" s="555"/>
      <c r="E17" s="555"/>
      <c r="F17" s="555"/>
      <c r="G17" s="76" t="s">
        <v>26</v>
      </c>
      <c r="H17" s="77" t="s">
        <v>12</v>
      </c>
      <c r="I17" s="156">
        <v>50</v>
      </c>
      <c r="J17" s="155">
        <f>I17</f>
        <v>50</v>
      </c>
      <c r="K17" s="162">
        <f t="shared" ref="K17:K42" si="1">IF(A17="Y", IF($K$15="BASE-UP",I17*2%, IF($K$15="TOP-DOWN", J17*2%,0)),0)</f>
        <v>1</v>
      </c>
      <c r="L17" s="167">
        <f t="shared" si="0"/>
        <v>49</v>
      </c>
      <c r="M17" s="164"/>
      <c r="N17" s="532"/>
      <c r="O17" s="533"/>
      <c r="P17" s="78"/>
      <c r="Q17" s="72"/>
      <c r="R17" s="182">
        <f t="shared" ref="R17:R43" si="2">P17-L17</f>
        <v>-49</v>
      </c>
      <c r="S17" s="73"/>
      <c r="T17" s="125"/>
      <c r="U17" s="125"/>
      <c r="V17" s="125"/>
      <c r="W17" s="125"/>
      <c r="X17" s="125"/>
    </row>
    <row r="18" spans="1:24" s="74" customFormat="1" ht="15.75" customHeight="1" x14ac:dyDescent="0.25">
      <c r="A18" s="69" t="s">
        <v>7</v>
      </c>
      <c r="B18" s="647"/>
      <c r="C18" s="555" t="s">
        <v>200</v>
      </c>
      <c r="D18" s="555"/>
      <c r="E18" s="555"/>
      <c r="F18" s="555"/>
      <c r="G18" s="76" t="s">
        <v>25</v>
      </c>
      <c r="H18" s="77" t="s">
        <v>44</v>
      </c>
      <c r="I18" s="156">
        <v>20</v>
      </c>
      <c r="J18" s="155">
        <f>I18</f>
        <v>20</v>
      </c>
      <c r="K18" s="162">
        <f t="shared" si="1"/>
        <v>0.4</v>
      </c>
      <c r="L18" s="167">
        <f t="shared" si="0"/>
        <v>19.600000000000001</v>
      </c>
      <c r="M18" s="164"/>
      <c r="N18" s="532"/>
      <c r="O18" s="533"/>
      <c r="P18" s="78"/>
      <c r="Q18" s="72"/>
      <c r="R18" s="182">
        <f t="shared" si="2"/>
        <v>-19.600000000000001</v>
      </c>
      <c r="S18" s="73"/>
      <c r="T18" s="125"/>
      <c r="U18" s="125"/>
      <c r="V18" s="125"/>
      <c r="W18" s="125"/>
      <c r="X18" s="125"/>
    </row>
    <row r="19" spans="1:24" s="74" customFormat="1" ht="15.75" customHeight="1" x14ac:dyDescent="0.25">
      <c r="A19" s="69" t="s">
        <v>7</v>
      </c>
      <c r="B19" s="647"/>
      <c r="C19" s="555" t="s">
        <v>169</v>
      </c>
      <c r="D19" s="555"/>
      <c r="E19" s="555"/>
      <c r="F19" s="555"/>
      <c r="G19" s="76" t="s">
        <v>26</v>
      </c>
      <c r="H19" s="77" t="s">
        <v>21</v>
      </c>
      <c r="I19" s="155">
        <f>(D10-SUM(I16:I18))*D8</f>
        <v>270</v>
      </c>
      <c r="J19" s="155">
        <f>((SUM(I16:I20)*J15)-SUM(J16:J18))*D8</f>
        <v>160</v>
      </c>
      <c r="K19" s="162">
        <f t="shared" si="1"/>
        <v>5.4</v>
      </c>
      <c r="L19" s="167">
        <f t="shared" si="0"/>
        <v>264.60000000000002</v>
      </c>
      <c r="M19" s="164"/>
      <c r="N19" s="532"/>
      <c r="O19" s="533"/>
      <c r="P19" s="78"/>
      <c r="Q19" s="72"/>
      <c r="R19" s="182">
        <f t="shared" si="2"/>
        <v>-264.60000000000002</v>
      </c>
      <c r="S19" s="73"/>
      <c r="T19" s="125"/>
      <c r="U19" s="125"/>
      <c r="V19" s="125"/>
      <c r="W19" s="125"/>
      <c r="X19" s="125"/>
    </row>
    <row r="20" spans="1:24" s="74" customFormat="1" ht="15.75" customHeight="1" x14ac:dyDescent="0.25">
      <c r="A20" s="69" t="s">
        <v>7</v>
      </c>
      <c r="B20" s="648"/>
      <c r="C20" s="555" t="s">
        <v>170</v>
      </c>
      <c r="D20" s="555"/>
      <c r="E20" s="555"/>
      <c r="F20" s="555"/>
      <c r="G20" s="76" t="s">
        <v>45</v>
      </c>
      <c r="H20" s="77" t="s">
        <v>19</v>
      </c>
      <c r="I20" s="155">
        <f>(D10-SUM(I16:I18))*D9</f>
        <v>0</v>
      </c>
      <c r="J20" s="155">
        <f>((SUM(I16:I20)*J15)-SUM(J16:J18))*D9</f>
        <v>0</v>
      </c>
      <c r="K20" s="162">
        <f t="shared" si="1"/>
        <v>0</v>
      </c>
      <c r="L20" s="167">
        <f t="shared" si="0"/>
        <v>0</v>
      </c>
      <c r="M20" s="164"/>
      <c r="N20" s="532"/>
      <c r="O20" s="533"/>
      <c r="P20" s="78"/>
      <c r="Q20" s="72"/>
      <c r="R20" s="182">
        <f t="shared" si="2"/>
        <v>0</v>
      </c>
      <c r="S20" s="73"/>
      <c r="T20" s="125"/>
      <c r="U20" s="125"/>
      <c r="V20" s="125"/>
      <c r="W20" s="125"/>
      <c r="X20" s="125"/>
    </row>
    <row r="21" spans="1:24" s="74" customFormat="1" ht="15.75" customHeight="1" x14ac:dyDescent="0.25">
      <c r="A21" s="69" t="s">
        <v>7</v>
      </c>
      <c r="B21" s="75">
        <v>7</v>
      </c>
      <c r="C21" s="555" t="s">
        <v>171</v>
      </c>
      <c r="D21" s="555"/>
      <c r="E21" s="555"/>
      <c r="F21" s="555"/>
      <c r="G21" s="76" t="s">
        <v>25</v>
      </c>
      <c r="H21" s="77" t="s">
        <v>20</v>
      </c>
      <c r="I21" s="155">
        <f>$D$11*B21</f>
        <v>273</v>
      </c>
      <c r="J21" s="155">
        <f>$J$15*I21</f>
        <v>196</v>
      </c>
      <c r="K21" s="162">
        <f t="shared" si="1"/>
        <v>5.46</v>
      </c>
      <c r="L21" s="167">
        <f t="shared" si="0"/>
        <v>267.54000000000002</v>
      </c>
      <c r="M21" s="164"/>
      <c r="N21" s="532"/>
      <c r="O21" s="533"/>
      <c r="P21" s="80"/>
      <c r="Q21" s="81"/>
      <c r="R21" s="182">
        <f t="shared" si="2"/>
        <v>-267.54000000000002</v>
      </c>
      <c r="S21" s="73"/>
      <c r="T21" s="125"/>
      <c r="U21" s="125"/>
      <c r="V21" s="125"/>
      <c r="W21" s="125"/>
      <c r="X21" s="125"/>
    </row>
    <row r="22" spans="1:24" s="74" customFormat="1" ht="15.75" customHeight="1" x14ac:dyDescent="0.25">
      <c r="A22" s="69" t="s">
        <v>7</v>
      </c>
      <c r="B22" s="75">
        <v>3</v>
      </c>
      <c r="C22" s="532" t="s">
        <v>172</v>
      </c>
      <c r="D22" s="553"/>
      <c r="E22" s="553"/>
      <c r="F22" s="554"/>
      <c r="G22" s="76" t="s">
        <v>26</v>
      </c>
      <c r="H22" s="77" t="s">
        <v>21</v>
      </c>
      <c r="I22" s="155">
        <f t="shared" ref="I22:I31" si="3">$D$11*B22</f>
        <v>117</v>
      </c>
      <c r="J22" s="155">
        <f t="shared" ref="J22:J32" si="4">$J$15*I22</f>
        <v>84</v>
      </c>
      <c r="K22" s="162">
        <f t="shared" si="1"/>
        <v>2.34</v>
      </c>
      <c r="L22" s="167">
        <f t="shared" si="0"/>
        <v>114.66</v>
      </c>
      <c r="M22" s="164"/>
      <c r="N22" s="532"/>
      <c r="O22" s="533"/>
      <c r="P22" s="78"/>
      <c r="Q22" s="72"/>
      <c r="R22" s="182">
        <f t="shared" si="2"/>
        <v>-114.66</v>
      </c>
      <c r="S22" s="73"/>
      <c r="T22" s="125"/>
      <c r="U22" s="125"/>
      <c r="V22" s="125"/>
      <c r="W22" s="125"/>
      <c r="X22" s="125"/>
    </row>
    <row r="23" spans="1:24" s="74" customFormat="1" ht="15.75" customHeight="1" x14ac:dyDescent="0.25">
      <c r="A23" s="69" t="s">
        <v>7</v>
      </c>
      <c r="B23" s="75">
        <v>1</v>
      </c>
      <c r="C23" s="532" t="s">
        <v>173</v>
      </c>
      <c r="D23" s="553"/>
      <c r="E23" s="553"/>
      <c r="F23" s="554"/>
      <c r="G23" s="76" t="s">
        <v>26</v>
      </c>
      <c r="H23" s="77" t="s">
        <v>48</v>
      </c>
      <c r="I23" s="155">
        <f t="shared" si="3"/>
        <v>39</v>
      </c>
      <c r="J23" s="155">
        <f t="shared" si="4"/>
        <v>28</v>
      </c>
      <c r="K23" s="162">
        <f t="shared" si="1"/>
        <v>0.78</v>
      </c>
      <c r="L23" s="167">
        <f t="shared" si="0"/>
        <v>38.22</v>
      </c>
      <c r="M23" s="164"/>
      <c r="N23" s="532"/>
      <c r="O23" s="533"/>
      <c r="P23" s="78"/>
      <c r="Q23" s="72"/>
      <c r="R23" s="182">
        <f t="shared" si="2"/>
        <v>-38.22</v>
      </c>
      <c r="S23" s="82"/>
      <c r="T23" s="125"/>
      <c r="U23" s="125"/>
      <c r="V23" s="125"/>
      <c r="W23" s="125"/>
      <c r="X23" s="125"/>
    </row>
    <row r="24" spans="1:24" s="74" customFormat="1" ht="15.75" customHeight="1" x14ac:dyDescent="0.25">
      <c r="A24" s="69" t="s">
        <v>7</v>
      </c>
      <c r="B24" s="75">
        <v>3</v>
      </c>
      <c r="C24" s="532" t="s">
        <v>226</v>
      </c>
      <c r="D24" s="553"/>
      <c r="E24" s="553"/>
      <c r="F24" s="554"/>
      <c r="G24" s="76" t="s">
        <v>25</v>
      </c>
      <c r="H24" s="77" t="s">
        <v>60</v>
      </c>
      <c r="I24" s="155">
        <f t="shared" si="3"/>
        <v>117</v>
      </c>
      <c r="J24" s="155">
        <f t="shared" si="4"/>
        <v>84</v>
      </c>
      <c r="K24" s="162">
        <f t="shared" si="1"/>
        <v>2.34</v>
      </c>
      <c r="L24" s="167">
        <f t="shared" si="0"/>
        <v>114.66</v>
      </c>
      <c r="M24" s="164"/>
      <c r="N24" s="532"/>
      <c r="O24" s="533"/>
      <c r="P24" s="78"/>
      <c r="Q24" s="72"/>
      <c r="R24" s="182">
        <f t="shared" si="2"/>
        <v>-114.66</v>
      </c>
      <c r="S24" s="73"/>
      <c r="T24" s="125"/>
      <c r="U24" s="125"/>
      <c r="V24" s="125"/>
      <c r="W24" s="125"/>
      <c r="X24" s="125"/>
    </row>
    <row r="25" spans="1:24" s="74" customFormat="1" ht="15.75" customHeight="1" x14ac:dyDescent="0.25">
      <c r="A25" s="69" t="s">
        <v>7</v>
      </c>
      <c r="B25" s="178">
        <v>2</v>
      </c>
      <c r="C25" s="555" t="s">
        <v>174</v>
      </c>
      <c r="D25" s="555"/>
      <c r="E25" s="638" t="str">
        <f>IF(SUM(B25:B28)=7,"GC 76000 PA ($7 for every 10) breakdown per local board of supervisor resolution (BOS).","ERROR! GC 76000 PA total is not $7. Check Court's board resolution.")</f>
        <v>GC 76000 PA ($7 for every 10) breakdown per local board of supervisor resolution (BOS).</v>
      </c>
      <c r="F25" s="639"/>
      <c r="G25" s="76" t="s">
        <v>26</v>
      </c>
      <c r="H25" s="77" t="s">
        <v>56</v>
      </c>
      <c r="I25" s="155">
        <f t="shared" si="3"/>
        <v>78</v>
      </c>
      <c r="J25" s="155">
        <f t="shared" si="4"/>
        <v>56</v>
      </c>
      <c r="K25" s="162">
        <f t="shared" si="1"/>
        <v>1.56</v>
      </c>
      <c r="L25" s="167">
        <f t="shared" si="0"/>
        <v>76.44</v>
      </c>
      <c r="M25" s="164"/>
      <c r="N25" s="532"/>
      <c r="O25" s="533"/>
      <c r="P25" s="78"/>
      <c r="Q25" s="72"/>
      <c r="R25" s="182">
        <f t="shared" si="2"/>
        <v>-76.44</v>
      </c>
      <c r="S25" s="82"/>
      <c r="T25" s="125"/>
      <c r="U25" s="125"/>
      <c r="V25" s="125"/>
      <c r="W25" s="125"/>
      <c r="X25" s="125"/>
    </row>
    <row r="26" spans="1:24" s="74" customFormat="1" ht="15.75" customHeight="1" x14ac:dyDescent="0.25">
      <c r="A26" s="69" t="s">
        <v>7</v>
      </c>
      <c r="B26" s="178">
        <v>3</v>
      </c>
      <c r="C26" s="555" t="s">
        <v>175</v>
      </c>
      <c r="D26" s="555"/>
      <c r="E26" s="640"/>
      <c r="F26" s="641"/>
      <c r="G26" s="76" t="s">
        <v>26</v>
      </c>
      <c r="H26" s="77" t="s">
        <v>28</v>
      </c>
      <c r="I26" s="155">
        <f t="shared" si="3"/>
        <v>117</v>
      </c>
      <c r="J26" s="155">
        <f t="shared" si="4"/>
        <v>84</v>
      </c>
      <c r="K26" s="162">
        <f t="shared" si="1"/>
        <v>2.34</v>
      </c>
      <c r="L26" s="167">
        <f t="shared" si="0"/>
        <v>114.66</v>
      </c>
      <c r="M26" s="164"/>
      <c r="N26" s="532"/>
      <c r="O26" s="533"/>
      <c r="P26" s="78"/>
      <c r="Q26" s="72"/>
      <c r="R26" s="182">
        <f t="shared" si="2"/>
        <v>-114.66</v>
      </c>
      <c r="S26" s="82"/>
      <c r="T26" s="125"/>
      <c r="U26" s="125"/>
      <c r="V26" s="125"/>
      <c r="W26" s="125"/>
      <c r="X26" s="125"/>
    </row>
    <row r="27" spans="1:24" s="74" customFormat="1" ht="15.75" customHeight="1" x14ac:dyDescent="0.25">
      <c r="A27" s="69" t="s">
        <v>7</v>
      </c>
      <c r="B27" s="178">
        <v>2</v>
      </c>
      <c r="C27" s="555" t="s">
        <v>176</v>
      </c>
      <c r="D27" s="555"/>
      <c r="E27" s="640"/>
      <c r="F27" s="641"/>
      <c r="G27" s="76" t="s">
        <v>26</v>
      </c>
      <c r="H27" s="77" t="s">
        <v>57</v>
      </c>
      <c r="I27" s="155">
        <f t="shared" si="3"/>
        <v>78</v>
      </c>
      <c r="J27" s="155">
        <f t="shared" si="4"/>
        <v>56</v>
      </c>
      <c r="K27" s="162">
        <f t="shared" si="1"/>
        <v>1.56</v>
      </c>
      <c r="L27" s="167">
        <f t="shared" si="0"/>
        <v>76.44</v>
      </c>
      <c r="M27" s="164"/>
      <c r="N27" s="532"/>
      <c r="O27" s="533"/>
      <c r="P27" s="78"/>
      <c r="Q27" s="72"/>
      <c r="R27" s="182">
        <f t="shared" si="2"/>
        <v>-76.44</v>
      </c>
      <c r="S27" s="82"/>
      <c r="T27" s="125"/>
      <c r="U27" s="125"/>
      <c r="V27" s="125"/>
      <c r="W27" s="125"/>
      <c r="X27" s="125"/>
    </row>
    <row r="28" spans="1:24" s="74" customFormat="1" ht="15.75" customHeight="1" x14ac:dyDescent="0.25">
      <c r="A28" s="69" t="s">
        <v>7</v>
      </c>
      <c r="B28" s="178"/>
      <c r="C28" s="555" t="s">
        <v>211</v>
      </c>
      <c r="D28" s="555"/>
      <c r="E28" s="642"/>
      <c r="F28" s="643"/>
      <c r="G28" s="76" t="s">
        <v>26</v>
      </c>
      <c r="H28" s="77"/>
      <c r="I28" s="155">
        <f t="shared" si="3"/>
        <v>0</v>
      </c>
      <c r="J28" s="155">
        <f t="shared" si="4"/>
        <v>0</v>
      </c>
      <c r="K28" s="162">
        <f t="shared" si="1"/>
        <v>0</v>
      </c>
      <c r="L28" s="167">
        <f t="shared" si="0"/>
        <v>0</v>
      </c>
      <c r="M28" s="164"/>
      <c r="N28" s="532"/>
      <c r="O28" s="533"/>
      <c r="P28" s="78"/>
      <c r="Q28" s="72"/>
      <c r="R28" s="182">
        <f t="shared" si="2"/>
        <v>0</v>
      </c>
      <c r="S28" s="82"/>
      <c r="T28" s="125"/>
      <c r="U28" s="125"/>
      <c r="V28" s="125"/>
      <c r="W28" s="125"/>
      <c r="X28" s="125"/>
    </row>
    <row r="29" spans="1:24" s="85" customFormat="1" ht="15.75" customHeight="1" x14ac:dyDescent="0.25">
      <c r="A29" s="69" t="s">
        <v>7</v>
      </c>
      <c r="B29" s="79">
        <v>2</v>
      </c>
      <c r="C29" s="556" t="s">
        <v>234</v>
      </c>
      <c r="D29" s="557"/>
      <c r="E29" s="557"/>
      <c r="F29" s="558"/>
      <c r="G29" s="83" t="s">
        <v>26</v>
      </c>
      <c r="H29" s="84" t="s">
        <v>29</v>
      </c>
      <c r="I29" s="155">
        <f t="shared" si="3"/>
        <v>78</v>
      </c>
      <c r="J29" s="155">
        <f t="shared" si="4"/>
        <v>56</v>
      </c>
      <c r="K29" s="162">
        <f t="shared" si="1"/>
        <v>1.56</v>
      </c>
      <c r="L29" s="167">
        <f t="shared" si="0"/>
        <v>76.44</v>
      </c>
      <c r="M29" s="164"/>
      <c r="N29" s="532"/>
      <c r="O29" s="533"/>
      <c r="P29" s="78"/>
      <c r="Q29" s="72"/>
      <c r="R29" s="182">
        <f>P29-L29</f>
        <v>-76.44</v>
      </c>
      <c r="S29" s="82"/>
      <c r="T29" s="127"/>
      <c r="U29" s="127"/>
      <c r="V29" s="127"/>
      <c r="W29" s="127"/>
      <c r="X29" s="127"/>
    </row>
    <row r="30" spans="1:24" s="74" customFormat="1" ht="15.75" customHeight="1" x14ac:dyDescent="0.25">
      <c r="A30" s="69" t="s">
        <v>7</v>
      </c>
      <c r="B30" s="179">
        <f>5-B25</f>
        <v>3</v>
      </c>
      <c r="C30" s="556" t="s">
        <v>228</v>
      </c>
      <c r="D30" s="557"/>
      <c r="E30" s="557"/>
      <c r="F30" s="630" t="s">
        <v>229</v>
      </c>
      <c r="G30" s="83" t="s">
        <v>25</v>
      </c>
      <c r="H30" s="84" t="s">
        <v>30</v>
      </c>
      <c r="I30" s="155">
        <f t="shared" si="3"/>
        <v>117</v>
      </c>
      <c r="J30" s="155">
        <f t="shared" si="4"/>
        <v>84</v>
      </c>
      <c r="K30" s="162">
        <f t="shared" si="1"/>
        <v>2.34</v>
      </c>
      <c r="L30" s="167">
        <f t="shared" si="0"/>
        <v>114.66</v>
      </c>
      <c r="M30" s="164"/>
      <c r="N30" s="532"/>
      <c r="O30" s="533"/>
      <c r="P30" s="78"/>
      <c r="Q30" s="72"/>
      <c r="R30" s="182">
        <f t="shared" si="2"/>
        <v>-114.66</v>
      </c>
      <c r="S30" s="82"/>
      <c r="T30" s="125"/>
      <c r="U30" s="125"/>
      <c r="V30" s="125"/>
      <c r="W30" s="125"/>
      <c r="X30" s="125"/>
    </row>
    <row r="31" spans="1:24" s="74" customFormat="1" ht="15.75" customHeight="1" x14ac:dyDescent="0.25">
      <c r="A31" s="69" t="s">
        <v>7</v>
      </c>
      <c r="B31" s="179">
        <f>B25</f>
        <v>2</v>
      </c>
      <c r="C31" s="556" t="s">
        <v>227</v>
      </c>
      <c r="D31" s="557"/>
      <c r="E31" s="557"/>
      <c r="F31" s="631"/>
      <c r="G31" s="83" t="s">
        <v>25</v>
      </c>
      <c r="H31" s="84" t="s">
        <v>158</v>
      </c>
      <c r="I31" s="155">
        <f t="shared" si="3"/>
        <v>78</v>
      </c>
      <c r="J31" s="155">
        <f t="shared" si="4"/>
        <v>56</v>
      </c>
      <c r="K31" s="162">
        <f t="shared" si="1"/>
        <v>1.56</v>
      </c>
      <c r="L31" s="167">
        <f t="shared" si="0"/>
        <v>76.44</v>
      </c>
      <c r="M31" s="164"/>
      <c r="N31" s="532"/>
      <c r="O31" s="533"/>
      <c r="P31" s="78"/>
      <c r="Q31" s="72"/>
      <c r="R31" s="182">
        <f t="shared" si="2"/>
        <v>-76.44</v>
      </c>
      <c r="S31" s="82"/>
      <c r="T31" s="125"/>
      <c r="U31" s="125"/>
      <c r="V31" s="125"/>
      <c r="W31" s="125"/>
      <c r="X31" s="125"/>
    </row>
    <row r="32" spans="1:24" s="85" customFormat="1" ht="15.75" customHeight="1" x14ac:dyDescent="0.25">
      <c r="A32" s="69"/>
      <c r="B32" s="75"/>
      <c r="C32" s="556" t="s">
        <v>177</v>
      </c>
      <c r="D32" s="557"/>
      <c r="E32" s="557"/>
      <c r="F32" s="558"/>
      <c r="G32" s="83" t="s">
        <v>25</v>
      </c>
      <c r="H32" s="84" t="s">
        <v>9</v>
      </c>
      <c r="I32" s="155">
        <f>$D$10*20%</f>
        <v>78</v>
      </c>
      <c r="J32" s="155">
        <f t="shared" si="4"/>
        <v>56</v>
      </c>
      <c r="K32" s="162"/>
      <c r="L32" s="167">
        <f t="shared" si="0"/>
        <v>78</v>
      </c>
      <c r="M32" s="164"/>
      <c r="N32" s="532"/>
      <c r="O32" s="533"/>
      <c r="P32" s="78"/>
      <c r="Q32" s="72"/>
      <c r="R32" s="182">
        <f t="shared" si="2"/>
        <v>-78</v>
      </c>
      <c r="S32" s="82"/>
      <c r="T32" s="127"/>
      <c r="U32" s="127"/>
      <c r="V32" s="127"/>
      <c r="W32" s="127"/>
      <c r="X32" s="127"/>
    </row>
    <row r="33" spans="1:24" s="90" customFormat="1" ht="15.75" customHeight="1" x14ac:dyDescent="0.25">
      <c r="A33" s="69"/>
      <c r="B33" s="86"/>
      <c r="C33" s="560" t="s">
        <v>178</v>
      </c>
      <c r="D33" s="561"/>
      <c r="E33" s="561"/>
      <c r="F33" s="562"/>
      <c r="G33" s="87"/>
      <c r="H33" s="88"/>
      <c r="I33" s="157">
        <f>SUM(I16:I32)</f>
        <v>1560</v>
      </c>
      <c r="J33" s="157">
        <f>J45-SUM(J34:J42)</f>
        <v>1120</v>
      </c>
      <c r="K33" s="162"/>
      <c r="L33" s="168">
        <f>SUM(L16:L32)</f>
        <v>1530.3600000000004</v>
      </c>
      <c r="M33" s="165"/>
      <c r="N33" s="556"/>
      <c r="O33" s="559"/>
      <c r="P33" s="184">
        <f>SUM(P16:P32)</f>
        <v>50</v>
      </c>
      <c r="Q33" s="122"/>
      <c r="R33" s="183">
        <f t="shared" si="2"/>
        <v>-1480.3600000000004</v>
      </c>
      <c r="S33" s="89"/>
      <c r="T33" s="143"/>
      <c r="U33" s="143"/>
      <c r="V33" s="143"/>
      <c r="W33" s="143"/>
      <c r="X33" s="143"/>
    </row>
    <row r="34" spans="1:24" s="85" customFormat="1" ht="15.75" customHeight="1" x14ac:dyDescent="0.25">
      <c r="A34" s="69" t="s">
        <v>6</v>
      </c>
      <c r="B34" s="75"/>
      <c r="C34" s="556" t="s">
        <v>235</v>
      </c>
      <c r="D34" s="557"/>
      <c r="E34" s="557"/>
      <c r="F34" s="558"/>
      <c r="G34" s="83" t="s">
        <v>25</v>
      </c>
      <c r="H34" s="91" t="s">
        <v>32</v>
      </c>
      <c r="I34" s="197">
        <v>30</v>
      </c>
      <c r="J34" s="155">
        <f>I34</f>
        <v>30</v>
      </c>
      <c r="K34" s="162">
        <f t="shared" si="1"/>
        <v>0</v>
      </c>
      <c r="L34" s="167">
        <f t="shared" ref="L34:L42" si="5">IF($K$15="BASE-UP", I34-K34, IF($K$15="TOP-DOWN", J34-K34,0))</f>
        <v>30</v>
      </c>
      <c r="M34" s="164"/>
      <c r="N34" s="532"/>
      <c r="O34" s="533"/>
      <c r="P34" s="78"/>
      <c r="Q34" s="72"/>
      <c r="R34" s="182">
        <f t="shared" si="2"/>
        <v>-30</v>
      </c>
      <c r="S34" s="73"/>
      <c r="T34" s="127"/>
      <c r="U34" s="127"/>
      <c r="V34" s="127"/>
      <c r="W34" s="127"/>
      <c r="X34" s="127"/>
    </row>
    <row r="35" spans="1:24" s="85" customFormat="1" ht="15.75" customHeight="1" x14ac:dyDescent="0.25">
      <c r="A35" s="69" t="s">
        <v>6</v>
      </c>
      <c r="B35" s="75"/>
      <c r="C35" s="563" t="s">
        <v>216</v>
      </c>
      <c r="D35" s="564"/>
      <c r="E35" s="564"/>
      <c r="F35" s="565"/>
      <c r="G35" s="153" t="s">
        <v>25</v>
      </c>
      <c r="H35" s="92" t="s">
        <v>158</v>
      </c>
      <c r="I35" s="197">
        <v>30</v>
      </c>
      <c r="J35" s="155">
        <f t="shared" ref="J35:J42" si="6">I35</f>
        <v>30</v>
      </c>
      <c r="K35" s="162">
        <f t="shared" si="1"/>
        <v>0</v>
      </c>
      <c r="L35" s="167">
        <f t="shared" si="5"/>
        <v>30</v>
      </c>
      <c r="M35" s="164"/>
      <c r="N35" s="532"/>
      <c r="O35" s="533"/>
      <c r="P35" s="78"/>
      <c r="Q35" s="72"/>
      <c r="R35" s="182">
        <f t="shared" si="2"/>
        <v>-30</v>
      </c>
      <c r="S35" s="73"/>
      <c r="T35" s="127"/>
      <c r="U35" s="127"/>
      <c r="V35" s="127"/>
      <c r="W35" s="127"/>
      <c r="X35" s="127"/>
    </row>
    <row r="36" spans="1:24" s="74" customFormat="1" ht="15.75" customHeight="1" x14ac:dyDescent="0.25">
      <c r="A36" s="69" t="s">
        <v>6</v>
      </c>
      <c r="B36" s="94"/>
      <c r="C36" s="563" t="s">
        <v>189</v>
      </c>
      <c r="D36" s="564"/>
      <c r="E36" s="564"/>
      <c r="F36" s="565"/>
      <c r="G36" s="153" t="s">
        <v>208</v>
      </c>
      <c r="H36" s="92" t="s">
        <v>18</v>
      </c>
      <c r="I36" s="197">
        <v>10</v>
      </c>
      <c r="J36" s="155">
        <f t="shared" si="6"/>
        <v>10</v>
      </c>
      <c r="K36" s="162">
        <f t="shared" si="1"/>
        <v>0</v>
      </c>
      <c r="L36" s="167">
        <f t="shared" si="5"/>
        <v>10</v>
      </c>
      <c r="M36" s="164"/>
      <c r="N36" s="532"/>
      <c r="O36" s="533"/>
      <c r="P36" s="78"/>
      <c r="Q36" s="72"/>
      <c r="R36" s="182">
        <f t="shared" si="2"/>
        <v>-10</v>
      </c>
      <c r="S36" s="77"/>
      <c r="T36" s="125"/>
      <c r="U36" s="125"/>
      <c r="V36" s="125"/>
      <c r="W36" s="125"/>
      <c r="X36" s="125"/>
    </row>
    <row r="37" spans="1:24" s="74" customFormat="1" ht="15.75" customHeight="1" x14ac:dyDescent="0.25">
      <c r="A37" s="69" t="s">
        <v>6</v>
      </c>
      <c r="B37" s="94"/>
      <c r="C37" s="563" t="s">
        <v>179</v>
      </c>
      <c r="D37" s="564"/>
      <c r="E37" s="564"/>
      <c r="F37" s="565"/>
      <c r="G37" s="153" t="s">
        <v>26</v>
      </c>
      <c r="H37" s="92" t="s">
        <v>13</v>
      </c>
      <c r="I37" s="197">
        <v>50</v>
      </c>
      <c r="J37" s="155">
        <f t="shared" si="6"/>
        <v>50</v>
      </c>
      <c r="K37" s="162">
        <f t="shared" si="1"/>
        <v>0</v>
      </c>
      <c r="L37" s="167">
        <f t="shared" si="5"/>
        <v>50</v>
      </c>
      <c r="M37" s="164"/>
      <c r="N37" s="532"/>
      <c r="O37" s="533"/>
      <c r="P37" s="78"/>
      <c r="Q37" s="72"/>
      <c r="R37" s="182">
        <f t="shared" si="2"/>
        <v>-50</v>
      </c>
      <c r="S37" s="77"/>
      <c r="T37" s="125"/>
      <c r="U37" s="125"/>
      <c r="V37" s="125"/>
      <c r="W37" s="125"/>
      <c r="X37" s="125"/>
    </row>
    <row r="38" spans="1:24" s="74" customFormat="1" ht="15.75" customHeight="1" x14ac:dyDescent="0.25">
      <c r="A38" s="69" t="s">
        <v>6</v>
      </c>
      <c r="B38" s="94"/>
      <c r="C38" s="563" t="s">
        <v>232</v>
      </c>
      <c r="D38" s="564"/>
      <c r="E38" s="564"/>
      <c r="F38" s="565"/>
      <c r="G38" s="153" t="s">
        <v>26</v>
      </c>
      <c r="H38" s="92" t="s">
        <v>21</v>
      </c>
      <c r="I38" s="197">
        <v>150</v>
      </c>
      <c r="J38" s="155">
        <f t="shared" si="6"/>
        <v>150</v>
      </c>
      <c r="K38" s="162">
        <f t="shared" si="1"/>
        <v>0</v>
      </c>
      <c r="L38" s="167">
        <f t="shared" si="5"/>
        <v>150</v>
      </c>
      <c r="M38" s="164"/>
      <c r="N38" s="532"/>
      <c r="O38" s="533"/>
      <c r="P38" s="78"/>
      <c r="Q38" s="72"/>
      <c r="R38" s="182">
        <f t="shared" si="2"/>
        <v>-150</v>
      </c>
      <c r="S38" s="77"/>
      <c r="T38" s="125"/>
      <c r="U38" s="125"/>
      <c r="V38" s="125"/>
      <c r="W38" s="125"/>
      <c r="X38" s="125"/>
    </row>
    <row r="39" spans="1:24" s="74" customFormat="1" ht="15.75" customHeight="1" x14ac:dyDescent="0.25">
      <c r="A39" s="69" t="s">
        <v>7</v>
      </c>
      <c r="B39" s="94"/>
      <c r="C39" s="563" t="s">
        <v>180</v>
      </c>
      <c r="D39" s="564"/>
      <c r="E39" s="564"/>
      <c r="F39" s="565"/>
      <c r="G39" s="153" t="s">
        <v>25</v>
      </c>
      <c r="H39" s="92" t="s">
        <v>11</v>
      </c>
      <c r="I39" s="197">
        <v>100</v>
      </c>
      <c r="J39" s="155">
        <f t="shared" si="6"/>
        <v>100</v>
      </c>
      <c r="K39" s="162">
        <f t="shared" si="1"/>
        <v>2</v>
      </c>
      <c r="L39" s="167">
        <f t="shared" si="5"/>
        <v>98</v>
      </c>
      <c r="M39" s="164"/>
      <c r="N39" s="532"/>
      <c r="O39" s="533"/>
      <c r="P39" s="78"/>
      <c r="Q39" s="72"/>
      <c r="R39" s="182">
        <f t="shared" si="2"/>
        <v>-98</v>
      </c>
      <c r="S39" s="77"/>
      <c r="T39" s="125"/>
      <c r="U39" s="125"/>
      <c r="V39" s="125"/>
      <c r="W39" s="125"/>
      <c r="X39" s="125"/>
    </row>
    <row r="40" spans="1:24" s="74" customFormat="1" ht="15.75" customHeight="1" x14ac:dyDescent="0.25">
      <c r="A40" s="69" t="s">
        <v>6</v>
      </c>
      <c r="B40" s="94"/>
      <c r="C40" s="563" t="s">
        <v>219</v>
      </c>
      <c r="D40" s="564"/>
      <c r="E40" s="564"/>
      <c r="F40" s="565"/>
      <c r="G40" s="153" t="s">
        <v>26</v>
      </c>
      <c r="H40" s="92" t="s">
        <v>21</v>
      </c>
      <c r="I40" s="197">
        <v>10</v>
      </c>
      <c r="J40" s="155">
        <f t="shared" si="6"/>
        <v>10</v>
      </c>
      <c r="K40" s="162">
        <f t="shared" si="1"/>
        <v>0</v>
      </c>
      <c r="L40" s="167">
        <f t="shared" si="5"/>
        <v>10</v>
      </c>
      <c r="M40" s="164"/>
      <c r="N40" s="532"/>
      <c r="O40" s="533"/>
      <c r="P40" s="78"/>
      <c r="Q40" s="72"/>
      <c r="R40" s="182">
        <f t="shared" si="2"/>
        <v>-10</v>
      </c>
      <c r="S40" s="77"/>
      <c r="T40" s="125"/>
      <c r="U40" s="125"/>
      <c r="V40" s="125"/>
      <c r="W40" s="125"/>
      <c r="X40" s="125"/>
    </row>
    <row r="41" spans="1:24" s="74" customFormat="1" ht="15.75" customHeight="1" x14ac:dyDescent="0.25">
      <c r="A41" s="69" t="s">
        <v>6</v>
      </c>
      <c r="B41" s="94"/>
      <c r="C41" s="563" t="s">
        <v>233</v>
      </c>
      <c r="D41" s="564"/>
      <c r="E41" s="564"/>
      <c r="F41" s="565"/>
      <c r="G41" s="153" t="s">
        <v>187</v>
      </c>
      <c r="H41" s="92" t="s">
        <v>68</v>
      </c>
      <c r="I41" s="197">
        <v>0</v>
      </c>
      <c r="J41" s="155">
        <f t="shared" si="6"/>
        <v>0</v>
      </c>
      <c r="K41" s="162">
        <f t="shared" si="1"/>
        <v>0</v>
      </c>
      <c r="L41" s="167">
        <f t="shared" si="5"/>
        <v>0</v>
      </c>
      <c r="M41" s="164"/>
      <c r="N41" s="532"/>
      <c r="O41" s="533"/>
      <c r="P41" s="78"/>
      <c r="Q41" s="72"/>
      <c r="R41" s="182">
        <f t="shared" si="2"/>
        <v>0</v>
      </c>
      <c r="S41" s="77"/>
      <c r="T41" s="125"/>
      <c r="U41" s="125"/>
      <c r="V41" s="125"/>
      <c r="W41" s="125"/>
      <c r="X41" s="125"/>
    </row>
    <row r="42" spans="1:24" s="74" customFormat="1" ht="15.75" customHeight="1" x14ac:dyDescent="0.25">
      <c r="A42" s="69" t="s">
        <v>6</v>
      </c>
      <c r="B42" s="94"/>
      <c r="C42" s="563" t="s">
        <v>182</v>
      </c>
      <c r="D42" s="564"/>
      <c r="E42" s="564"/>
      <c r="F42" s="565"/>
      <c r="G42" s="153" t="s">
        <v>25</v>
      </c>
      <c r="H42" s="92" t="s">
        <v>66</v>
      </c>
      <c r="I42" s="198"/>
      <c r="J42" s="155">
        <f t="shared" si="6"/>
        <v>0</v>
      </c>
      <c r="K42" s="162">
        <f t="shared" si="1"/>
        <v>0</v>
      </c>
      <c r="L42" s="167">
        <f t="shared" si="5"/>
        <v>0</v>
      </c>
      <c r="M42" s="164"/>
      <c r="N42" s="532"/>
      <c r="O42" s="533"/>
      <c r="P42" s="78"/>
      <c r="Q42" s="72"/>
      <c r="R42" s="182">
        <f t="shared" si="2"/>
        <v>0</v>
      </c>
      <c r="S42" s="77"/>
      <c r="T42" s="125"/>
      <c r="U42" s="125"/>
      <c r="V42" s="125"/>
      <c r="W42" s="125"/>
      <c r="X42" s="125"/>
    </row>
    <row r="43" spans="1:24" s="74" customFormat="1" ht="15.75" customHeight="1" x14ac:dyDescent="0.25">
      <c r="A43" s="93" t="s">
        <v>6</v>
      </c>
      <c r="B43" s="94"/>
      <c r="C43" s="566" t="s">
        <v>181</v>
      </c>
      <c r="D43" s="567"/>
      <c r="E43" s="567"/>
      <c r="F43" s="568"/>
      <c r="G43" s="95" t="s">
        <v>25</v>
      </c>
      <c r="H43" s="96" t="s">
        <v>34</v>
      </c>
      <c r="I43" s="97"/>
      <c r="J43" s="104"/>
      <c r="K43" s="163"/>
      <c r="L43" s="169">
        <f>K44</f>
        <v>31.639999999999997</v>
      </c>
      <c r="M43" s="164"/>
      <c r="N43" s="532"/>
      <c r="O43" s="533"/>
      <c r="P43" s="78"/>
      <c r="Q43" s="72"/>
      <c r="R43" s="182">
        <f t="shared" si="2"/>
        <v>-31.639999999999997</v>
      </c>
      <c r="S43" s="77"/>
      <c r="T43" s="125"/>
      <c r="U43" s="125"/>
      <c r="V43" s="125"/>
      <c r="W43" s="125"/>
      <c r="X43" s="125"/>
    </row>
    <row r="44" spans="1:24" s="125" customFormat="1" ht="14.5" x14ac:dyDescent="0.25">
      <c r="A44" s="123"/>
      <c r="B44" s="123"/>
      <c r="C44" s="123"/>
      <c r="D44" s="123"/>
      <c r="E44" s="124"/>
      <c r="F44" s="124"/>
      <c r="K44" s="126">
        <f>SUM(K16:K43)</f>
        <v>31.639999999999997</v>
      </c>
      <c r="L44" s="170"/>
      <c r="M44" s="127"/>
      <c r="P44" s="128"/>
      <c r="Q44" s="129"/>
      <c r="R44" s="180"/>
      <c r="S44" s="130"/>
    </row>
    <row r="45" spans="1:24" s="106" customFormat="1" ht="16" thickBot="1" x14ac:dyDescent="0.3">
      <c r="A45" s="144"/>
      <c r="B45" s="144"/>
      <c r="C45" s="144"/>
      <c r="D45" s="144"/>
      <c r="E45" s="131"/>
      <c r="F45" s="145" t="s">
        <v>67</v>
      </c>
      <c r="G45" s="146"/>
      <c r="H45" s="147" t="s">
        <v>1</v>
      </c>
      <c r="I45" s="148">
        <f>SUM(I33:I44)</f>
        <v>1940</v>
      </c>
      <c r="J45" s="199">
        <v>1500</v>
      </c>
      <c r="K45" s="149"/>
      <c r="L45" s="171">
        <f>SUM(L33:L44)</f>
        <v>1940.0000000000005</v>
      </c>
      <c r="M45" s="150"/>
      <c r="N45" s="144" t="s">
        <v>1</v>
      </c>
      <c r="O45" s="144"/>
      <c r="P45" s="151">
        <f>SUM(P33:P44)</f>
        <v>50</v>
      </c>
      <c r="Q45" s="150"/>
      <c r="R45" s="193">
        <f>SUM(R33:R44)</f>
        <v>-1890.0000000000005</v>
      </c>
      <c r="S45" s="152"/>
    </row>
    <row r="46" spans="1:24" s="54" customFormat="1" ht="15.75" customHeight="1" thickTop="1" x14ac:dyDescent="0.25">
      <c r="A46" s="620" t="s">
        <v>54</v>
      </c>
      <c r="B46" s="620"/>
      <c r="C46" s="620"/>
      <c r="D46" s="202"/>
      <c r="E46" s="133"/>
      <c r="F46" s="133"/>
      <c r="J46" s="134"/>
      <c r="L46" s="135"/>
      <c r="M46" s="136"/>
      <c r="Q46" s="137"/>
      <c r="R46" s="138"/>
      <c r="S46" s="139"/>
    </row>
    <row r="47" spans="1:24" s="141" customFormat="1" ht="18" customHeight="1" x14ac:dyDescent="0.25">
      <c r="A47" s="140">
        <v>1</v>
      </c>
      <c r="B47" s="621"/>
      <c r="C47" s="621"/>
      <c r="D47" s="621"/>
      <c r="E47" s="621"/>
      <c r="F47" s="621"/>
      <c r="G47" s="621"/>
      <c r="H47" s="621"/>
      <c r="I47" s="621"/>
      <c r="J47" s="621"/>
      <c r="K47" s="621"/>
      <c r="L47" s="621"/>
      <c r="M47" s="621"/>
      <c r="N47" s="621"/>
      <c r="O47" s="621"/>
      <c r="P47" s="621"/>
      <c r="Q47" s="621"/>
      <c r="R47" s="621"/>
      <c r="S47" s="621"/>
    </row>
    <row r="48" spans="1:24" s="141" customFormat="1" ht="18" customHeight="1" x14ac:dyDescent="0.25">
      <c r="A48" s="140">
        <v>2</v>
      </c>
      <c r="B48" s="621"/>
      <c r="C48" s="621"/>
      <c r="D48" s="621"/>
      <c r="E48" s="621"/>
      <c r="F48" s="621"/>
      <c r="G48" s="621"/>
      <c r="H48" s="621"/>
      <c r="I48" s="621"/>
      <c r="J48" s="621"/>
      <c r="K48" s="621"/>
      <c r="L48" s="621"/>
      <c r="M48" s="621"/>
      <c r="N48" s="621"/>
      <c r="O48" s="621"/>
      <c r="P48" s="621"/>
      <c r="Q48" s="621"/>
      <c r="R48" s="621"/>
      <c r="S48" s="621"/>
    </row>
    <row r="49" spans="1:19" s="141" customFormat="1" ht="18" customHeight="1" x14ac:dyDescent="0.25">
      <c r="A49" s="140">
        <v>3</v>
      </c>
      <c r="B49" s="621"/>
      <c r="C49" s="621"/>
      <c r="D49" s="621"/>
      <c r="E49" s="621"/>
      <c r="F49" s="621"/>
      <c r="G49" s="621"/>
      <c r="H49" s="621"/>
      <c r="I49" s="621"/>
      <c r="J49" s="621"/>
      <c r="K49" s="621"/>
      <c r="L49" s="621"/>
      <c r="M49" s="621"/>
      <c r="N49" s="621"/>
      <c r="O49" s="621"/>
      <c r="P49" s="621"/>
      <c r="Q49" s="621"/>
      <c r="R49" s="621"/>
      <c r="S49" s="621"/>
    </row>
    <row r="50" spans="1:19" s="54" customFormat="1" x14ac:dyDescent="0.25">
      <c r="A50" s="132"/>
      <c r="B50" s="132"/>
      <c r="C50" s="132"/>
      <c r="D50" s="132"/>
      <c r="E50" s="133"/>
      <c r="F50" s="133"/>
      <c r="L50" s="142"/>
      <c r="M50" s="137"/>
      <c r="Q50" s="137"/>
      <c r="R50" s="138"/>
      <c r="S50" s="139"/>
    </row>
  </sheetData>
  <sheetProtection insertRows="0"/>
  <customSheetViews>
    <customSheetView guid="{07F1F502-9FC7-4878-A746-52E1655BD4FA}" scale="75" fitToPage="1" hiddenColumns="1" showRuler="0">
      <selection activeCell="U19" sqref="U19"/>
      <pageMargins left="0.25" right="0.25" top="0.75" bottom="0.5" header="0.25" footer="0.25"/>
      <printOptions horizontalCentered="1"/>
      <pageSetup scale="59" orientation="landscape" r:id="rId1"/>
      <headerFooter alignWithMargins="0">
        <oddHeader>&amp;CSUPERIOR OF COURT OF _________ COUNTY
Revenue Calculation and Distribution Worksheet</oddHeader>
        <oddFooter>&amp;L&amp;F&amp;R&amp;P of &amp;N</oddFooter>
      </headerFooter>
    </customSheetView>
  </customSheetViews>
  <mergeCells count="122">
    <mergeCell ref="A46:C46"/>
    <mergeCell ref="B49:S49"/>
    <mergeCell ref="B48:S48"/>
    <mergeCell ref="B47:S47"/>
    <mergeCell ref="D11:E11"/>
    <mergeCell ref="D10:E10"/>
    <mergeCell ref="A11:C11"/>
    <mergeCell ref="A10:C10"/>
    <mergeCell ref="F30:F31"/>
    <mergeCell ref="C31:E31"/>
    <mergeCell ref="I11:J11"/>
    <mergeCell ref="I10:J10"/>
    <mergeCell ref="C14:F15"/>
    <mergeCell ref="E25:F28"/>
    <mergeCell ref="C25:D25"/>
    <mergeCell ref="F11:G11"/>
    <mergeCell ref="I13:L13"/>
    <mergeCell ref="B16:B20"/>
    <mergeCell ref="C28:D28"/>
    <mergeCell ref="C27:D27"/>
    <mergeCell ref="C26:D26"/>
    <mergeCell ref="K11:M11"/>
    <mergeCell ref="K10:M10"/>
    <mergeCell ref="N18:O18"/>
    <mergeCell ref="L1:S1"/>
    <mergeCell ref="A1:K1"/>
    <mergeCell ref="D9:E9"/>
    <mergeCell ref="D8:E8"/>
    <mergeCell ref="D7:E7"/>
    <mergeCell ref="I4:J4"/>
    <mergeCell ref="K5:M5"/>
    <mergeCell ref="K4:M4"/>
    <mergeCell ref="I9:J9"/>
    <mergeCell ref="F8:G8"/>
    <mergeCell ref="A6:C6"/>
    <mergeCell ref="A5:C5"/>
    <mergeCell ref="A4:C4"/>
    <mergeCell ref="D4:E4"/>
    <mergeCell ref="A3:N3"/>
    <mergeCell ref="P3:S3"/>
    <mergeCell ref="P4:S4"/>
    <mergeCell ref="P5:S5"/>
    <mergeCell ref="F4:G4"/>
    <mergeCell ref="K15:L15"/>
    <mergeCell ref="F6:G6"/>
    <mergeCell ref="D5:E5"/>
    <mergeCell ref="K9:M9"/>
    <mergeCell ref="K8:M8"/>
    <mergeCell ref="K7:M7"/>
    <mergeCell ref="K6:M6"/>
    <mergeCell ref="F5:G5"/>
    <mergeCell ref="I6:J6"/>
    <mergeCell ref="I5:J5"/>
    <mergeCell ref="D6:E6"/>
    <mergeCell ref="I7:J7"/>
    <mergeCell ref="I8:J8"/>
    <mergeCell ref="C18:F18"/>
    <mergeCell ref="C17:F17"/>
    <mergeCell ref="C16:F16"/>
    <mergeCell ref="F7:G7"/>
    <mergeCell ref="A9:C9"/>
    <mergeCell ref="A8:C8"/>
    <mergeCell ref="A7:C7"/>
    <mergeCell ref="F10:G10"/>
    <mergeCell ref="F9:G9"/>
    <mergeCell ref="N40:O40"/>
    <mergeCell ref="N41:O41"/>
    <mergeCell ref="C33:F33"/>
    <mergeCell ref="C32:F32"/>
    <mergeCell ref="C37:F37"/>
    <mergeCell ref="C36:F36"/>
    <mergeCell ref="N43:O43"/>
    <mergeCell ref="N35:O35"/>
    <mergeCell ref="N36:O36"/>
    <mergeCell ref="N37:O37"/>
    <mergeCell ref="N38:O38"/>
    <mergeCell ref="N39:O39"/>
    <mergeCell ref="N42:O42"/>
    <mergeCell ref="C43:F43"/>
    <mergeCell ref="C42:F42"/>
    <mergeCell ref="C41:F41"/>
    <mergeCell ref="C40:F40"/>
    <mergeCell ref="C39:F39"/>
    <mergeCell ref="C38:F38"/>
    <mergeCell ref="C35:F35"/>
    <mergeCell ref="N26:O26"/>
    <mergeCell ref="N27:O27"/>
    <mergeCell ref="N30:O30"/>
    <mergeCell ref="N29:O29"/>
    <mergeCell ref="N28:O28"/>
    <mergeCell ref="C34:F34"/>
    <mergeCell ref="N31:O31"/>
    <mergeCell ref="C30:E30"/>
    <mergeCell ref="C29:F29"/>
    <mergeCell ref="N32:O32"/>
    <mergeCell ref="N33:O33"/>
    <mergeCell ref="N34:O34"/>
    <mergeCell ref="N25:O25"/>
    <mergeCell ref="C24:F24"/>
    <mergeCell ref="C23:F23"/>
    <mergeCell ref="C22:F22"/>
    <mergeCell ref="C21:F21"/>
    <mergeCell ref="N20:O20"/>
    <mergeCell ref="N21:O21"/>
    <mergeCell ref="N22:O22"/>
    <mergeCell ref="N19:O19"/>
    <mergeCell ref="C20:F20"/>
    <mergeCell ref="C19:F19"/>
    <mergeCell ref="P11:S11"/>
    <mergeCell ref="N13:P13"/>
    <mergeCell ref="P6:S6"/>
    <mergeCell ref="P7:S7"/>
    <mergeCell ref="N23:O23"/>
    <mergeCell ref="N24:O24"/>
    <mergeCell ref="N15:O15"/>
    <mergeCell ref="N14:O14"/>
    <mergeCell ref="S14:S15"/>
    <mergeCell ref="R14:R15"/>
    <mergeCell ref="P10:S10"/>
    <mergeCell ref="P8:S9"/>
    <mergeCell ref="N17:O17"/>
    <mergeCell ref="N16:O16"/>
  </mergeCells>
  <phoneticPr fontId="3" type="noConversion"/>
  <conditionalFormatting sqref="J34:L43 I29:L29 J16:L32 K17:K42 I19:I32">
    <cfRule type="cellIs" dxfId="41" priority="11" stopIfTrue="1" operator="equal">
      <formula>0</formula>
    </cfRule>
  </conditionalFormatting>
  <conditionalFormatting sqref="H16:H24 H29:H32">
    <cfRule type="expression" dxfId="40" priority="12" stopIfTrue="1">
      <formula>MOD(ROW(),2)=0</formula>
    </cfRule>
  </conditionalFormatting>
  <conditionalFormatting sqref="R50:R65536 R46 R12:R13">
    <cfRule type="cellIs" dxfId="39" priority="13" stopIfTrue="1" operator="notEqual">
      <formula>0</formula>
    </cfRule>
  </conditionalFormatting>
  <conditionalFormatting sqref="H25:H29">
    <cfRule type="expression" dxfId="38" priority="14" stopIfTrue="1">
      <formula>MOD(ROW(), 2)=0</formula>
    </cfRule>
  </conditionalFormatting>
  <conditionalFormatting sqref="I16:I18">
    <cfRule type="cellIs" dxfId="37" priority="15" stopIfTrue="1" operator="equal">
      <formula>0</formula>
    </cfRule>
  </conditionalFormatting>
  <conditionalFormatting sqref="E25">
    <cfRule type="cellIs" dxfId="36" priority="2" operator="notEqual">
      <formula>"GC 76000 PA ($7 for every 10) breakdown per local board of supervisor resolution (BOS)."</formula>
    </cfRule>
  </conditionalFormatting>
  <dataValidations count="1">
    <dataValidation type="list" allowBlank="1" showInputMessage="1" showErrorMessage="1" sqref="K15:L15" xr:uid="{00000000-0002-0000-0F00-000000000000}">
      <formula1>Distribution_Method</formula1>
    </dataValidation>
  </dataValidations>
  <printOptions horizontalCentered="1"/>
  <pageMargins left="0.25" right="0.25" top="0.75" bottom="0.5" header="0.25" footer="0.25"/>
  <pageSetup scale="64" orientation="landscape" r:id="rId2"/>
  <headerFooter alignWithMargins="0">
    <oddHeader>&amp;CSUPERIOR OF COURT OF _________ COUNTY
Revenue Calculation and Distribution Worksheet</oddHeader>
    <oddFooter>&amp;L&amp;F&amp;R&amp;P of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8" r:id="rId5" name="Button 6">
              <controlPr defaultSize="0" print="0" autoFill="0" autoPict="0" macro="[0]!mcrGoToSummary">
                <anchor moveWithCells="1">
                  <from>
                    <xdr:col>0</xdr:col>
                    <xdr:colOff>31750</xdr:colOff>
                    <xdr:row>0</xdr:row>
                    <xdr:rowOff>0</xdr:rowOff>
                  </from>
                  <to>
                    <xdr:col>2</xdr:col>
                    <xdr:colOff>965200</xdr:colOff>
                    <xdr:row>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6" name="Button 23">
              <controlPr defaultSize="0" print="0" autoFill="0" autoPict="0" macro="[0]!mcrDisableTwoPercentUnprotect">
                <anchor moveWithCells="1">
                  <from>
                    <xdr:col>0</xdr:col>
                    <xdr:colOff>12700</xdr:colOff>
                    <xdr:row>13</xdr:row>
                    <xdr:rowOff>527050</xdr:rowOff>
                  </from>
                  <to>
                    <xdr:col>0</xdr:col>
                    <xdr:colOff>279400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6" r:id="rId7" name="Button 24">
              <controlPr defaultSize="0" print="0" autoFill="0" autoPict="0" macro="[0]!mcrEnableTwoPercentUnprotect">
                <anchor moveWithCells="1">
                  <from>
                    <xdr:col>0</xdr:col>
                    <xdr:colOff>0</xdr:colOff>
                    <xdr:row>13</xdr:row>
                    <xdr:rowOff>222250</xdr:rowOff>
                  </from>
                  <to>
                    <xdr:col>0</xdr:col>
                    <xdr:colOff>260350</xdr:colOff>
                    <xdr:row>13</xdr:row>
                    <xdr:rowOff>546100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2">
    <tabColor theme="6"/>
    <pageSetUpPr fitToPage="1"/>
  </sheetPr>
  <dimension ref="A1:AB49"/>
  <sheetViews>
    <sheetView zoomScale="50" zoomScaleNormal="50" workbookViewId="0">
      <pane ySplit="1" topLeftCell="A14" activePane="bottomLeft" state="frozen"/>
      <selection pane="bottomLeft" activeCell="AA39" sqref="AA39"/>
    </sheetView>
  </sheetViews>
  <sheetFormatPr defaultColWidth="9.1796875" defaultRowHeight="18.5" x14ac:dyDescent="0.25"/>
  <cols>
    <col min="1" max="1" width="4.26953125" style="98" customWidth="1"/>
    <col min="2" max="2" width="4.7265625" style="98" customWidth="1"/>
    <col min="3" max="3" width="13.54296875" style="98" customWidth="1"/>
    <col min="4" max="4" width="12" style="98" customWidth="1"/>
    <col min="5" max="5" width="11.26953125" style="99" customWidth="1"/>
    <col min="6" max="6" width="18" style="133" customWidth="1"/>
    <col min="7" max="7" width="9.1796875" style="50" customWidth="1"/>
    <col min="8" max="8" width="29.453125" style="50" hidden="1" customWidth="1"/>
    <col min="9" max="9" width="8.453125" style="50" customWidth="1"/>
    <col min="10" max="10" width="6" style="50" customWidth="1"/>
    <col min="11" max="11" width="11.1796875" style="103" customWidth="1"/>
    <col min="12" max="12" width="1.7265625" style="100" customWidth="1"/>
    <col min="13" max="13" width="15.26953125" style="50" customWidth="1"/>
    <col min="14" max="14" width="1.54296875" style="50" customWidth="1"/>
    <col min="15" max="15" width="11" style="50" customWidth="1"/>
    <col min="16" max="16" width="1.81640625" style="100" customWidth="1"/>
    <col min="17" max="17" width="10.81640625" style="100" customWidth="1"/>
    <col min="18" max="18" width="5.7265625" style="100" customWidth="1"/>
    <col min="19" max="19" width="10.7265625" style="100" customWidth="1"/>
    <col min="20" max="20" width="1.81640625" style="137" customWidth="1"/>
    <col min="21" max="21" width="12.453125" style="101" customWidth="1"/>
    <col min="22" max="22" width="6.26953125" style="101" customWidth="1"/>
    <col min="23" max="23" width="18.7265625" style="102" customWidth="1"/>
    <col min="24" max="24" width="2.1796875" style="54" customWidth="1"/>
    <col min="25" max="25" width="11.26953125" style="54" customWidth="1"/>
    <col min="26" max="26" width="11.1796875" style="54" customWidth="1"/>
    <col min="27" max="28" width="9.1796875" style="54"/>
    <col min="29" max="16384" width="9.1796875" style="50"/>
  </cols>
  <sheetData>
    <row r="1" spans="1:28" ht="29" customHeight="1" thickBot="1" x14ac:dyDescent="0.3">
      <c r="A1" s="594" t="s">
        <v>317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304" t="s">
        <v>271</v>
      </c>
      <c r="W1" s="508">
        <v>44378</v>
      </c>
    </row>
    <row r="2" spans="1:28" s="54" customFormat="1" ht="6" customHeight="1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3"/>
      <c r="P2" s="53"/>
      <c r="Q2" s="53"/>
      <c r="R2" s="53"/>
      <c r="S2" s="53"/>
      <c r="T2" s="53"/>
      <c r="U2" s="53"/>
      <c r="V2" s="53"/>
      <c r="W2" s="53"/>
    </row>
    <row r="3" spans="1:28" s="54" customFormat="1" ht="19" thickBot="1" x14ac:dyDescent="0.3">
      <c r="A3" s="310" t="s">
        <v>191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658"/>
      <c r="N3" s="659"/>
      <c r="O3" s="316"/>
      <c r="P3" s="216"/>
      <c r="Q3" s="717" t="s">
        <v>218</v>
      </c>
      <c r="R3" s="718"/>
      <c r="S3" s="718"/>
      <c r="T3" s="718"/>
      <c r="U3" s="718"/>
      <c r="V3" s="718"/>
      <c r="W3" s="719"/>
      <c r="Y3" s="174" t="s">
        <v>207</v>
      </c>
      <c r="Z3" s="132"/>
    </row>
    <row r="4" spans="1:28" s="57" customFormat="1" ht="15.5" x14ac:dyDescent="0.25">
      <c r="A4" s="604" t="s">
        <v>188</v>
      </c>
      <c r="B4" s="583"/>
      <c r="C4" s="583"/>
      <c r="D4" s="605">
        <f>L1</f>
        <v>0</v>
      </c>
      <c r="E4" s="606"/>
      <c r="F4" s="690" t="s">
        <v>22</v>
      </c>
      <c r="G4" s="603"/>
      <c r="H4" s="187"/>
      <c r="I4" s="708"/>
      <c r="J4" s="708"/>
      <c r="K4" s="708"/>
      <c r="L4" s="709"/>
      <c r="M4" s="720" t="s">
        <v>214</v>
      </c>
      <c r="N4" s="720"/>
      <c r="O4" s="201">
        <v>0</v>
      </c>
      <c r="P4" s="217"/>
      <c r="Q4" s="721" t="s">
        <v>193</v>
      </c>
      <c r="R4" s="722"/>
      <c r="S4" s="722"/>
      <c r="T4" s="722"/>
      <c r="U4" s="722"/>
      <c r="V4" s="722"/>
      <c r="W4" s="723"/>
      <c r="Y4" s="229" t="s">
        <v>244</v>
      </c>
      <c r="Z4" s="227" t="s">
        <v>245</v>
      </c>
      <c r="AA4" s="227" t="s">
        <v>246</v>
      </c>
    </row>
    <row r="5" spans="1:28" s="57" customFormat="1" ht="15.5" x14ac:dyDescent="0.25">
      <c r="A5" s="576" t="s">
        <v>3</v>
      </c>
      <c r="B5" s="577"/>
      <c r="C5" s="577"/>
      <c r="D5" s="581"/>
      <c r="E5" s="582"/>
      <c r="F5" s="689" t="s">
        <v>201</v>
      </c>
      <c r="G5" s="578"/>
      <c r="H5" s="185"/>
      <c r="I5" s="706"/>
      <c r="J5" s="706"/>
      <c r="K5" s="706"/>
      <c r="L5" s="707"/>
      <c r="M5" s="688" t="s">
        <v>17</v>
      </c>
      <c r="N5" s="688"/>
      <c r="O5" s="58">
        <v>0</v>
      </c>
      <c r="P5" s="217"/>
      <c r="Q5" s="728" t="s">
        <v>242</v>
      </c>
      <c r="R5" s="729"/>
      <c r="S5" s="729"/>
      <c r="T5" s="729"/>
      <c r="U5" s="729"/>
      <c r="V5" s="729"/>
      <c r="W5" s="730"/>
      <c r="Y5" s="172" t="s">
        <v>25</v>
      </c>
      <c r="Z5" s="176">
        <f>SUMIF($G$16:$G$41,"STATE",$K$16:$K$41)</f>
        <v>0</v>
      </c>
      <c r="AA5" s="176">
        <f>SUMIF($G$16:$G$41,"STATE",$S$16:$S$41)</f>
        <v>0</v>
      </c>
    </row>
    <row r="6" spans="1:28" s="57" customFormat="1" ht="16" thickBot="1" x14ac:dyDescent="0.3">
      <c r="A6" s="576" t="s">
        <v>10</v>
      </c>
      <c r="B6" s="577"/>
      <c r="C6" s="577"/>
      <c r="D6" s="581"/>
      <c r="E6" s="724"/>
      <c r="F6" s="689" t="s">
        <v>15</v>
      </c>
      <c r="G6" s="578"/>
      <c r="H6" s="185"/>
      <c r="I6" s="706"/>
      <c r="J6" s="706"/>
      <c r="K6" s="706"/>
      <c r="L6" s="707"/>
      <c r="M6" s="710" t="s">
        <v>190</v>
      </c>
      <c r="N6" s="710"/>
      <c r="O6" s="204">
        <f>O4+O5*10</f>
        <v>0</v>
      </c>
      <c r="P6" s="217"/>
      <c r="Q6" s="725" t="s">
        <v>313</v>
      </c>
      <c r="R6" s="726"/>
      <c r="S6" s="726"/>
      <c r="T6" s="726"/>
      <c r="U6" s="726"/>
      <c r="V6" s="726"/>
      <c r="W6" s="727"/>
      <c r="Y6" s="172" t="s">
        <v>26</v>
      </c>
      <c r="Z6" s="176">
        <f>SUMIF($G$16:$G$41,"COUNTY",$K$16:$K$41)</f>
        <v>0</v>
      </c>
      <c r="AA6" s="176">
        <f>SUMIF($G$16:$G$41,"COUNTY",$S$16:$S$41)</f>
        <v>0</v>
      </c>
    </row>
    <row r="7" spans="1:28" s="57" customFormat="1" ht="16" thickBot="1" x14ac:dyDescent="0.3">
      <c r="A7" s="576" t="s">
        <v>4</v>
      </c>
      <c r="B7" s="577"/>
      <c r="C7" s="577"/>
      <c r="D7" s="586"/>
      <c r="E7" s="582"/>
      <c r="F7" s="697" t="s">
        <v>16</v>
      </c>
      <c r="G7" s="570"/>
      <c r="H7" s="186"/>
      <c r="I7" s="714"/>
      <c r="J7" s="714"/>
      <c r="K7" s="714"/>
      <c r="L7" s="715"/>
      <c r="M7" s="214"/>
      <c r="N7" s="221"/>
      <c r="O7" s="215"/>
      <c r="P7" s="217"/>
      <c r="Q7" s="698" t="s">
        <v>192</v>
      </c>
      <c r="R7" s="699"/>
      <c r="S7" s="699"/>
      <c r="T7" s="699"/>
      <c r="U7" s="699"/>
      <c r="V7" s="699"/>
      <c r="W7" s="700"/>
      <c r="Y7" s="172" t="s">
        <v>45</v>
      </c>
      <c r="Z7" s="176">
        <f>SUMIF($G$16:$G$41,"CITY",$K$16:$K$41)</f>
        <v>0</v>
      </c>
      <c r="AA7" s="176">
        <f>SUMIF($G$16:$G$41,"CITY",$S$16:$S$41)</f>
        <v>0</v>
      </c>
    </row>
    <row r="8" spans="1:28" s="57" customFormat="1" ht="15.75" customHeight="1" x14ac:dyDescent="0.25">
      <c r="A8" s="701" t="s">
        <v>47</v>
      </c>
      <c r="B8" s="702"/>
      <c r="C8" s="702"/>
      <c r="D8" s="703">
        <v>1</v>
      </c>
      <c r="E8" s="704"/>
      <c r="F8" s="690" t="s">
        <v>210</v>
      </c>
      <c r="G8" s="603"/>
      <c r="H8" s="187"/>
      <c r="I8" s="708"/>
      <c r="J8" s="708"/>
      <c r="K8" s="708"/>
      <c r="L8" s="709"/>
      <c r="M8" s="705" t="s">
        <v>214</v>
      </c>
      <c r="N8" s="705"/>
      <c r="O8" s="55">
        <v>0</v>
      </c>
      <c r="P8" s="218"/>
      <c r="Q8" s="682" t="s">
        <v>243</v>
      </c>
      <c r="R8" s="546"/>
      <c r="S8" s="546"/>
      <c r="T8" s="546"/>
      <c r="U8" s="546"/>
      <c r="V8" s="546"/>
      <c r="W8" s="683"/>
      <c r="Y8" s="172" t="s">
        <v>187</v>
      </c>
      <c r="Z8" s="176">
        <f>SUMIF($G$16:$G$41,"COURT",$K$16:$K$41)</f>
        <v>0</v>
      </c>
      <c r="AA8" s="176">
        <f>SUMIF($G$16:$G$41,"COURT",$S$16:$S$41)</f>
        <v>0</v>
      </c>
    </row>
    <row r="9" spans="1:28" s="57" customFormat="1" ht="18" customHeight="1" thickBot="1" x14ac:dyDescent="0.3">
      <c r="A9" s="686" t="s">
        <v>46</v>
      </c>
      <c r="B9" s="687"/>
      <c r="C9" s="687"/>
      <c r="D9" s="596">
        <f>100%-D8</f>
        <v>0</v>
      </c>
      <c r="E9" s="597"/>
      <c r="F9" s="689" t="s">
        <v>201</v>
      </c>
      <c r="G9" s="578"/>
      <c r="H9" s="185"/>
      <c r="I9" s="706"/>
      <c r="J9" s="706"/>
      <c r="K9" s="706"/>
      <c r="L9" s="707"/>
      <c r="M9" s="688" t="s">
        <v>17</v>
      </c>
      <c r="N9" s="688"/>
      <c r="O9" s="58"/>
      <c r="P9" s="218"/>
      <c r="Q9" s="684"/>
      <c r="R9" s="549"/>
      <c r="S9" s="549"/>
      <c r="T9" s="549"/>
      <c r="U9" s="549"/>
      <c r="V9" s="549"/>
      <c r="W9" s="685"/>
      <c r="Y9" s="153" t="s">
        <v>267</v>
      </c>
      <c r="Z9" s="176">
        <f>SUMIF($G$16:$G$41,"CNTY or CTY",$K$16:$K$41)</f>
        <v>0</v>
      </c>
      <c r="AA9" s="176">
        <f>SUMIF($G$16:$G$41,"CNTY or CTY",$S$16:$S$41)</f>
        <v>0</v>
      </c>
    </row>
    <row r="10" spans="1:28" s="57" customFormat="1" ht="16.5" customHeight="1" thickBot="1" x14ac:dyDescent="0.3">
      <c r="A10" s="628" t="s">
        <v>224</v>
      </c>
      <c r="B10" s="629"/>
      <c r="C10" s="629"/>
      <c r="D10" s="624">
        <f>O6+O10</f>
        <v>0</v>
      </c>
      <c r="E10" s="625"/>
      <c r="F10" s="689" t="s">
        <v>15</v>
      </c>
      <c r="G10" s="578"/>
      <c r="H10" s="185"/>
      <c r="I10" s="706"/>
      <c r="J10" s="706"/>
      <c r="K10" s="706"/>
      <c r="L10" s="707"/>
      <c r="M10" s="710" t="s">
        <v>190</v>
      </c>
      <c r="N10" s="710"/>
      <c r="O10" s="204">
        <f>O8+O9*10</f>
        <v>0</v>
      </c>
      <c r="P10" s="219"/>
      <c r="Q10" s="711" t="s">
        <v>196</v>
      </c>
      <c r="R10" s="712"/>
      <c r="S10" s="712"/>
      <c r="T10" s="712"/>
      <c r="U10" s="712"/>
      <c r="V10" s="712"/>
      <c r="W10" s="713"/>
      <c r="Y10" s="231" t="s">
        <v>203</v>
      </c>
      <c r="Z10" s="148">
        <f>SUM(Z5:Z9)</f>
        <v>0</v>
      </c>
      <c r="AA10" s="148">
        <f>SUM(AA5:AA9)</f>
        <v>0</v>
      </c>
    </row>
    <row r="11" spans="1:28" s="57" customFormat="1" ht="16.5" customHeight="1" thickBot="1" x14ac:dyDescent="0.3">
      <c r="A11" s="626" t="s">
        <v>225</v>
      </c>
      <c r="B11" s="627"/>
      <c r="C11" s="627"/>
      <c r="D11" s="622">
        <f>ROUNDUP(D10/10,0)</f>
        <v>0</v>
      </c>
      <c r="E11" s="623"/>
      <c r="F11" s="697" t="s">
        <v>16</v>
      </c>
      <c r="G11" s="570"/>
      <c r="H11" s="186"/>
      <c r="I11" s="714"/>
      <c r="J11" s="714"/>
      <c r="K11" s="714"/>
      <c r="L11" s="715"/>
      <c r="M11" s="660" t="s">
        <v>304</v>
      </c>
      <c r="N11" s="661"/>
      <c r="O11" s="312">
        <f>'Case Study #2 -DUI'!P11</f>
        <v>7</v>
      </c>
      <c r="P11" s="219"/>
      <c r="Q11" s="670" t="s">
        <v>261</v>
      </c>
      <c r="R11" s="671"/>
      <c r="S11" s="671"/>
      <c r="T11" s="671"/>
      <c r="U11" s="671"/>
      <c r="V11" s="671"/>
      <c r="W11" s="672"/>
      <c r="Z11" s="228">
        <f>Z10-K43</f>
        <v>0</v>
      </c>
      <c r="AA11" s="228">
        <f>AA10-S43</f>
        <v>0</v>
      </c>
    </row>
    <row r="12" spans="1:28" s="57" customFormat="1" ht="15.75" customHeight="1" thickBot="1" x14ac:dyDescent="0.3">
      <c r="A12" s="203"/>
      <c r="B12" s="203"/>
      <c r="C12" s="191"/>
      <c r="D12" s="191"/>
      <c r="E12" s="191"/>
      <c r="F12" s="66"/>
      <c r="G12" s="59"/>
      <c r="H12" s="60"/>
      <c r="I12" s="61"/>
      <c r="J12" s="61"/>
      <c r="K12" s="61"/>
      <c r="L12" s="61"/>
      <c r="O12" s="62"/>
      <c r="P12" s="56"/>
      <c r="Q12" s="56"/>
      <c r="R12" s="56"/>
      <c r="S12" s="56"/>
      <c r="T12" s="56"/>
      <c r="U12" s="63"/>
      <c r="V12" s="63"/>
      <c r="W12" s="64"/>
      <c r="AA12" s="65"/>
    </row>
    <row r="13" spans="1:28" s="109" customFormat="1" ht="18.75" customHeight="1" thickBot="1" x14ac:dyDescent="0.3">
      <c r="A13" s="192"/>
      <c r="B13" s="192"/>
      <c r="C13" s="192"/>
      <c r="D13" s="192"/>
      <c r="E13" s="192"/>
      <c r="F13" s="107"/>
      <c r="G13" s="108"/>
      <c r="I13" s="679" t="s">
        <v>237</v>
      </c>
      <c r="J13" s="680"/>
      <c r="K13" s="681"/>
      <c r="L13" s="110"/>
      <c r="M13" s="691" t="s">
        <v>186</v>
      </c>
      <c r="N13" s="692"/>
      <c r="O13" s="693"/>
      <c r="P13" s="111"/>
      <c r="Q13" s="694" t="s">
        <v>236</v>
      </c>
      <c r="R13" s="695"/>
      <c r="S13" s="696"/>
      <c r="T13" s="207"/>
      <c r="U13" s="158"/>
      <c r="V13" s="158"/>
      <c r="W13" s="159"/>
      <c r="X13" s="108"/>
      <c r="Y13" s="108"/>
      <c r="Z13" s="108"/>
      <c r="AA13" s="108"/>
      <c r="AB13" s="108"/>
    </row>
    <row r="14" spans="1:28" ht="44.25" customHeight="1" thickBot="1" x14ac:dyDescent="0.3">
      <c r="A14" s="237">
        <v>0.02</v>
      </c>
      <c r="B14" s="237" t="s">
        <v>51</v>
      </c>
      <c r="C14" s="632" t="s">
        <v>183</v>
      </c>
      <c r="D14" s="633"/>
      <c r="E14" s="633"/>
      <c r="F14" s="634"/>
      <c r="G14" s="236" t="s">
        <v>206</v>
      </c>
      <c r="H14" s="114" t="s">
        <v>0</v>
      </c>
      <c r="I14" s="656" t="s">
        <v>238</v>
      </c>
      <c r="J14" s="673" t="s">
        <v>5</v>
      </c>
      <c r="K14" s="235" t="s">
        <v>239</v>
      </c>
      <c r="L14" s="67"/>
      <c r="M14" s="536" t="s">
        <v>217</v>
      </c>
      <c r="N14" s="537"/>
      <c r="O14" s="234" t="s">
        <v>205</v>
      </c>
      <c r="P14" s="121"/>
      <c r="Q14" s="295" t="s">
        <v>260</v>
      </c>
      <c r="R14" s="673" t="s">
        <v>5</v>
      </c>
      <c r="S14" s="235" t="s">
        <v>239</v>
      </c>
      <c r="T14" s="208"/>
      <c r="U14" s="230" t="s">
        <v>213</v>
      </c>
      <c r="V14" s="675" t="s">
        <v>54</v>
      </c>
      <c r="W14" s="677" t="s">
        <v>252</v>
      </c>
    </row>
    <row r="15" spans="1:28" ht="30.75" customHeight="1" thickBot="1" x14ac:dyDescent="0.3">
      <c r="A15" s="238"/>
      <c r="B15" s="238"/>
      <c r="C15" s="635"/>
      <c r="D15" s="636"/>
      <c r="E15" s="636"/>
      <c r="F15" s="637"/>
      <c r="G15" s="239"/>
      <c r="H15" s="239"/>
      <c r="I15" s="657"/>
      <c r="J15" s="674"/>
      <c r="K15" s="223" t="s">
        <v>35</v>
      </c>
      <c r="L15" s="68"/>
      <c r="M15" s="534"/>
      <c r="N15" s="535"/>
      <c r="O15" s="240" t="s">
        <v>36</v>
      </c>
      <c r="P15" s="121"/>
      <c r="Q15" s="225" t="e">
        <f>(Q35-Q32)/(I35-I32)</f>
        <v>#DIV/0!</v>
      </c>
      <c r="R15" s="674"/>
      <c r="S15" s="223" t="s">
        <v>37</v>
      </c>
      <c r="T15" s="208"/>
      <c r="U15" s="241" t="s">
        <v>241</v>
      </c>
      <c r="V15" s="676"/>
      <c r="W15" s="678"/>
    </row>
    <row r="16" spans="1:28" s="74" customFormat="1" ht="15.75" hidden="1" customHeight="1" thickTop="1" x14ac:dyDescent="0.25">
      <c r="A16" s="69" t="s">
        <v>7</v>
      </c>
      <c r="B16" s="195"/>
      <c r="C16" s="569"/>
      <c r="D16" s="569"/>
      <c r="E16" s="569"/>
      <c r="F16" s="569"/>
      <c r="G16" s="70"/>
      <c r="H16" s="71"/>
      <c r="I16" s="154"/>
      <c r="J16" s="162"/>
      <c r="K16" s="196"/>
      <c r="L16" s="164"/>
      <c r="M16" s="551"/>
      <c r="N16" s="552"/>
      <c r="O16" s="190"/>
      <c r="P16" s="72"/>
      <c r="Q16" s="160"/>
      <c r="R16" s="162"/>
      <c r="S16" s="166"/>
      <c r="T16" s="209"/>
      <c r="U16" s="181"/>
      <c r="V16" s="181"/>
      <c r="W16" s="105"/>
      <c r="X16" s="125"/>
      <c r="Y16" s="125"/>
      <c r="Z16" s="125"/>
      <c r="AA16" s="125"/>
      <c r="AB16" s="125"/>
    </row>
    <row r="17" spans="1:28" s="74" customFormat="1" ht="15.75" hidden="1" customHeight="1" x14ac:dyDescent="0.25">
      <c r="A17" s="69" t="s">
        <v>7</v>
      </c>
      <c r="B17" s="226"/>
      <c r="C17" s="532"/>
      <c r="D17" s="553"/>
      <c r="E17" s="553"/>
      <c r="F17" s="554"/>
      <c r="G17" s="76"/>
      <c r="H17" s="77"/>
      <c r="I17" s="156"/>
      <c r="J17" s="162"/>
      <c r="K17" s="167"/>
      <c r="L17" s="164"/>
      <c r="M17" s="532"/>
      <c r="N17" s="533"/>
      <c r="O17" s="233"/>
      <c r="P17" s="72"/>
      <c r="Q17" s="160"/>
      <c r="R17" s="162"/>
      <c r="S17" s="167"/>
      <c r="T17" s="209"/>
      <c r="U17" s="181"/>
      <c r="V17" s="181"/>
      <c r="W17" s="73"/>
      <c r="X17" s="125"/>
      <c r="Y17" s="125"/>
      <c r="Z17" s="125"/>
      <c r="AA17" s="125"/>
      <c r="AB17" s="125"/>
    </row>
    <row r="18" spans="1:28" s="74" customFormat="1" ht="15.75" hidden="1" customHeight="1" thickTop="1" x14ac:dyDescent="0.25">
      <c r="A18" s="69" t="s">
        <v>7</v>
      </c>
      <c r="B18" s="226"/>
      <c r="C18" s="569"/>
      <c r="D18" s="569"/>
      <c r="E18" s="569"/>
      <c r="F18" s="569"/>
      <c r="G18" s="232"/>
      <c r="H18" s="77"/>
      <c r="I18" s="156"/>
      <c r="J18" s="162"/>
      <c r="K18" s="167"/>
      <c r="L18" s="164"/>
      <c r="M18" s="532"/>
      <c r="N18" s="533"/>
      <c r="O18" s="190"/>
      <c r="P18" s="72"/>
      <c r="Q18" s="160"/>
      <c r="R18" s="162"/>
      <c r="S18" s="167"/>
      <c r="T18" s="209"/>
      <c r="U18" s="181"/>
      <c r="V18" s="181"/>
      <c r="W18" s="73"/>
      <c r="X18" s="125"/>
      <c r="Y18" s="125"/>
      <c r="Z18" s="125"/>
      <c r="AA18" s="125"/>
      <c r="AB18" s="125"/>
    </row>
    <row r="19" spans="1:28" s="74" customFormat="1" ht="15.75" customHeight="1" x14ac:dyDescent="0.25">
      <c r="A19" s="69" t="s">
        <v>7</v>
      </c>
      <c r="B19" s="668" t="s">
        <v>198</v>
      </c>
      <c r="C19" s="555" t="s">
        <v>169</v>
      </c>
      <c r="D19" s="555"/>
      <c r="E19" s="555"/>
      <c r="F19" s="555"/>
      <c r="G19" s="296" t="s">
        <v>26</v>
      </c>
      <c r="H19" s="77" t="s">
        <v>21</v>
      </c>
      <c r="I19" s="155">
        <f>(D10-SUM(I16:I18))*D8</f>
        <v>0</v>
      </c>
      <c r="J19" s="162">
        <f>IF(A19="Y",I19* 2%,0)</f>
        <v>0</v>
      </c>
      <c r="K19" s="167">
        <f>I19-J19</f>
        <v>0</v>
      </c>
      <c r="L19" s="164"/>
      <c r="M19" s="532"/>
      <c r="N19" s="533"/>
      <c r="O19" s="78"/>
      <c r="P19" s="72"/>
      <c r="Q19" s="160">
        <f t="shared" ref="Q19:Q31" si="0">IF($Q$43=0,,I19*$Q$15)</f>
        <v>0</v>
      </c>
      <c r="R19" s="162">
        <f t="shared" ref="R19:R34" si="1">IF(A19="Y", Q19*2%,)</f>
        <v>0</v>
      </c>
      <c r="S19" s="167">
        <f t="shared" ref="S19:S40" si="2">Q19-R19</f>
        <v>0</v>
      </c>
      <c r="T19" s="209"/>
      <c r="U19" s="181">
        <f t="shared" ref="U19:U34" si="3">IF($U$15="BASE-UP   (B-A)", O19-K19,O19-S19)</f>
        <v>0</v>
      </c>
      <c r="V19" s="279"/>
      <c r="W19" s="73"/>
      <c r="X19" s="125"/>
      <c r="Y19" s="125"/>
      <c r="Z19" s="125"/>
      <c r="AA19" s="125"/>
      <c r="AB19" s="125"/>
    </row>
    <row r="20" spans="1:28" s="74" customFormat="1" ht="15.75" customHeight="1" x14ac:dyDescent="0.25">
      <c r="A20" s="69" t="s">
        <v>7</v>
      </c>
      <c r="B20" s="669"/>
      <c r="C20" s="555" t="s">
        <v>170</v>
      </c>
      <c r="D20" s="555"/>
      <c r="E20" s="555"/>
      <c r="F20" s="555"/>
      <c r="G20" s="296" t="s">
        <v>45</v>
      </c>
      <c r="H20" s="77" t="s">
        <v>19</v>
      </c>
      <c r="I20" s="155">
        <f>(D10-SUM(I16:I18))*D9</f>
        <v>0</v>
      </c>
      <c r="J20" s="162">
        <f t="shared" ref="J20:J34" si="4">IF(A20="Y",I20* 2%,0)</f>
        <v>0</v>
      </c>
      <c r="K20" s="167">
        <f t="shared" ref="K20:K33" si="5">I20-J20</f>
        <v>0</v>
      </c>
      <c r="L20" s="164"/>
      <c r="M20" s="532"/>
      <c r="N20" s="533"/>
      <c r="O20" s="78"/>
      <c r="P20" s="72"/>
      <c r="Q20" s="160">
        <f t="shared" si="0"/>
        <v>0</v>
      </c>
      <c r="R20" s="162">
        <f t="shared" si="1"/>
        <v>0</v>
      </c>
      <c r="S20" s="167">
        <f t="shared" si="2"/>
        <v>0</v>
      </c>
      <c r="T20" s="209"/>
      <c r="U20" s="181">
        <f t="shared" si="3"/>
        <v>0</v>
      </c>
      <c r="V20" s="279"/>
      <c r="W20" s="73"/>
      <c r="X20" s="125"/>
      <c r="Y20" s="125"/>
      <c r="Z20" s="125"/>
      <c r="AA20" s="125"/>
      <c r="AB20" s="125"/>
    </row>
    <row r="21" spans="1:28" s="74" customFormat="1" ht="15.75" customHeight="1" x14ac:dyDescent="0.25">
      <c r="A21" s="69" t="s">
        <v>7</v>
      </c>
      <c r="B21" s="75">
        <v>7</v>
      </c>
      <c r="C21" s="555" t="s">
        <v>294</v>
      </c>
      <c r="D21" s="555"/>
      <c r="E21" s="555"/>
      <c r="F21" s="555"/>
      <c r="G21" s="296" t="s">
        <v>25</v>
      </c>
      <c r="H21" s="77" t="s">
        <v>20</v>
      </c>
      <c r="I21" s="155">
        <f>$D$11*B21</f>
        <v>0</v>
      </c>
      <c r="J21" s="162">
        <f t="shared" si="4"/>
        <v>0</v>
      </c>
      <c r="K21" s="167">
        <f t="shared" si="5"/>
        <v>0</v>
      </c>
      <c r="L21" s="164"/>
      <c r="M21" s="532"/>
      <c r="N21" s="533"/>
      <c r="O21" s="80"/>
      <c r="P21" s="81"/>
      <c r="Q21" s="160">
        <f t="shared" si="0"/>
        <v>0</v>
      </c>
      <c r="R21" s="162">
        <f t="shared" si="1"/>
        <v>0</v>
      </c>
      <c r="S21" s="167">
        <f t="shared" si="2"/>
        <v>0</v>
      </c>
      <c r="T21" s="209"/>
      <c r="U21" s="181">
        <f t="shared" si="3"/>
        <v>0</v>
      </c>
      <c r="V21" s="279"/>
      <c r="W21" s="73"/>
      <c r="X21" s="125"/>
      <c r="Y21" s="125"/>
      <c r="Z21" s="125"/>
      <c r="AA21" s="125"/>
      <c r="AB21" s="125"/>
    </row>
    <row r="22" spans="1:28" s="74" customFormat="1" ht="15.75" customHeight="1" x14ac:dyDescent="0.25">
      <c r="A22" s="69" t="s">
        <v>7</v>
      </c>
      <c r="B22" s="75">
        <v>3</v>
      </c>
      <c r="C22" s="555" t="s">
        <v>295</v>
      </c>
      <c r="D22" s="555"/>
      <c r="E22" s="555"/>
      <c r="F22" s="555"/>
      <c r="G22" s="296" t="s">
        <v>26</v>
      </c>
      <c r="H22" s="77" t="s">
        <v>21</v>
      </c>
      <c r="I22" s="155">
        <f t="shared" ref="I22:I33" si="6">$D$11*B22</f>
        <v>0</v>
      </c>
      <c r="J22" s="162">
        <f t="shared" si="4"/>
        <v>0</v>
      </c>
      <c r="K22" s="167">
        <f t="shared" si="5"/>
        <v>0</v>
      </c>
      <c r="L22" s="164"/>
      <c r="M22" s="532"/>
      <c r="N22" s="533"/>
      <c r="O22" s="78"/>
      <c r="P22" s="72"/>
      <c r="Q22" s="160">
        <f t="shared" si="0"/>
        <v>0</v>
      </c>
      <c r="R22" s="162">
        <f t="shared" si="1"/>
        <v>0</v>
      </c>
      <c r="S22" s="167">
        <f t="shared" si="2"/>
        <v>0</v>
      </c>
      <c r="T22" s="209"/>
      <c r="U22" s="181">
        <f t="shared" si="3"/>
        <v>0</v>
      </c>
      <c r="V22" s="279"/>
      <c r="W22" s="73"/>
      <c r="X22" s="125"/>
      <c r="Y22" s="125"/>
      <c r="Z22" s="125"/>
      <c r="AA22" s="125"/>
      <c r="AB22" s="125"/>
    </row>
    <row r="23" spans="1:28" s="74" customFormat="1" ht="15.75" customHeight="1" x14ac:dyDescent="0.25">
      <c r="A23" s="69" t="s">
        <v>7</v>
      </c>
      <c r="B23" s="344">
        <v>0.75</v>
      </c>
      <c r="C23" s="532" t="s">
        <v>311</v>
      </c>
      <c r="D23" s="553"/>
      <c r="E23" s="553"/>
      <c r="F23" s="554"/>
      <c r="G23" s="296" t="s">
        <v>26</v>
      </c>
      <c r="H23" s="77" t="s">
        <v>48</v>
      </c>
      <c r="I23" s="155">
        <f t="shared" si="6"/>
        <v>0</v>
      </c>
      <c r="J23" s="162">
        <f t="shared" si="4"/>
        <v>0</v>
      </c>
      <c r="K23" s="167">
        <f t="shared" si="5"/>
        <v>0</v>
      </c>
      <c r="L23" s="164"/>
      <c r="M23" s="532"/>
      <c r="N23" s="533"/>
      <c r="O23" s="78"/>
      <c r="P23" s="72"/>
      <c r="Q23" s="160">
        <f t="shared" si="0"/>
        <v>0</v>
      </c>
      <c r="R23" s="162">
        <f t="shared" si="1"/>
        <v>0</v>
      </c>
      <c r="S23" s="167">
        <f t="shared" si="2"/>
        <v>0</v>
      </c>
      <c r="T23" s="209"/>
      <c r="U23" s="181">
        <f t="shared" si="3"/>
        <v>0</v>
      </c>
      <c r="V23" s="279"/>
      <c r="W23" s="82"/>
      <c r="X23" s="125"/>
      <c r="Y23" s="125"/>
      <c r="Z23" s="125"/>
      <c r="AA23" s="125"/>
      <c r="AB23" s="125"/>
    </row>
    <row r="24" spans="1:28" s="74" customFormat="1" ht="15.75" customHeight="1" x14ac:dyDescent="0.25">
      <c r="A24" s="69" t="s">
        <v>7</v>
      </c>
      <c r="B24" s="344">
        <v>0.25</v>
      </c>
      <c r="C24" s="532" t="s">
        <v>310</v>
      </c>
      <c r="D24" s="553"/>
      <c r="E24" s="553"/>
      <c r="F24" s="554"/>
      <c r="G24" s="343" t="s">
        <v>25</v>
      </c>
      <c r="H24" s="77" t="s">
        <v>48</v>
      </c>
      <c r="I24" s="155">
        <f t="shared" ref="I24" si="7">$D$11*B24</f>
        <v>0</v>
      </c>
      <c r="J24" s="162">
        <f t="shared" ref="J24" si="8">IF(A24="Y",I24* 2%,0)</f>
        <v>0</v>
      </c>
      <c r="K24" s="167">
        <f t="shared" ref="K24" si="9">I24-J24</f>
        <v>0</v>
      </c>
      <c r="L24" s="164"/>
      <c r="M24" s="532"/>
      <c r="N24" s="533"/>
      <c r="O24" s="78"/>
      <c r="P24" s="72"/>
      <c r="Q24" s="160">
        <f t="shared" si="0"/>
        <v>0</v>
      </c>
      <c r="R24" s="162">
        <f t="shared" ref="R24" si="10">IF(A24="Y", Q24*2%,)</f>
        <v>0</v>
      </c>
      <c r="S24" s="167">
        <f t="shared" ref="S24" si="11">Q24-R24</f>
        <v>0</v>
      </c>
      <c r="T24" s="209"/>
      <c r="U24" s="181">
        <f t="shared" ref="U24" si="12">IF($U$15="BASE-UP   (B-A)", O24-K24,O24-S24)</f>
        <v>0</v>
      </c>
      <c r="V24" s="279"/>
      <c r="W24" s="82"/>
      <c r="X24" s="125"/>
      <c r="Y24" s="125"/>
      <c r="Z24" s="125"/>
      <c r="AA24" s="125"/>
      <c r="AB24" s="125"/>
    </row>
    <row r="25" spans="1:28" s="74" customFormat="1" ht="14.5" x14ac:dyDescent="0.25">
      <c r="A25" s="69" t="s">
        <v>7</v>
      </c>
      <c r="B25" s="75">
        <v>4</v>
      </c>
      <c r="C25" s="532" t="s">
        <v>270</v>
      </c>
      <c r="D25" s="553"/>
      <c r="E25" s="553"/>
      <c r="F25" s="554"/>
      <c r="G25" s="296" t="s">
        <v>25</v>
      </c>
      <c r="H25" s="77" t="s">
        <v>60</v>
      </c>
      <c r="I25" s="155">
        <f t="shared" si="6"/>
        <v>0</v>
      </c>
      <c r="J25" s="162">
        <f t="shared" si="4"/>
        <v>0</v>
      </c>
      <c r="K25" s="167">
        <f t="shared" si="5"/>
        <v>0</v>
      </c>
      <c r="L25" s="164"/>
      <c r="M25" s="532"/>
      <c r="N25" s="533"/>
      <c r="O25" s="78"/>
      <c r="P25" s="72"/>
      <c r="Q25" s="160">
        <f t="shared" si="0"/>
        <v>0</v>
      </c>
      <c r="R25" s="162">
        <f t="shared" si="1"/>
        <v>0</v>
      </c>
      <c r="S25" s="167">
        <f t="shared" si="2"/>
        <v>0</v>
      </c>
      <c r="T25" s="209"/>
      <c r="U25" s="181">
        <f t="shared" si="3"/>
        <v>0</v>
      </c>
      <c r="V25" s="280"/>
      <c r="W25" s="273"/>
      <c r="X25" s="125"/>
      <c r="Y25" s="125"/>
      <c r="Z25" s="125"/>
      <c r="AA25" s="125"/>
      <c r="AB25" s="125"/>
    </row>
    <row r="26" spans="1:28" s="74" customFormat="1" ht="15.75" customHeight="1" x14ac:dyDescent="0.25">
      <c r="A26" s="69" t="s">
        <v>7</v>
      </c>
      <c r="B26" s="313">
        <v>0</v>
      </c>
      <c r="C26" s="555" t="s">
        <v>174</v>
      </c>
      <c r="D26" s="555"/>
      <c r="E26" s="662" t="str">
        <f>IF(SUM(B26:B30)=O11,"GC 76000 PA ($" &amp;O11 &amp; " for every 10) breakdown per local board of supervisor resolution (BOS).","ERROR! GC 76000 PA total is not $" &amp;O11&amp; ". Check Court's board resolution.")</f>
        <v>ERROR! GC 76000 PA total is not $7. Check Court's board resolution.</v>
      </c>
      <c r="F26" s="663"/>
      <c r="G26" s="296" t="s">
        <v>26</v>
      </c>
      <c r="H26" s="77" t="s">
        <v>56</v>
      </c>
      <c r="I26" s="155">
        <f t="shared" si="6"/>
        <v>0</v>
      </c>
      <c r="J26" s="162">
        <f t="shared" si="4"/>
        <v>0</v>
      </c>
      <c r="K26" s="167">
        <f t="shared" si="5"/>
        <v>0</v>
      </c>
      <c r="L26" s="164"/>
      <c r="M26" s="532"/>
      <c r="N26" s="533"/>
      <c r="O26" s="78"/>
      <c r="P26" s="72"/>
      <c r="Q26" s="160">
        <f t="shared" si="0"/>
        <v>0</v>
      </c>
      <c r="R26" s="162">
        <f t="shared" si="1"/>
        <v>0</v>
      </c>
      <c r="S26" s="167">
        <f t="shared" si="2"/>
        <v>0</v>
      </c>
      <c r="T26" s="209"/>
      <c r="U26" s="181">
        <f t="shared" si="3"/>
        <v>0</v>
      </c>
      <c r="V26" s="307"/>
      <c r="W26" s="82"/>
      <c r="X26" s="125"/>
      <c r="Y26" s="125"/>
      <c r="Z26" s="125"/>
      <c r="AA26" s="125"/>
      <c r="AB26" s="125"/>
    </row>
    <row r="27" spans="1:28" s="74" customFormat="1" ht="15.75" customHeight="1" x14ac:dyDescent="0.25">
      <c r="A27" s="69" t="s">
        <v>7</v>
      </c>
      <c r="B27" s="313">
        <v>0</v>
      </c>
      <c r="C27" s="555" t="s">
        <v>175</v>
      </c>
      <c r="D27" s="555"/>
      <c r="E27" s="664"/>
      <c r="F27" s="665"/>
      <c r="G27" s="296" t="s">
        <v>26</v>
      </c>
      <c r="H27" s="77" t="s">
        <v>28</v>
      </c>
      <c r="I27" s="155">
        <f t="shared" si="6"/>
        <v>0</v>
      </c>
      <c r="J27" s="162">
        <f t="shared" si="4"/>
        <v>0</v>
      </c>
      <c r="K27" s="167">
        <f t="shared" si="5"/>
        <v>0</v>
      </c>
      <c r="L27" s="164"/>
      <c r="M27" s="532"/>
      <c r="N27" s="533"/>
      <c r="O27" s="78"/>
      <c r="P27" s="72"/>
      <c r="Q27" s="160">
        <f t="shared" si="0"/>
        <v>0</v>
      </c>
      <c r="R27" s="162">
        <f t="shared" si="1"/>
        <v>0</v>
      </c>
      <c r="S27" s="167">
        <f t="shared" si="2"/>
        <v>0</v>
      </c>
      <c r="T27" s="209"/>
      <c r="U27" s="181">
        <f t="shared" si="3"/>
        <v>0</v>
      </c>
      <c r="V27" s="279"/>
      <c r="W27" s="82"/>
      <c r="X27" s="125"/>
      <c r="Y27" s="125"/>
      <c r="Z27" s="125"/>
      <c r="AA27" s="125"/>
      <c r="AB27" s="125"/>
    </row>
    <row r="28" spans="1:28" s="74" customFormat="1" ht="15.75" customHeight="1" x14ac:dyDescent="0.25">
      <c r="A28" s="69" t="s">
        <v>7</v>
      </c>
      <c r="B28" s="313">
        <v>0</v>
      </c>
      <c r="C28" s="555" t="s">
        <v>176</v>
      </c>
      <c r="D28" s="555"/>
      <c r="E28" s="664"/>
      <c r="F28" s="665"/>
      <c r="G28" s="296" t="s">
        <v>26</v>
      </c>
      <c r="H28" s="77" t="s">
        <v>57</v>
      </c>
      <c r="I28" s="155">
        <f t="shared" si="6"/>
        <v>0</v>
      </c>
      <c r="J28" s="162">
        <f t="shared" si="4"/>
        <v>0</v>
      </c>
      <c r="K28" s="167">
        <f t="shared" si="5"/>
        <v>0</v>
      </c>
      <c r="L28" s="164"/>
      <c r="M28" s="532"/>
      <c r="N28" s="533"/>
      <c r="O28" s="78"/>
      <c r="P28" s="72"/>
      <c r="Q28" s="160">
        <f t="shared" si="0"/>
        <v>0</v>
      </c>
      <c r="R28" s="162">
        <f t="shared" si="1"/>
        <v>0</v>
      </c>
      <c r="S28" s="167">
        <f t="shared" si="2"/>
        <v>0</v>
      </c>
      <c r="T28" s="209"/>
      <c r="U28" s="181">
        <f t="shared" si="3"/>
        <v>0</v>
      </c>
      <c r="V28" s="279"/>
      <c r="W28" s="82"/>
      <c r="X28" s="125"/>
      <c r="Y28" s="125"/>
      <c r="Z28" s="125"/>
      <c r="AA28" s="125"/>
      <c r="AB28" s="125"/>
    </row>
    <row r="29" spans="1:28" s="74" customFormat="1" ht="15.75" customHeight="1" x14ac:dyDescent="0.25">
      <c r="A29" s="69" t="s">
        <v>7</v>
      </c>
      <c r="B29" s="313">
        <v>0</v>
      </c>
      <c r="C29" s="555" t="s">
        <v>256</v>
      </c>
      <c r="D29" s="555"/>
      <c r="E29" s="664"/>
      <c r="F29" s="665"/>
      <c r="G29" s="296" t="s">
        <v>26</v>
      </c>
      <c r="H29" s="77" t="s">
        <v>57</v>
      </c>
      <c r="I29" s="155">
        <f>$D$11*B29</f>
        <v>0</v>
      </c>
      <c r="J29" s="162">
        <f>IF(A29="Y",I29* 2%,0)</f>
        <v>0</v>
      </c>
      <c r="K29" s="167">
        <f>I29-J29</f>
        <v>0</v>
      </c>
      <c r="L29" s="164"/>
      <c r="M29" s="532"/>
      <c r="N29" s="533"/>
      <c r="O29" s="78"/>
      <c r="P29" s="72"/>
      <c r="Q29" s="160">
        <f t="shared" si="0"/>
        <v>0</v>
      </c>
      <c r="R29" s="162">
        <f>IF(A29="Y", Q29*2%,)</f>
        <v>0</v>
      </c>
      <c r="S29" s="167">
        <f>Q29-R29</f>
        <v>0</v>
      </c>
      <c r="T29" s="209"/>
      <c r="U29" s="181">
        <f>IF($U$15="BASE-UP   (B-A)", O29-K29,O29-S29)</f>
        <v>0</v>
      </c>
      <c r="V29" s="279"/>
      <c r="W29" s="82"/>
      <c r="X29" s="125"/>
      <c r="Y29" s="125"/>
      <c r="Z29" s="125"/>
      <c r="AA29" s="125"/>
      <c r="AB29" s="125"/>
    </row>
    <row r="30" spans="1:28" s="74" customFormat="1" ht="15.75" customHeight="1" x14ac:dyDescent="0.25">
      <c r="A30" s="69" t="s">
        <v>7</v>
      </c>
      <c r="B30" s="313">
        <v>0</v>
      </c>
      <c r="C30" s="555" t="s">
        <v>211</v>
      </c>
      <c r="D30" s="555"/>
      <c r="E30" s="666"/>
      <c r="F30" s="667"/>
      <c r="G30" s="296" t="s">
        <v>26</v>
      </c>
      <c r="H30" s="77"/>
      <c r="I30" s="155">
        <f t="shared" si="6"/>
        <v>0</v>
      </c>
      <c r="J30" s="162">
        <f t="shared" si="4"/>
        <v>0</v>
      </c>
      <c r="K30" s="167">
        <f t="shared" si="5"/>
        <v>0</v>
      </c>
      <c r="L30" s="164"/>
      <c r="M30" s="532"/>
      <c r="N30" s="533"/>
      <c r="O30" s="78"/>
      <c r="P30" s="72"/>
      <c r="Q30" s="160">
        <f t="shared" si="0"/>
        <v>0</v>
      </c>
      <c r="R30" s="162">
        <f t="shared" si="1"/>
        <v>0</v>
      </c>
      <c r="S30" s="167">
        <f t="shared" si="2"/>
        <v>0</v>
      </c>
      <c r="T30" s="209"/>
      <c r="U30" s="181">
        <f t="shared" si="3"/>
        <v>0</v>
      </c>
      <c r="V30" s="279"/>
      <c r="W30" s="82"/>
      <c r="X30" s="125"/>
      <c r="Y30" s="125"/>
      <c r="Z30" s="125"/>
      <c r="AA30" s="125"/>
      <c r="AB30" s="125"/>
    </row>
    <row r="31" spans="1:28" s="85" customFormat="1" ht="15.75" customHeight="1" x14ac:dyDescent="0.25">
      <c r="A31" s="69" t="s">
        <v>7</v>
      </c>
      <c r="B31" s="313">
        <v>0</v>
      </c>
      <c r="C31" s="556" t="s">
        <v>234</v>
      </c>
      <c r="D31" s="557"/>
      <c r="E31" s="557"/>
      <c r="F31" s="558"/>
      <c r="G31" s="298" t="s">
        <v>26</v>
      </c>
      <c r="H31" s="84" t="s">
        <v>29</v>
      </c>
      <c r="I31" s="155">
        <f t="shared" si="6"/>
        <v>0</v>
      </c>
      <c r="J31" s="162">
        <f t="shared" si="4"/>
        <v>0</v>
      </c>
      <c r="K31" s="167">
        <f t="shared" si="5"/>
        <v>0</v>
      </c>
      <c r="L31" s="164"/>
      <c r="M31" s="532"/>
      <c r="N31" s="533"/>
      <c r="O31" s="78"/>
      <c r="P31" s="72"/>
      <c r="Q31" s="160">
        <f t="shared" si="0"/>
        <v>0</v>
      </c>
      <c r="R31" s="162">
        <f t="shared" si="1"/>
        <v>0</v>
      </c>
      <c r="S31" s="167">
        <f t="shared" si="2"/>
        <v>0</v>
      </c>
      <c r="T31" s="209"/>
      <c r="U31" s="181">
        <f t="shared" si="3"/>
        <v>0</v>
      </c>
      <c r="V31" s="279"/>
      <c r="W31" s="82"/>
      <c r="X31" s="127"/>
      <c r="Y31" s="127"/>
      <c r="Z31" s="127"/>
      <c r="AA31" s="127"/>
      <c r="AB31" s="127"/>
    </row>
    <row r="32" spans="1:28" s="85" customFormat="1" ht="15" customHeight="1" x14ac:dyDescent="0.25">
      <c r="A32" s="69" t="s">
        <v>7</v>
      </c>
      <c r="B32" s="75"/>
      <c r="C32" s="556" t="s">
        <v>253</v>
      </c>
      <c r="D32" s="557"/>
      <c r="E32" s="557"/>
      <c r="F32" s="558"/>
      <c r="G32" s="298" t="s">
        <v>25</v>
      </c>
      <c r="H32" s="91" t="s">
        <v>32</v>
      </c>
      <c r="I32" s="197">
        <v>0</v>
      </c>
      <c r="J32" s="162">
        <f>IF(A32="Y", I32*2%,0)</f>
        <v>0</v>
      </c>
      <c r="K32" s="167">
        <f>I32-J32</f>
        <v>0</v>
      </c>
      <c r="L32" s="164"/>
      <c r="M32" s="532"/>
      <c r="N32" s="533"/>
      <c r="O32" s="78"/>
      <c r="P32" s="72"/>
      <c r="Q32" s="155">
        <f>IF($Q$43=0,,I32)</f>
        <v>0</v>
      </c>
      <c r="R32" s="162">
        <f>IF(A32="Y", Q32*2%,)</f>
        <v>0</v>
      </c>
      <c r="S32" s="167">
        <f>Q32-R32</f>
        <v>0</v>
      </c>
      <c r="T32" s="209"/>
      <c r="U32" s="181">
        <f>IF($U$15="BASE-UP   (B-A)", O32-K32,O32-S32)</f>
        <v>0</v>
      </c>
      <c r="V32" s="307"/>
      <c r="W32" s="82"/>
      <c r="X32" s="127"/>
      <c r="Y32" s="127"/>
      <c r="Z32" s="127"/>
      <c r="AA32" s="127"/>
      <c r="AB32" s="127"/>
    </row>
    <row r="33" spans="1:28" s="74" customFormat="1" ht="15.75" customHeight="1" x14ac:dyDescent="0.25">
      <c r="A33" s="69" t="s">
        <v>7</v>
      </c>
      <c r="B33" s="179">
        <v>5</v>
      </c>
      <c r="C33" s="651" t="s">
        <v>312</v>
      </c>
      <c r="D33" s="652"/>
      <c r="E33" s="652"/>
      <c r="F33" s="653"/>
      <c r="G33" s="298" t="s">
        <v>25</v>
      </c>
      <c r="H33" s="84" t="s">
        <v>30</v>
      </c>
      <c r="I33" s="155">
        <f t="shared" si="6"/>
        <v>0</v>
      </c>
      <c r="J33" s="162">
        <f t="shared" si="4"/>
        <v>0</v>
      </c>
      <c r="K33" s="167">
        <f t="shared" si="5"/>
        <v>0</v>
      </c>
      <c r="L33" s="164"/>
      <c r="M33" s="532"/>
      <c r="N33" s="533"/>
      <c r="O33" s="78"/>
      <c r="P33" s="72"/>
      <c r="Q33" s="160">
        <f>IF($Q$43=0,,I33*$Q$15)</f>
        <v>0</v>
      </c>
      <c r="R33" s="162">
        <f t="shared" si="1"/>
        <v>0</v>
      </c>
      <c r="S33" s="167">
        <f t="shared" si="2"/>
        <v>0</v>
      </c>
      <c r="T33" s="209"/>
      <c r="U33" s="181">
        <f t="shared" si="3"/>
        <v>0</v>
      </c>
      <c r="V33" s="307"/>
      <c r="W33" s="82"/>
      <c r="X33" s="125"/>
      <c r="Y33" s="125"/>
      <c r="Z33" s="125"/>
      <c r="AA33" s="125"/>
      <c r="AB33" s="125"/>
    </row>
    <row r="34" spans="1:28" s="85" customFormat="1" ht="15.75" customHeight="1" x14ac:dyDescent="0.25">
      <c r="A34" s="69" t="s">
        <v>6</v>
      </c>
      <c r="B34" s="75"/>
      <c r="C34" s="556" t="s">
        <v>177</v>
      </c>
      <c r="D34" s="557"/>
      <c r="E34" s="557"/>
      <c r="F34" s="558"/>
      <c r="G34" s="298" t="s">
        <v>25</v>
      </c>
      <c r="H34" s="84" t="s">
        <v>9</v>
      </c>
      <c r="I34" s="155">
        <f>$D$10*20%</f>
        <v>0</v>
      </c>
      <c r="J34" s="162">
        <f t="shared" si="4"/>
        <v>0</v>
      </c>
      <c r="K34" s="167">
        <f>I34-J34</f>
        <v>0</v>
      </c>
      <c r="L34" s="164"/>
      <c r="M34" s="532"/>
      <c r="N34" s="533"/>
      <c r="O34" s="78"/>
      <c r="P34" s="72"/>
      <c r="Q34" s="160">
        <f>IF($Q$43=0,,I34*$Q$15)</f>
        <v>0</v>
      </c>
      <c r="R34" s="162">
        <f t="shared" si="1"/>
        <v>0</v>
      </c>
      <c r="S34" s="167">
        <f t="shared" si="2"/>
        <v>0</v>
      </c>
      <c r="T34" s="209"/>
      <c r="U34" s="181">
        <f t="shared" si="3"/>
        <v>0</v>
      </c>
      <c r="V34" s="279"/>
      <c r="W34" s="82"/>
      <c r="X34" s="127"/>
      <c r="Y34" s="127"/>
      <c r="Z34" s="127"/>
      <c r="AA34" s="127"/>
      <c r="AB34" s="127"/>
    </row>
    <row r="35" spans="1:28" s="90" customFormat="1" ht="15.75" customHeight="1" x14ac:dyDescent="0.25">
      <c r="A35" s="69"/>
      <c r="B35" s="86"/>
      <c r="C35" s="560" t="s">
        <v>178</v>
      </c>
      <c r="D35" s="561"/>
      <c r="E35" s="561"/>
      <c r="F35" s="562"/>
      <c r="G35" s="299"/>
      <c r="H35" s="88"/>
      <c r="I35" s="157">
        <f>SUM(I16:I34)</f>
        <v>0</v>
      </c>
      <c r="J35" s="162"/>
      <c r="K35" s="168">
        <f>SUM(K16:K34)</f>
        <v>0</v>
      </c>
      <c r="L35" s="165"/>
      <c r="M35" s="556"/>
      <c r="N35" s="559"/>
      <c r="O35" s="184">
        <f>SUM(O16:O34)</f>
        <v>0</v>
      </c>
      <c r="P35" s="122"/>
      <c r="Q35" s="157">
        <f>IF($Q$43=0,,Q43-SUM(Q36:Q40))</f>
        <v>0</v>
      </c>
      <c r="R35" s="162"/>
      <c r="S35" s="168">
        <f>SUM(S16:S34)</f>
        <v>0</v>
      </c>
      <c r="T35" s="210"/>
      <c r="U35" s="181">
        <f>SUM(U16:U34)</f>
        <v>0</v>
      </c>
      <c r="V35" s="279"/>
      <c r="W35" s="89"/>
      <c r="X35" s="143"/>
      <c r="Y35" s="143"/>
      <c r="Z35" s="143"/>
      <c r="AA35" s="143"/>
      <c r="AB35" s="143"/>
    </row>
    <row r="36" spans="1:28" s="85" customFormat="1" ht="15" customHeight="1" x14ac:dyDescent="0.25">
      <c r="A36" s="69" t="s">
        <v>6</v>
      </c>
      <c r="B36" s="75"/>
      <c r="C36" s="556" t="s">
        <v>257</v>
      </c>
      <c r="D36" s="557"/>
      <c r="E36" s="557"/>
      <c r="F36" s="558"/>
      <c r="G36" s="298" t="s">
        <v>25</v>
      </c>
      <c r="H36" s="91"/>
      <c r="I36" s="197">
        <v>0</v>
      </c>
      <c r="J36" s="162">
        <f>IF(A36="Y", I36*2%,0)</f>
        <v>0</v>
      </c>
      <c r="K36" s="167">
        <f>I36-J36</f>
        <v>0</v>
      </c>
      <c r="L36" s="164"/>
      <c r="M36" s="265"/>
      <c r="N36" s="266"/>
      <c r="O36" s="78"/>
      <c r="P36" s="72"/>
      <c r="Q36" s="155">
        <f>IF($Q$43=0,,I36)</f>
        <v>0</v>
      </c>
      <c r="R36" s="162">
        <f t="shared" ref="R36" si="13">IF(A36="Y", Q36*2%,)</f>
        <v>0</v>
      </c>
      <c r="S36" s="167">
        <f t="shared" ref="S36" si="14">Q36-R36</f>
        <v>0</v>
      </c>
      <c r="T36" s="209"/>
      <c r="U36" s="181">
        <f t="shared" ref="U36:U41" si="15">IF($U$15="BASE-UP   (B-A)", O36-K36,O36-S36)</f>
        <v>0</v>
      </c>
      <c r="V36" s="279"/>
      <c r="W36" s="82"/>
      <c r="X36" s="127"/>
      <c r="Y36" s="127"/>
      <c r="Z36" s="127"/>
      <c r="AA36" s="127"/>
      <c r="AB36" s="127"/>
    </row>
    <row r="37" spans="1:28" s="85" customFormat="1" ht="15.75" customHeight="1" x14ac:dyDescent="0.25">
      <c r="A37" s="69" t="s">
        <v>6</v>
      </c>
      <c r="B37" s="75"/>
      <c r="C37" s="563" t="s">
        <v>216</v>
      </c>
      <c r="D37" s="564"/>
      <c r="E37" s="564"/>
      <c r="F37" s="565"/>
      <c r="G37" s="300" t="s">
        <v>25</v>
      </c>
      <c r="H37" s="92" t="s">
        <v>158</v>
      </c>
      <c r="I37" s="197">
        <v>0</v>
      </c>
      <c r="J37" s="162">
        <f t="shared" ref="J37:J40" si="16">IF(A37="Y", I37*2%,0)</f>
        <v>0</v>
      </c>
      <c r="K37" s="167">
        <f t="shared" ref="K37:K40" si="17">I37-J37</f>
        <v>0</v>
      </c>
      <c r="L37" s="164"/>
      <c r="M37" s="532"/>
      <c r="N37" s="533"/>
      <c r="O37" s="78"/>
      <c r="P37" s="72"/>
      <c r="Q37" s="155">
        <f>IF($Q$43=0,,I37)</f>
        <v>0</v>
      </c>
      <c r="R37" s="162">
        <f t="shared" ref="R37:R40" si="18">IF(A37="Y", Q37*2%,)</f>
        <v>0</v>
      </c>
      <c r="S37" s="167">
        <f t="shared" si="2"/>
        <v>0</v>
      </c>
      <c r="T37" s="209"/>
      <c r="U37" s="181">
        <f t="shared" si="15"/>
        <v>0</v>
      </c>
      <c r="V37" s="279"/>
      <c r="W37" s="73"/>
      <c r="X37" s="127"/>
      <c r="Y37" s="127"/>
      <c r="Z37" s="127"/>
      <c r="AA37" s="127"/>
      <c r="AB37" s="127"/>
    </row>
    <row r="38" spans="1:28" s="74" customFormat="1" ht="15.75" customHeight="1" x14ac:dyDescent="0.25">
      <c r="A38" s="69" t="s">
        <v>6</v>
      </c>
      <c r="B38" s="94"/>
      <c r="C38" s="563" t="s">
        <v>258</v>
      </c>
      <c r="D38" s="564"/>
      <c r="E38" s="564"/>
      <c r="F38" s="565"/>
      <c r="G38" s="300" t="s">
        <v>187</v>
      </c>
      <c r="H38" s="92" t="s">
        <v>18</v>
      </c>
      <c r="I38" s="197">
        <v>0</v>
      </c>
      <c r="J38" s="162">
        <f t="shared" si="16"/>
        <v>0</v>
      </c>
      <c r="K38" s="167">
        <f t="shared" si="17"/>
        <v>0</v>
      </c>
      <c r="L38" s="164"/>
      <c r="M38" s="532"/>
      <c r="N38" s="533"/>
      <c r="O38" s="78"/>
      <c r="P38" s="72"/>
      <c r="Q38" s="155">
        <f>IF($Q$43=0,,I38)</f>
        <v>0</v>
      </c>
      <c r="R38" s="162">
        <f t="shared" si="18"/>
        <v>0</v>
      </c>
      <c r="S38" s="167">
        <f t="shared" si="2"/>
        <v>0</v>
      </c>
      <c r="T38" s="209"/>
      <c r="U38" s="181">
        <f t="shared" si="15"/>
        <v>0</v>
      </c>
      <c r="V38" s="279"/>
      <c r="W38" s="77"/>
      <c r="X38" s="125"/>
      <c r="Y38" s="125"/>
      <c r="Z38" s="125"/>
      <c r="AA38" s="125"/>
      <c r="AB38" s="125"/>
    </row>
    <row r="39" spans="1:28" s="74" customFormat="1" ht="47.25" customHeight="1" x14ac:dyDescent="0.25">
      <c r="A39" s="69" t="s">
        <v>6</v>
      </c>
      <c r="B39" s="94"/>
      <c r="C39" s="556" t="s">
        <v>293</v>
      </c>
      <c r="D39" s="557"/>
      <c r="E39" s="557"/>
      <c r="F39" s="558"/>
      <c r="G39" s="300" t="s">
        <v>187</v>
      </c>
      <c r="H39" s="92" t="s">
        <v>68</v>
      </c>
      <c r="I39" s="197">
        <v>0</v>
      </c>
      <c r="J39" s="162">
        <f t="shared" si="16"/>
        <v>0</v>
      </c>
      <c r="K39" s="167">
        <f t="shared" si="17"/>
        <v>0</v>
      </c>
      <c r="L39" s="164"/>
      <c r="M39" s="532"/>
      <c r="N39" s="533"/>
      <c r="O39" s="78"/>
      <c r="P39" s="72"/>
      <c r="Q39" s="155">
        <f>IF($Q$43=0,,I39)</f>
        <v>0</v>
      </c>
      <c r="R39" s="162">
        <f t="shared" si="18"/>
        <v>0</v>
      </c>
      <c r="S39" s="167">
        <f t="shared" si="2"/>
        <v>0</v>
      </c>
      <c r="T39" s="209"/>
      <c r="U39" s="181">
        <f t="shared" si="15"/>
        <v>0</v>
      </c>
      <c r="V39" s="279"/>
      <c r="W39" s="77"/>
      <c r="X39" s="125"/>
      <c r="Y39" s="125"/>
      <c r="Z39" s="125"/>
      <c r="AA39" s="125"/>
      <c r="AB39" s="125"/>
    </row>
    <row r="40" spans="1:28" s="74" customFormat="1" ht="15.75" customHeight="1" x14ac:dyDescent="0.25">
      <c r="A40" s="69" t="s">
        <v>6</v>
      </c>
      <c r="B40" s="94"/>
      <c r="C40" s="563" t="s">
        <v>182</v>
      </c>
      <c r="D40" s="564"/>
      <c r="E40" s="564"/>
      <c r="F40" s="565"/>
      <c r="G40" s="300" t="s">
        <v>25</v>
      </c>
      <c r="H40" s="92" t="s">
        <v>66</v>
      </c>
      <c r="I40" s="197">
        <v>0</v>
      </c>
      <c r="J40" s="162">
        <f t="shared" si="16"/>
        <v>0</v>
      </c>
      <c r="K40" s="167">
        <f t="shared" si="17"/>
        <v>0</v>
      </c>
      <c r="L40" s="164"/>
      <c r="M40" s="532"/>
      <c r="N40" s="533"/>
      <c r="O40" s="78"/>
      <c r="P40" s="72"/>
      <c r="Q40" s="155">
        <f>IF($Q$43=0,,I40)</f>
        <v>0</v>
      </c>
      <c r="R40" s="162">
        <f t="shared" si="18"/>
        <v>0</v>
      </c>
      <c r="S40" s="167">
        <f t="shared" si="2"/>
        <v>0</v>
      </c>
      <c r="T40" s="209"/>
      <c r="U40" s="181">
        <f t="shared" si="15"/>
        <v>0</v>
      </c>
      <c r="V40" s="279"/>
      <c r="W40" s="77"/>
      <c r="X40" s="125"/>
      <c r="Y40" s="125"/>
      <c r="Z40" s="125"/>
      <c r="AA40" s="125"/>
      <c r="AB40" s="125"/>
    </row>
    <row r="41" spans="1:28" s="74" customFormat="1" ht="31.5" customHeight="1" x14ac:dyDescent="0.25">
      <c r="A41" s="93" t="s">
        <v>6</v>
      </c>
      <c r="B41" s="94"/>
      <c r="C41" s="532" t="s">
        <v>275</v>
      </c>
      <c r="D41" s="553"/>
      <c r="E41" s="553"/>
      <c r="F41" s="554"/>
      <c r="G41" s="301" t="s">
        <v>25</v>
      </c>
      <c r="H41" s="96" t="s">
        <v>34</v>
      </c>
      <c r="I41" s="97"/>
      <c r="J41" s="163"/>
      <c r="K41" s="169">
        <f>J42</f>
        <v>0</v>
      </c>
      <c r="L41" s="164"/>
      <c r="M41" s="532"/>
      <c r="N41" s="533"/>
      <c r="O41" s="78"/>
      <c r="P41" s="72"/>
      <c r="Q41" s="104"/>
      <c r="R41" s="163"/>
      <c r="S41" s="169">
        <f>R42</f>
        <v>0</v>
      </c>
      <c r="T41" s="211"/>
      <c r="U41" s="181">
        <f t="shared" si="15"/>
        <v>0</v>
      </c>
      <c r="V41" s="279"/>
      <c r="W41" s="77"/>
      <c r="X41" s="125"/>
      <c r="Y41" s="125"/>
      <c r="Z41" s="125"/>
      <c r="AA41" s="125"/>
      <c r="AB41" s="125"/>
    </row>
    <row r="42" spans="1:28" s="125" customFormat="1" ht="14.5" x14ac:dyDescent="0.25">
      <c r="A42" s="123"/>
      <c r="B42" s="123"/>
      <c r="C42" s="123"/>
      <c r="D42" s="123"/>
      <c r="E42" s="124"/>
      <c r="F42" s="124"/>
      <c r="J42" s="126">
        <f>SUM(J16:J41)</f>
        <v>0</v>
      </c>
      <c r="K42" s="170"/>
      <c r="L42" s="127"/>
      <c r="O42" s="128"/>
      <c r="P42" s="129"/>
      <c r="R42" s="126">
        <f>SUM(R16:R41)</f>
        <v>0</v>
      </c>
      <c r="S42" s="170"/>
      <c r="T42" s="212"/>
      <c r="U42" s="180"/>
      <c r="V42" s="180"/>
      <c r="W42" s="130"/>
    </row>
    <row r="43" spans="1:28" s="106" customFormat="1" ht="16" thickBot="1" x14ac:dyDescent="0.3">
      <c r="A43" s="144"/>
      <c r="B43" s="144"/>
      <c r="C43" s="144"/>
      <c r="D43" s="144"/>
      <c r="E43" s="131"/>
      <c r="F43" s="145" t="s">
        <v>67</v>
      </c>
      <c r="G43" s="146"/>
      <c r="H43" s="147" t="s">
        <v>1</v>
      </c>
      <c r="I43" s="148">
        <f>SUM(I35:I42)</f>
        <v>0</v>
      </c>
      <c r="J43" s="149"/>
      <c r="K43" s="171">
        <f>SUM(K35:K42)</f>
        <v>0</v>
      </c>
      <c r="L43" s="150"/>
      <c r="M43" s="144" t="s">
        <v>1</v>
      </c>
      <c r="N43" s="144"/>
      <c r="O43" s="151">
        <f>SUM(O35:O42)</f>
        <v>0</v>
      </c>
      <c r="P43" s="150"/>
      <c r="Q43" s="199">
        <v>0</v>
      </c>
      <c r="R43" s="149"/>
      <c r="S43" s="171">
        <f>SUM(S35:S42)</f>
        <v>0</v>
      </c>
      <c r="T43" s="213"/>
      <c r="U43" s="193">
        <f>SUM(U35:U42)</f>
        <v>0</v>
      </c>
      <c r="V43" s="278"/>
      <c r="W43" s="152"/>
    </row>
    <row r="44" spans="1:28" s="106" customFormat="1" ht="16" thickTop="1" x14ac:dyDescent="0.25">
      <c r="A44" s="144"/>
      <c r="B44" s="144"/>
      <c r="C44" s="144"/>
      <c r="D44" s="144"/>
      <c r="E44" s="131"/>
      <c r="F44" s="145"/>
      <c r="G44" s="146"/>
      <c r="H44" s="147"/>
      <c r="I44" s="149"/>
      <c r="J44" s="149"/>
      <c r="K44" s="149"/>
      <c r="L44" s="150"/>
      <c r="M44" s="144"/>
      <c r="N44" s="144"/>
      <c r="O44" s="149"/>
      <c r="P44" s="150"/>
      <c r="Q44" s="342"/>
      <c r="R44" s="149"/>
      <c r="S44" s="149"/>
      <c r="T44" s="149"/>
      <c r="U44" s="278"/>
      <c r="V44" s="278"/>
      <c r="W44" s="152"/>
    </row>
    <row r="45" spans="1:28" s="54" customFormat="1" ht="15.75" customHeight="1" x14ac:dyDescent="0.25">
      <c r="A45" s="654" t="s">
        <v>54</v>
      </c>
      <c r="B45" s="654"/>
      <c r="C45" s="654"/>
      <c r="D45" s="202"/>
      <c r="E45" s="133"/>
      <c r="F45" s="133"/>
      <c r="K45" s="135"/>
      <c r="L45" s="136"/>
      <c r="P45" s="137"/>
      <c r="Q45" s="137"/>
      <c r="R45" s="137"/>
      <c r="S45" s="137"/>
      <c r="T45" s="137"/>
      <c r="U45" s="138"/>
      <c r="V45" s="138"/>
      <c r="W45" s="139"/>
    </row>
    <row r="46" spans="1:28" s="141" customFormat="1" ht="18" customHeight="1" x14ac:dyDescent="0.25">
      <c r="A46" s="308">
        <v>1</v>
      </c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</row>
    <row r="47" spans="1:28" s="141" customFormat="1" ht="18" customHeight="1" x14ac:dyDescent="0.25">
      <c r="A47" s="308">
        <v>2</v>
      </c>
      <c r="B47" s="655"/>
      <c r="C47" s="655"/>
      <c r="D47" s="655"/>
      <c r="E47" s="655"/>
      <c r="F47" s="655"/>
      <c r="G47" s="655"/>
      <c r="H47" s="655"/>
      <c r="I47" s="655"/>
      <c r="J47" s="655"/>
      <c r="K47" s="655"/>
      <c r="L47" s="655"/>
      <c r="M47" s="655"/>
      <c r="N47" s="655"/>
      <c r="O47" s="655"/>
      <c r="P47" s="655"/>
      <c r="Q47" s="655"/>
      <c r="R47" s="655"/>
      <c r="S47" s="655"/>
      <c r="T47" s="655"/>
      <c r="U47" s="655"/>
      <c r="V47" s="655"/>
      <c r="W47" s="655"/>
    </row>
    <row r="48" spans="1:28" s="141" customFormat="1" ht="18" customHeight="1" x14ac:dyDescent="0.25">
      <c r="A48" s="308">
        <v>3</v>
      </c>
      <c r="B48" s="655"/>
      <c r="C48" s="655"/>
      <c r="D48" s="655"/>
      <c r="E48" s="655"/>
      <c r="F48" s="655"/>
      <c r="G48" s="655"/>
      <c r="H48" s="655"/>
      <c r="I48" s="655"/>
      <c r="J48" s="655"/>
      <c r="K48" s="655"/>
      <c r="L48" s="655"/>
      <c r="M48" s="655"/>
      <c r="N48" s="655"/>
      <c r="O48" s="655"/>
      <c r="P48" s="655"/>
      <c r="Q48" s="655"/>
      <c r="R48" s="655"/>
      <c r="S48" s="655"/>
      <c r="T48" s="655"/>
      <c r="U48" s="655"/>
      <c r="V48" s="655"/>
      <c r="W48" s="655"/>
    </row>
    <row r="49" spans="1:23" s="54" customFormat="1" ht="19.5" customHeight="1" x14ac:dyDescent="0.25">
      <c r="A49" s="308">
        <v>4</v>
      </c>
      <c r="B49" s="655"/>
      <c r="C49" s="655"/>
      <c r="D49" s="655"/>
      <c r="E49" s="655"/>
      <c r="F49" s="655"/>
      <c r="G49" s="655"/>
      <c r="H49" s="655"/>
      <c r="I49" s="655"/>
      <c r="J49" s="655"/>
      <c r="K49" s="655"/>
      <c r="L49" s="655"/>
      <c r="M49" s="655"/>
      <c r="N49" s="655"/>
      <c r="O49" s="655"/>
      <c r="P49" s="655"/>
      <c r="Q49" s="655"/>
      <c r="R49" s="655"/>
      <c r="S49" s="655"/>
      <c r="T49" s="655"/>
      <c r="U49" s="655"/>
      <c r="V49" s="655"/>
      <c r="W49" s="655"/>
    </row>
  </sheetData>
  <sheetProtection insertRows="0"/>
  <mergeCells count="119">
    <mergeCell ref="B49:W49"/>
    <mergeCell ref="L1:U1"/>
    <mergeCell ref="D7:E7"/>
    <mergeCell ref="A1:K1"/>
    <mergeCell ref="Q3:W3"/>
    <mergeCell ref="A4:C4"/>
    <mergeCell ref="D4:E4"/>
    <mergeCell ref="M4:N4"/>
    <mergeCell ref="Q4:W4"/>
    <mergeCell ref="F4:G4"/>
    <mergeCell ref="I7:L7"/>
    <mergeCell ref="I6:L6"/>
    <mergeCell ref="I5:L5"/>
    <mergeCell ref="F5:G5"/>
    <mergeCell ref="I4:L4"/>
    <mergeCell ref="A6:C6"/>
    <mergeCell ref="D6:E6"/>
    <mergeCell ref="M6:N6"/>
    <mergeCell ref="Q6:W6"/>
    <mergeCell ref="A5:C5"/>
    <mergeCell ref="D5:E5"/>
    <mergeCell ref="M5:N5"/>
    <mergeCell ref="Q5:W5"/>
    <mergeCell ref="F6:G6"/>
    <mergeCell ref="Q8:W9"/>
    <mergeCell ref="A9:C9"/>
    <mergeCell ref="D9:E9"/>
    <mergeCell ref="M9:N9"/>
    <mergeCell ref="F9:G9"/>
    <mergeCell ref="F8:G8"/>
    <mergeCell ref="A7:C7"/>
    <mergeCell ref="M13:O13"/>
    <mergeCell ref="Q13:S13"/>
    <mergeCell ref="F11:G11"/>
    <mergeCell ref="Q7:W7"/>
    <mergeCell ref="A8:C8"/>
    <mergeCell ref="D8:E8"/>
    <mergeCell ref="M8:N8"/>
    <mergeCell ref="F7:G7"/>
    <mergeCell ref="I9:L9"/>
    <mergeCell ref="I8:L8"/>
    <mergeCell ref="A10:C10"/>
    <mergeCell ref="D10:E10"/>
    <mergeCell ref="M10:N10"/>
    <mergeCell ref="Q10:W10"/>
    <mergeCell ref="F10:G10"/>
    <mergeCell ref="I11:L11"/>
    <mergeCell ref="I10:L10"/>
    <mergeCell ref="Q11:W11"/>
    <mergeCell ref="R14:R15"/>
    <mergeCell ref="M15:N15"/>
    <mergeCell ref="C16:F16"/>
    <mergeCell ref="M16:N16"/>
    <mergeCell ref="C17:F17"/>
    <mergeCell ref="M17:N17"/>
    <mergeCell ref="C14:F15"/>
    <mergeCell ref="J14:J15"/>
    <mergeCell ref="M14:N14"/>
    <mergeCell ref="V14:V15"/>
    <mergeCell ref="W14:W15"/>
    <mergeCell ref="I13:K13"/>
    <mergeCell ref="M23:N23"/>
    <mergeCell ref="C18:F18"/>
    <mergeCell ref="M18:N18"/>
    <mergeCell ref="B19:B20"/>
    <mergeCell ref="C19:F19"/>
    <mergeCell ref="M19:N19"/>
    <mergeCell ref="C20:F20"/>
    <mergeCell ref="M20:N20"/>
    <mergeCell ref="A11:C11"/>
    <mergeCell ref="D11:E11"/>
    <mergeCell ref="C32:F32"/>
    <mergeCell ref="C36:F36"/>
    <mergeCell ref="C31:F31"/>
    <mergeCell ref="M31:N31"/>
    <mergeCell ref="M33:N33"/>
    <mergeCell ref="M3:N3"/>
    <mergeCell ref="M11:N11"/>
    <mergeCell ref="C25:F25"/>
    <mergeCell ref="M25:N25"/>
    <mergeCell ref="C26:D26"/>
    <mergeCell ref="E26:F30"/>
    <mergeCell ref="M26:N26"/>
    <mergeCell ref="C27:D27"/>
    <mergeCell ref="M27:N27"/>
    <mergeCell ref="C28:D28"/>
    <mergeCell ref="M28:N28"/>
    <mergeCell ref="C30:D30"/>
    <mergeCell ref="M29:N29"/>
    <mergeCell ref="M30:N30"/>
    <mergeCell ref="C21:F21"/>
    <mergeCell ref="M21:N21"/>
    <mergeCell ref="C22:F22"/>
    <mergeCell ref="M22:N22"/>
    <mergeCell ref="C23:F23"/>
    <mergeCell ref="C33:F33"/>
    <mergeCell ref="C24:F24"/>
    <mergeCell ref="M24:N24"/>
    <mergeCell ref="A45:C45"/>
    <mergeCell ref="B46:W46"/>
    <mergeCell ref="C29:D29"/>
    <mergeCell ref="B48:W48"/>
    <mergeCell ref="I14:I15"/>
    <mergeCell ref="C39:F39"/>
    <mergeCell ref="M39:N39"/>
    <mergeCell ref="C40:F40"/>
    <mergeCell ref="M40:N40"/>
    <mergeCell ref="C41:F41"/>
    <mergeCell ref="M41:N41"/>
    <mergeCell ref="M32:N32"/>
    <mergeCell ref="C37:F37"/>
    <mergeCell ref="M37:N37"/>
    <mergeCell ref="C38:F38"/>
    <mergeCell ref="B47:W47"/>
    <mergeCell ref="M38:N38"/>
    <mergeCell ref="C34:F34"/>
    <mergeCell ref="M34:N34"/>
    <mergeCell ref="C35:F35"/>
    <mergeCell ref="M35:N35"/>
  </mergeCells>
  <conditionalFormatting sqref="Q16:S41">
    <cfRule type="cellIs" dxfId="35" priority="15" stopIfTrue="1" operator="equal">
      <formula>0</formula>
    </cfRule>
  </conditionalFormatting>
  <conditionalFormatting sqref="U12:V13 U45:V45 U50:V65533">
    <cfRule type="cellIs" dxfId="34" priority="14" stopIfTrue="1" operator="notEqual">
      <formula>0</formula>
    </cfRule>
  </conditionalFormatting>
  <conditionalFormatting sqref="I16:I18">
    <cfRule type="cellIs" dxfId="33" priority="13" stopIfTrue="1" operator="equal">
      <formula>0</formula>
    </cfRule>
  </conditionalFormatting>
  <conditionalFormatting sqref="M16:O41">
    <cfRule type="expression" dxfId="32" priority="11">
      <formula>MOD(ROW(),2)=0</formula>
    </cfRule>
  </conditionalFormatting>
  <conditionalFormatting sqref="J36:K41 J32:K32 I18:K31 I33:K35">
    <cfRule type="cellIs" dxfId="31" priority="10" operator="equal">
      <formula>0</formula>
    </cfRule>
  </conditionalFormatting>
  <conditionalFormatting sqref="V19:V41">
    <cfRule type="cellIs" dxfId="30" priority="2" operator="greaterThan">
      <formula>0</formula>
    </cfRule>
  </conditionalFormatting>
  <conditionalFormatting sqref="E26">
    <cfRule type="cellIs" dxfId="29" priority="1" operator="notEqual">
      <formula>"GC 76000 PA ($" &amp;O11 &amp;" for every 10) breakdown per local board of supervisor resolution (BOS)."</formula>
    </cfRule>
  </conditionalFormatting>
  <dataValidations count="1">
    <dataValidation type="list" allowBlank="1" showInputMessage="1" showErrorMessage="1" sqref="U15" xr:uid="{00000000-0002-0000-1800-000000000000}">
      <formula1>Distribution_Method</formula1>
    </dataValidation>
  </dataValidations>
  <printOptions horizontalCentered="1"/>
  <pageMargins left="0.25" right="0.25" top="0.75" bottom="0.5" header="0.25" footer="0.25"/>
  <pageSetup scale="66" orientation="landscape" r:id="rId1"/>
  <headerFooter alignWithMargins="0">
    <oddHeader>&amp;CSUPERIOR OF COURT OF _________ COUNTY
Revenue Calculation and Distribution Worksheet</oddHeader>
    <oddFooter>&amp;L&amp;F&amp;R&amp;P of &amp;N</oddFooter>
  </headerFooter>
  <ignoredErrors>
    <ignoredError sqref="Q32 U35 S35 J32 K35" formula="1"/>
    <ignoredError sqref="E26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6130" r:id="rId4" name="Button 2">
              <controlPr defaultSize="0" print="0" autoFill="0" autoPict="0" macro="[0]!mcrDisableTwoPercentUnprotect">
                <anchor moveWithCells="1">
                  <from>
                    <xdr:col>0</xdr:col>
                    <xdr:colOff>12700</xdr:colOff>
                    <xdr:row>13</xdr:row>
                    <xdr:rowOff>527050</xdr:rowOff>
                  </from>
                  <to>
                    <xdr:col>0</xdr:col>
                    <xdr:colOff>279400</xdr:colOff>
                    <xdr:row>14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31" r:id="rId5" name="Button 3">
              <controlPr defaultSize="0" print="0" autoFill="0" autoPict="0" macro="[0]!mcrEnableTwoPercentUnprotect">
                <anchor moveWithCells="1">
                  <from>
                    <xdr:col>0</xdr:col>
                    <xdr:colOff>0</xdr:colOff>
                    <xdr:row>13</xdr:row>
                    <xdr:rowOff>222250</xdr:rowOff>
                  </from>
                  <to>
                    <xdr:col>0</xdr:col>
                    <xdr:colOff>266700</xdr:colOff>
                    <xdr:row>13</xdr:row>
                    <xdr:rowOff>552450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Drop-Down List</vt:lpstr>
      <vt:lpstr>2009 UPDATE</vt:lpstr>
      <vt:lpstr>Local Penalties</vt:lpstr>
      <vt:lpstr>Sheet1</vt:lpstr>
      <vt:lpstr>Section</vt:lpstr>
      <vt:lpstr>Acct Mapping</vt:lpstr>
      <vt:lpstr>Pmt Plan Tmpl</vt:lpstr>
      <vt:lpstr>1-DUI (ALT)</vt:lpstr>
      <vt:lpstr> Case Study #1- Speeding</vt:lpstr>
      <vt:lpstr> Case Study #1.2</vt:lpstr>
      <vt:lpstr>Top Down Method 1</vt:lpstr>
      <vt:lpstr>Top Down Method 2</vt:lpstr>
      <vt:lpstr>Case Study #2 -DUI</vt:lpstr>
      <vt:lpstr>Counties</vt:lpstr>
      <vt:lpstr>Court_Name</vt:lpstr>
      <vt:lpstr>Distribution_Method</vt:lpstr>
      <vt:lpstr>' Case Study #1- Speeding'!Print_Area</vt:lpstr>
      <vt:lpstr>' Case Study #1.2'!Print_Area</vt:lpstr>
      <vt:lpstr>'1-DUI (ALT)'!Print_Area</vt:lpstr>
      <vt:lpstr>'Case Study #2 -DUI'!Print_Area</vt:lpstr>
      <vt:lpstr>Yes_No</vt:lpstr>
      <vt:lpstr>Yes_No_NA</vt:lpstr>
      <vt:lpstr>Yes_No_NA_City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Mendoza, Ryan;Cabral, Robert</dc:creator>
  <cp:lastModifiedBy>Lowrie, Don</cp:lastModifiedBy>
  <cp:lastPrinted>2014-05-27T15:50:06Z</cp:lastPrinted>
  <dcterms:created xsi:type="dcterms:W3CDTF">2007-12-13T20:20:54Z</dcterms:created>
  <dcterms:modified xsi:type="dcterms:W3CDTF">2021-03-24T21:20:29Z</dcterms:modified>
</cp:coreProperties>
</file>